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8.xml.rels" ContentType="application/vnd.openxmlformats-package.relationships+xml"/>
  <Override PartName="/xl/worksheets/_rels/sheet6.xml.rels" ContentType="application/vnd.openxmlformats-package.relationships+xml"/>
  <Override PartName="/xl/worksheets/_rels/sheet4.xml.rels" ContentType="application/vnd.openxmlformats-package.relationships+xml"/>
  <Override PartName="/xl/worksheets/_rels/sheet1.xml.rels" ContentType="application/vnd.openxmlformats-package.relationships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drawings/_rels/drawing3.xml.rels" ContentType="application/vnd.openxmlformats-package.relationships+xml"/>
  <Override PartName="/xl/drawings/_rels/drawing1.xml.rels" ContentType="application/vnd.openxmlformats-package.relationships+xml"/>
  <Override PartName="/xl/drawings/drawing3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comments4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Leia-me" sheetId="1" state="visible" r:id="rId3"/>
    <sheet name="Parâmetros" sheetId="2" state="visible" r:id="rId4"/>
    <sheet name="Ativos" sheetId="3" state="visible" r:id="rId5"/>
    <sheet name="Planos" sheetId="4" state="visible" r:id="rId6"/>
    <sheet name="Calendário" sheetId="5" state="visible" r:id="rId7"/>
    <sheet name="Cronograma (calculado)" sheetId="6" state="visible" r:id="rId8"/>
    <sheet name="Resumo por ativo" sheetId="7" state="visible" r:id="rId9"/>
    <sheet name="Painel" sheetId="8" state="visible" r:id="rId10"/>
  </sheets>
  <definedNames>
    <definedName function="false" hidden="false" localSheetId="2" name="_xlnm.Print_Titles" vbProcedure="false">Ativos!$1:$2</definedName>
    <definedName function="false" hidden="false" localSheetId="4" name="_xlnm.Print_Titles" vbProcedure="false">Calendário!$A:$A</definedName>
    <definedName function="false" hidden="false" localSheetId="5" name="_xlnm.Print_Titles" vbProcedure="false">'Cronograma (calculado)'!$1:$2</definedName>
    <definedName function="false" hidden="true" localSheetId="5" name="_xlnm._FilterDatabase" vbProcedure="false">'Cronograma (calculado)'!$A$2:$L$602</definedName>
    <definedName function="false" hidden="false" localSheetId="7" name="_xlnm.Print_Area" vbProcedure="false">Painel!$A$1:$R$41</definedName>
    <definedName function="false" hidden="false" localSheetId="3" name="_xlnm.Print_Titles" vbProcedure="false">Planos!$A:$C,Planos!$1:$2</definedName>
    <definedName function="false" hidden="false" localSheetId="6" name="_xlnm.Print_Titles" vbProcedure="false">'Resumo por ativo'!$1:$2</definedName>
    <definedName function="false" hidden="false" name="TAGs" vbProcedure="false">Ativos!$A$3:$A$42</definedName>
    <definedName function="false" hidden="false" localSheetId="3" name="_xlnm.Print_Titles" vbProcedure="false">Planos!$1:$2,Planos!$A:$C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4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Unknown Author</author>
  </authors>
  <commentList>
    <comment ref="G2" authorId="0">
      <text>
        <r>
          <rPr>
            <sz val="10"/>
            <rFont val="Arial"/>
            <family val="2"/>
          </rPr>
          <t xml:space="preserve">Máximo de 24 eventos por plano — é o tamanho reservado no Cronograma.
Numa rotina mensal, dá dois anos de programação.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20</xdr:colOff>
                <xdr:row>0</xdr:row>
                <xdr:rowOff>5</xdr:rowOff>
              </xdr:from>
              <xdr:to>
                <xdr:col>2</xdr:col>
                <xdr:colOff>216</xdr:colOff>
                <xdr:row>4</xdr:row>
                <xdr:rowOff>4</xdr:rowOff>
              </xdr:to>
            </anchor>
          </commentPr>
        </mc:Choice>
        <mc:Fallback/>
      </mc:AlternateContent>
    </comment>
    <comment ref="J2" authorId="0">
      <text>
        <r>
          <rPr>
            <sz val="10"/>
            <rFont val="Arial"/>
            <family val="2"/>
          </rPr>
          <t xml:space="preserve">Cada coluna é um evento do plano: a 1ª é a primeira execução, a 2ª é a seguinte, e assim por diante.
Deixe em branco o que ainda não aconteceu — é o vazio aqui que faz a manutenção contar como agendada ou atrasada.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20</xdr:colOff>
                <xdr:row>0</xdr:row>
                <xdr:rowOff>5</xdr:rowOff>
              </xdr:from>
              <xdr:to>
                <xdr:col>2</xdr:col>
                <xdr:colOff>236</xdr:colOff>
                <xdr:row>4</xdr:row>
                <xdr:rowOff>24</xdr:rowOff>
              </xdr:to>
            </anchor>
          </commentPr>
        </mc:Choice>
        <mc:Fallback/>
      </mc:AlternateContent>
    </comment>
  </commentList>
</comments>
</file>

<file path=xl/sharedStrings.xml><?xml version="1.0" encoding="utf-8"?>
<sst xmlns="http://schemas.openxmlformats.org/spreadsheetml/2006/main" count="230" uniqueCount="170">
  <si>
    <t xml:space="preserve">ANDONIZE</t>
  </si>
  <si>
    <t xml:space="preserve">Cronograma de Manutenção Preventiva</t>
  </si>
  <si>
    <t xml:space="preserve">Você descreve o plano uma vez — periodicidade e quantidade de eventos — e o cronograma de dois anos aparece pronto. Com aderência ao plano e pontualidade, como no Andonize.</t>
  </si>
  <si>
    <t xml:space="preserve">Como usar</t>
  </si>
  <si>
    <t xml:space="preserve">1. Liste os ativos</t>
  </si>
  <si>
    <t xml:space="preserve">Aba «Ativos». Só a TAG é obrigatória; o resto é para o cronograma sair legível.</t>
  </si>
  <si>
    <t xml:space="preserve">2. Descreva os planos</t>
  </si>
  <si>
    <t xml:space="preserve">Aba «Planos». Uma linha por rotina: o ativo, o que se faz, de quantos em quantos dias, a primeira data e quantos eventos programar. É o mesmo jeito que o Andonize gera um plano.</t>
  </si>
  <si>
    <t xml:space="preserve">3. Vá marcando o que foi feito</t>
  </si>
  <si>
    <t xml:space="preserve">Aba «Planos», na matriz à direita: uma coluna por evento (1ª execução, 2ª, 3ª…). Digite a data em que foi feito. A situação vira «Realizada» e o atraso é calculado sozinho.</t>
  </si>
  <si>
    <t xml:space="preserve">4. Leia os resultados</t>
  </si>
  <si>
    <t xml:space="preserve">«Cronograma (calculado)», «Calendário», «Resumo por ativo» e «Painel» são calculadas e protegidas — não há nada para digitar nelas.</t>
  </si>
  <si>
    <t xml:space="preserve">O calendário de 28 dias</t>
  </si>
  <si>
    <t xml:space="preserve">Aba «Calendário»: começa 7 dias atrás — o que venceu aparece em vermelho — e mostra as próximas três semanas. Mude a data de início e a janela anda junto. Até 8 manutenções, com ativo, serviço e situação. Serve para imprimir a semana e levar para a área.</t>
  </si>
  <si>
    <t xml:space="preserve">Legenda das células</t>
  </si>
  <si>
    <t xml:space="preserve">Fundo branco</t>
  </si>
  <si>
    <t xml:space="preserve">Você preenche.</t>
  </si>
  <si>
    <t xml:space="preserve">Fundo cinza, itálico</t>
  </si>
  <si>
    <t xml:space="preserve">Calculado. Não digite por cima: a fórmula se perde e o indicador para de bater.</t>
  </si>
  <si>
    <t xml:space="preserve">Como o cronograma é montado</t>
  </si>
  <si>
    <t xml:space="preserve">A regra das datas</t>
  </si>
  <si>
    <t xml:space="preserve">data do evento = primeira data + periodicidade × (número do evento − 1). Progressão em dias, não em «todo dia 10» nem «toda primeira segunda». É de propósito: manutenção se conta pelo intervalo desde a última, não pelo calendário.</t>
  </si>
  <si>
    <t xml:space="preserve">Situação</t>
  </si>
  <si>
    <t xml:space="preserve">«Realizada» quando há data de realização. Sem data: «Atrasada» se a prevista já passou, «Agendada» se ainda não.</t>
  </si>
  <si>
    <t xml:space="preserve">Aderência ao plano</t>
  </si>
  <si>
    <t xml:space="preserve">Realizadas ÷ previstas até hoje. Mede se o plano sai do papel. Manutenção que ainda não venceu não entra na conta — senão a aderência começaria sempre péssima e melhoraria sozinha.</t>
  </si>
  <si>
    <t xml:space="preserve">Pontualidade</t>
  </si>
  <si>
    <t xml:space="preserve">Entre as realizadas, quantas ficaram no prazo. As quatro faixas são as mesmas do painel do Andonize: no prazo, até 7 dias de atraso, até 30 dias e acima de 30.</t>
  </si>
  <si>
    <t xml:space="preserve">Atraso médio</t>
  </si>
  <si>
    <t xml:space="preserve">Média de dias de atraso, contando só as que atrasaram. Adiantadas não entram — puxariam a média para baixo e esconderiam o problema.</t>
  </si>
  <si>
    <t xml:space="preserve">Duas coisas importantes</t>
  </si>
  <si>
    <t xml:space="preserve">Defina os planos antes de marcar realizações</t>
  </si>
  <si>
    <t xml:space="preserve">Mudar a periodicidade ou a primeira data desloca todas as datas previstas daquele plano. As datas que você já lançou continuam presas ao número do evento — a 3ª execução segue sendo a 3ª — então o atraso é recalculado contra a data nova.</t>
  </si>
  <si>
    <t xml:space="preserve">Apague os dados de exemplo</t>
  </si>
  <si>
    <t xml:space="preserve">As linhas preenchidas existem para você ver os indicadores funcionando; as datas são relativas a hoje, por isso aparecem como fórmula.</t>
  </si>
  <si>
    <t xml:space="preserve">Antes de começar</t>
  </si>
  <si>
    <t xml:space="preserve">Requisitos</t>
  </si>
  <si>
    <t xml:space="preserve">Excel 2010 ou superior, Google Sheets ou LibreOffice. Sem macros e sem fórmula matricial.</t>
  </si>
  <si>
    <t xml:space="preserve">Até onde esta planilha vai</t>
  </si>
  <si>
    <t xml:space="preserve">40 ativos, 25 planos e 24 eventos por plano — 600 manutenções programadas, dois anos numa rotina mensal. Acima disso o preenchimento manual passa a custar mais do que o plano vale.</t>
  </si>
  <si>
    <t xml:space="preserve">Feita por quem faz o Andonize</t>
  </si>
  <si>
    <t xml:space="preserve">No Andonize o plano vira tarefa de verdade: cai na agenda do técnico, ele preenche o checklist no celular e o relatório sai em PDF com a sua marca.   ·   andonize.com</t>
  </si>
  <si>
    <t xml:space="preserve">Versão 1.0 · julho de 2026</t>
  </si>
  <si>
    <t xml:space="preserve">Parâmetros</t>
  </si>
  <si>
    <t xml:space="preserve">Data/hora de referência</t>
  </si>
  <si>
    <t xml:space="preserve">Atualiza sozinha. Para congelar um retrato, digite uma data por cima.</t>
  </si>
  <si>
    <t xml:space="preserve">Meta de aderência (%)</t>
  </si>
  <si>
    <t xml:space="preserve">Acima disso, verde no painel e no resumo.</t>
  </si>
  <si>
    <t xml:space="preserve">Aderência — limite amarelo (%)</t>
  </si>
  <si>
    <t xml:space="preserve">Abaixo deste valor, vermelho.</t>
  </si>
  <si>
    <t xml:space="preserve">Janela «próximas manutenções» (dias)</t>
  </si>
  <si>
    <t xml:space="preserve">Horizonte do indicador de manutenções que vencem em breve.</t>
  </si>
  <si>
    <t xml:space="preserve">Listas dos menus suspensos</t>
  </si>
  <si>
    <t xml:space="preserve">Tipo de serviço</t>
  </si>
  <si>
    <t xml:space="preserve">Manutenção preventiva</t>
  </si>
  <si>
    <t xml:space="preserve">Manutenção preditiva</t>
  </si>
  <si>
    <t xml:space="preserve">Manutenção corretiva planejada</t>
  </si>
  <si>
    <t xml:space="preserve">Manutenção corretiva não planejada</t>
  </si>
  <si>
    <t xml:space="preserve">Ativos</t>
  </si>
  <si>
    <t xml:space="preserve">Só para dar nome às TAGs do cronograma.</t>
  </si>
  <si>
    <t xml:space="preserve">TAG *</t>
  </si>
  <si>
    <t xml:space="preserve">Descrição (nome/modelo)</t>
  </si>
  <si>
    <t xml:space="preserve">Entidade / Cliente</t>
  </si>
  <si>
    <t xml:space="preserve">Localização / Área</t>
  </si>
  <si>
    <t xml:space="preserve">TM-001</t>
  </si>
  <si>
    <t xml:space="preserve">Torno mecânico universal 1.000 mm</t>
  </si>
  <si>
    <t xml:space="preserve">Metalúrgica Vale Norte</t>
  </si>
  <si>
    <t xml:space="preserve">Usinagem — Bancada 1</t>
  </si>
  <si>
    <t xml:space="preserve">PH-001</t>
  </si>
  <si>
    <t xml:space="preserve">Prensa hidráulica 100 t</t>
  </si>
  <si>
    <t xml:space="preserve">Estamparia</t>
  </si>
  <si>
    <t xml:space="preserve">ET-001</t>
  </si>
  <si>
    <t xml:space="preserve">Esteira transportadora 12 m</t>
  </si>
  <si>
    <t xml:space="preserve">Linha de montagem</t>
  </si>
  <si>
    <t xml:space="preserve">MS-001</t>
  </si>
  <si>
    <t xml:space="preserve">Máquina de solda MIG 350 A</t>
  </si>
  <si>
    <t xml:space="preserve">Solda — Cabine 2</t>
  </si>
  <si>
    <t xml:space="preserve">FB-001</t>
  </si>
  <si>
    <t xml:space="preserve">Furadeira de bancada 5/8"</t>
  </si>
  <si>
    <t xml:space="preserve">Ferramentaria</t>
  </si>
  <si>
    <t xml:space="preserve">CP-001</t>
  </si>
  <si>
    <t xml:space="preserve">Compressor de ar 50 hp</t>
  </si>
  <si>
    <t xml:space="preserve">Casa de máquinas</t>
  </si>
  <si>
    <t xml:space="preserve">EM-001</t>
  </si>
  <si>
    <t xml:space="preserve">Empilhadeira 2,5 t — GLP</t>
  </si>
  <si>
    <t xml:space="preserve">Expedição</t>
  </si>
  <si>
    <t xml:space="preserve">FR-001</t>
  </si>
  <si>
    <t xml:space="preserve">Fresadora ferramenteira</t>
  </si>
  <si>
    <t xml:space="preserve">Usinagem — Bancada 3</t>
  </si>
  <si>
    <t xml:space="preserve">Planos</t>
  </si>
  <si>
    <t xml:space="preserve">Uma linha por rotina. O cronograma é gerado a partir daqui — periodicidade em dias × quantidade de eventos.</t>
  </si>
  <si>
    <t xml:space="preserve">Datas realizadas — digite a data em que cada evento foi executado</t>
  </si>
  <si>
    <t xml:space="preserve">Plano</t>
  </si>
  <si>
    <t xml:space="preserve">O que se faz *</t>
  </si>
  <si>
    <t xml:space="preserve">Tipo de serviço *</t>
  </si>
  <si>
    <t xml:space="preserve">Periodicidade (dias) *</t>
  </si>
  <si>
    <t xml:space="preserve">1ª data *</t>
  </si>
  <si>
    <t xml:space="preserve">Nº de eventos *</t>
  </si>
  <si>
    <t xml:space="preserve">Responsável</t>
  </si>
  <si>
    <t xml:space="preserve">O.S.</t>
  </si>
  <si>
    <t xml:space="preserve">Preventiva mensal — inspeção geral</t>
  </si>
  <si>
    <t xml:space="preserve">Carlos Menezes</t>
  </si>
  <si>
    <t xml:space="preserve">1001</t>
  </si>
  <si>
    <t xml:space="preserve">Lubrificação e ajuste de folgas</t>
  </si>
  <si>
    <t xml:space="preserve">Rafael Lima</t>
  </si>
  <si>
    <t xml:space="preserve">Preventiva bimestral — roletes e correia</t>
  </si>
  <si>
    <t xml:space="preserve">1002</t>
  </si>
  <si>
    <t xml:space="preserve">Revisão anual das proteções de segurança</t>
  </si>
  <si>
    <t xml:space="preserve">Preventiva trimestral — tocha e garra</t>
  </si>
  <si>
    <t xml:space="preserve">Juliana Reis</t>
  </si>
  <si>
    <t xml:space="preserve">Preventiva trimestral — mandril e polias</t>
  </si>
  <si>
    <t xml:space="preserve">Troca do elemento filtrante</t>
  </si>
  <si>
    <t xml:space="preserve">1003</t>
  </si>
  <si>
    <t xml:space="preserve">Análise de vibração</t>
  </si>
  <si>
    <t xml:space="preserve">Revisão das 500 h</t>
  </si>
  <si>
    <t xml:space="preserve">Calendário</t>
  </si>
  <si>
    <t xml:space="preserve">As manutenções de cada dia, buscadas automaticamente. Escolha a data inicial e a janela de 28 dias anda junto. Só leitura.</t>
  </si>
  <si>
    <t xml:space="preserve">← início da janela. Digite outra data para navegar.</t>
  </si>
  <si>
    <t xml:space="preserve">Cronograma (calculado)</t>
  </si>
  <si>
    <t xml:space="preserve">Tudo aqui é calculado a partir de «Planos» — a aba está protegida justamente para não se digitar por cima. O filtro do cabeçalho continua funcionando.</t>
  </si>
  <si>
    <t xml:space="preserve">Evento</t>
  </si>
  <si>
    <t xml:space="preserve">TAG</t>
  </si>
  <si>
    <t xml:space="preserve">Ativo</t>
  </si>
  <si>
    <t xml:space="preserve">O que se faz</t>
  </si>
  <si>
    <t xml:space="preserve">Data prevista</t>
  </si>
  <si>
    <t xml:space="preserve">Realizado em</t>
  </si>
  <si>
    <t xml:space="preserve">Atraso (dias)</t>
  </si>
  <si>
    <t xml:space="preserve">Faixa de atraso</t>
  </si>
  <si>
    <t xml:space="preserve">Ordem no dia</t>
  </si>
  <si>
    <t xml:space="preserve">Chave dia+ordem</t>
  </si>
  <si>
    <t xml:space="preserve">Resumo por ativo</t>
  </si>
  <si>
    <t xml:space="preserve">Calculado — não digite nada aqui.</t>
  </si>
  <si>
    <t xml:space="preserve">Entidade</t>
  </si>
  <si>
    <t xml:space="preserve">Previstas até hoje</t>
  </si>
  <si>
    <t xml:space="preserve">Realizadas</t>
  </si>
  <si>
    <t xml:space="preserve">Atrasadas</t>
  </si>
  <si>
    <t xml:space="preserve">Em aberto</t>
  </si>
  <si>
    <t xml:space="preserve">Aderência</t>
  </si>
  <si>
    <t xml:space="preserve">Próxima manutenção</t>
  </si>
  <si>
    <t xml:space="preserve">Ordenação do Top 5 (coluna técnica)</t>
  </si>
  <si>
    <t xml:space="preserve">Painel do plano de manutenção</t>
  </si>
  <si>
    <t xml:space="preserve">PLANOS ATIVOS</t>
  </si>
  <si>
    <t xml:space="preserve">MANUTENÇÕES NO PLANO</t>
  </si>
  <si>
    <t xml:space="preserve">ADERÊNCIA AO PLANO</t>
  </si>
  <si>
    <t xml:space="preserve">PONTUALIDADE</t>
  </si>
  <si>
    <t xml:space="preserve">rotinas cadastradas</t>
  </si>
  <si>
    <t xml:space="preserve">eventos programados</t>
  </si>
  <si>
    <t xml:space="preserve">realizadas ÷ previstas até hoje</t>
  </si>
  <si>
    <t xml:space="preserve">no prazo · todo o histórico</t>
  </si>
  <si>
    <t xml:space="preserve">ATRASADAS</t>
  </si>
  <si>
    <t xml:space="preserve">ATRASO MÉDIO</t>
  </si>
  <si>
    <t xml:space="preserve">VENCEM EM BREVE</t>
  </si>
  <si>
    <t xml:space="preserve">REALIZADAS</t>
  </si>
  <si>
    <t xml:space="preserve">venceram e não foram feitas</t>
  </si>
  <si>
    <t xml:space="preserve">só as que atrasaram</t>
  </si>
  <si>
    <t xml:space="preserve">na janela dos parâmetros</t>
  </si>
  <si>
    <t xml:space="preserve">no histórico</t>
  </si>
  <si>
    <t xml:space="preserve">#</t>
  </si>
  <si>
    <t xml:space="preserve">No Andonize o plano vira tarefa de verdade na agenda do técnico — e a aderência se atualiza sozinha conforme ele conclui.   ·   andonize.com</t>
  </si>
  <si>
    <t xml:space="preserve">Dados dos gráficos</t>
  </si>
  <si>
    <t xml:space="preserve">Tabelas que alimentam os gráficos. Faixa sem nenhuma ocorrência fica vazia — é assim que o gráfico deixa de desenhar a fatia.</t>
  </si>
  <si>
    <t xml:space="preserve">Mês</t>
  </si>
  <si>
    <t xml:space="preserve">Programadas</t>
  </si>
  <si>
    <t xml:space="preserve">Faixa</t>
  </si>
  <si>
    <t xml:space="preserve">No prazo</t>
  </si>
  <si>
    <t xml:space="preserve">Até 7 dias</t>
  </si>
  <si>
    <t xml:space="preserve">Até 30 dias</t>
  </si>
  <si>
    <t xml:space="preserve">Acima de 30</t>
  </si>
  <si>
    <t xml:space="preserve">Uso e direitos</t>
  </si>
  <si>
    <t xml:space="preserve">Planilha gratuita da Andonize. Uso livre na sua empresa e com os seus clientes, inclusive comercial. Não é permitido revender, redistribuir como material próprio nem publicar o arquivo para download em outro site. © 2026 Andonize · andonize.com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</si>
</sst>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dd/mm/yyyy\ hh:mm"/>
    <numFmt numFmtId="166" formatCode="0"/>
    <numFmt numFmtId="167" formatCode="dd/mm/yyyy"/>
    <numFmt numFmtId="168" formatCode="dd/mm"/>
    <numFmt numFmtId="169" formatCode="General"/>
    <numFmt numFmtId="170" formatCode="dd/mm/yyyy;;;"/>
    <numFmt numFmtId="171" formatCode="0\%"/>
    <numFmt numFmtId="172" formatCode="0.0&quot; d&quot;"/>
    <numFmt numFmtId="173" formatCode="mmm/yy"/>
  </numFmts>
  <fonts count="3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F38C4"/>
      <name val="Arial"/>
      <family val="0"/>
      <charset val="1"/>
    </font>
    <font>
      <b val="true"/>
      <sz val="18"/>
      <color rgb="FF1A2B42"/>
      <name val="Arial"/>
      <family val="0"/>
      <charset val="1"/>
    </font>
    <font>
      <sz val="11"/>
      <color rgb="FF5C6C85"/>
      <name val="Arial"/>
      <family val="0"/>
      <charset val="1"/>
    </font>
    <font>
      <b val="true"/>
      <sz val="12"/>
      <color rgb="FF1A2B42"/>
      <name val="Arial"/>
      <family val="0"/>
      <charset val="1"/>
    </font>
    <font>
      <b val="true"/>
      <sz val="10"/>
      <color rgb="FF1A2B42"/>
      <name val="Arial"/>
      <family val="0"/>
      <charset val="1"/>
    </font>
    <font>
      <sz val="10"/>
      <color rgb="FF5C6C85"/>
      <name val="Arial"/>
      <family val="0"/>
      <charset val="1"/>
    </font>
    <font>
      <b val="true"/>
      <i val="true"/>
      <sz val="10"/>
      <color rgb="FF5C6C85"/>
      <name val="Arial"/>
      <family val="0"/>
      <charset val="1"/>
    </font>
    <font>
      <sz val="10"/>
      <color rgb="FF0F38C4"/>
      <name val="Arial"/>
      <family val="0"/>
      <charset val="1"/>
    </font>
    <font>
      <sz val="9"/>
      <color rgb="FF8A9AB5"/>
      <name val="Arial"/>
      <family val="0"/>
      <charset val="1"/>
    </font>
    <font>
      <b val="true"/>
      <sz val="14"/>
      <color rgb="FF1A2B42"/>
      <name val="Arial"/>
      <family val="0"/>
      <charset val="1"/>
    </font>
    <font>
      <b val="true"/>
      <sz val="10"/>
      <color rgb="FF0F38C4"/>
      <name val="Arial"/>
      <family val="0"/>
      <charset val="1"/>
    </font>
    <font>
      <sz val="9"/>
      <color rgb="FF5C6C85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10"/>
      <color rgb="FF1A2B42"/>
      <name val="Arial"/>
      <family val="0"/>
      <charset val="1"/>
    </font>
    <font>
      <i val="true"/>
      <sz val="10"/>
      <color rgb="FF5C6C85"/>
      <name val="Arial"/>
      <family val="0"/>
      <charset val="1"/>
    </font>
    <font>
      <sz val="10"/>
      <name val="Arial"/>
      <family val="2"/>
    </font>
    <font>
      <i val="true"/>
      <sz val="9"/>
      <color rgb="FF8A9AB5"/>
      <name val="Arial"/>
      <family val="0"/>
      <charset val="1"/>
    </font>
    <font>
      <sz val="8"/>
      <color rgb="FF8A9AB5"/>
      <name val="Arial"/>
      <family val="0"/>
      <charset val="1"/>
    </font>
    <font>
      <b val="true"/>
      <sz val="8"/>
      <color rgb="FF0F38C4"/>
      <name val="Arial"/>
      <family val="0"/>
      <charset val="1"/>
    </font>
    <font>
      <b val="true"/>
      <sz val="9"/>
      <color rgb="FF1A2B42"/>
      <name val="Arial"/>
      <family val="0"/>
      <charset val="1"/>
    </font>
    <font>
      <sz val="9"/>
      <color rgb="FF1A2B42"/>
      <name val="Arial"/>
      <family val="0"/>
      <charset val="1"/>
    </font>
    <font>
      <b val="true"/>
      <sz val="20"/>
      <color rgb="FF1A2B42"/>
      <name val="Arial"/>
      <family val="0"/>
      <charset val="1"/>
    </font>
    <font>
      <b val="true"/>
      <sz val="9"/>
      <color rgb="FF5C6C85"/>
      <name val="Arial"/>
      <family val="0"/>
      <charset val="1"/>
    </font>
    <font>
      <b val="true"/>
      <sz val="22"/>
      <color rgb="FF0F38C4"/>
      <name val="Arial"/>
      <family val="0"/>
      <charset val="1"/>
    </font>
    <font>
      <b val="true"/>
      <sz val="22"/>
      <color rgb="FF00875A"/>
      <name val="Arial"/>
      <family val="0"/>
      <charset val="1"/>
    </font>
    <font>
      <b val="true"/>
      <sz val="22"/>
      <color rgb="FFC41E3A"/>
      <name val="Arial"/>
      <family val="0"/>
      <charset val="1"/>
    </font>
    <font>
      <b val="true"/>
      <sz val="22"/>
      <color rgb="FFA66300"/>
      <name val="Arial"/>
      <family val="0"/>
      <charset val="1"/>
    </font>
    <font>
      <b val="true"/>
      <sz val="22"/>
      <color rgb="FF5C6C85"/>
      <name val="Arial"/>
      <family val="0"/>
      <charset val="1"/>
    </font>
    <font>
      <b val="true"/>
      <sz val="11"/>
      <color rgb="FF1A2B42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2"/>
      <color rgb="FF1A2B42"/>
      <name val="Arial"/>
      <family val="2"/>
    </font>
    <font>
      <sz val="9"/>
      <color rgb="FF8A9AB5"/>
      <name val="Arial"/>
      <family val="2"/>
    </font>
    <font>
      <b val="true"/>
      <sz val="9"/>
      <color rgb="FFFFFFFF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EBF0FF"/>
        <bgColor rgb="FFEBF0F8"/>
      </patternFill>
    </fill>
    <fill>
      <patternFill patternType="solid">
        <fgColor rgb="FFFFFFFF"/>
        <bgColor rgb="FFF5F8FD"/>
      </patternFill>
    </fill>
    <fill>
      <patternFill patternType="solid">
        <fgColor rgb="FFEBF0F8"/>
        <bgColor rgb="FFEBF0FF"/>
      </patternFill>
    </fill>
    <fill>
      <patternFill patternType="solid">
        <fgColor rgb="FF1A2B42"/>
        <bgColor rgb="FF003366"/>
      </patternFill>
    </fill>
    <fill>
      <patternFill patternType="solid">
        <fgColor rgb="FF0F38C4"/>
        <bgColor rgb="FF003366"/>
      </patternFill>
    </fill>
    <fill>
      <patternFill patternType="solid">
        <fgColor rgb="FFF5F8FD"/>
        <bgColor rgb="FFFFFFFF"/>
      </patternFill>
    </fill>
    <fill>
      <patternFill patternType="solid">
        <fgColor rgb="FFE6FAF4"/>
        <bgColor rgb="FFEBF0F8"/>
      </patternFill>
    </fill>
    <fill>
      <patternFill patternType="solid">
        <fgColor rgb="FFFFECF0"/>
        <bgColor rgb="FFFFF4E0"/>
      </patternFill>
    </fill>
    <fill>
      <patternFill patternType="solid">
        <fgColor rgb="FFFFF4E0"/>
        <bgColor rgb="FFFFECF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AE2EF"/>
      </left>
      <right style="thin">
        <color rgb="FFDAE2EF"/>
      </right>
      <top style="thin">
        <color rgb="FFDAE2EF"/>
      </top>
      <bottom style="thin">
        <color rgb="FFDAE2EF"/>
      </bottom>
      <diagonal/>
    </border>
    <border diagonalUp="false" diagonalDown="false">
      <left style="medium">
        <color rgb="FF0F38C4"/>
      </left>
      <right style="medium">
        <color rgb="FF0F38C4"/>
      </right>
      <top style="medium">
        <color rgb="FF0F38C4"/>
      </top>
      <bottom style="medium">
        <color rgb="FF0F38C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3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1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8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6" fillId="5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9" fontId="23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9" fontId="23" fillId="7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9" fontId="24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9" fontId="24" fillId="7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8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0" fontId="1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1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6" fillId="8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27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1" fontId="28" fillId="8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2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2" fillId="8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26" fillId="9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6" fillId="1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6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29" fillId="9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2" fontId="30" fillId="1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30" fillId="1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31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9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2" fillId="1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2" fillId="4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6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3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8">
    <dxf>
      <border diagonalUp="false" diagonalDown="false">
        <left style="thin">
          <color rgb="FFDAE2EF"/>
        </left>
        <right style="thin">
          <color rgb="FFDAE2EF"/>
        </right>
        <top style="thin">
          <color rgb="FFDAE2EF"/>
        </top>
        <bottom/>
        <diagonal/>
      </border>
    </dxf>
    <dxf>
      <border diagonalUp="false" diagonalDown="false">
        <left style="thin">
          <color rgb="FFDAE2EF"/>
        </left>
        <right style="thin">
          <color rgb="FFDAE2EF"/>
        </right>
        <top/>
        <bottom/>
        <diagonal/>
      </border>
    </dxf>
    <dxf>
      <font>
        <name val="Arial"/>
        <charset val="1"/>
        <family val="0"/>
        <b val="1"/>
        <color rgb="FF00875A"/>
        <sz val="9"/>
      </font>
      <fill>
        <patternFill>
          <bgColor rgb="FFE6FAF4"/>
        </patternFill>
      </fill>
      <border diagonalUp="false" diagonalDown="false">
        <left style="thin">
          <color rgb="FF8A9AB5"/>
        </left>
        <right style="thin">
          <color rgb="FF8A9AB5"/>
        </right>
        <top style="thin">
          <color rgb="FF8A9AB5"/>
        </top>
        <bottom style="thin">
          <color rgb="FF8A9AB5"/>
        </bottom>
        <diagonal/>
      </border>
    </dxf>
    <dxf>
      <font>
        <name val="Arial"/>
        <charset val="1"/>
        <family val="0"/>
        <b val="1"/>
        <color rgb="FFC41E3A"/>
        <sz val="9"/>
      </font>
      <fill>
        <patternFill>
          <bgColor rgb="FFFFECF0"/>
        </patternFill>
      </fill>
      <border diagonalUp="false" diagonalDown="false">
        <left style="thin">
          <color rgb="FF8A9AB5"/>
        </left>
        <right style="thin">
          <color rgb="FF8A9AB5"/>
        </right>
        <top style="thin">
          <color rgb="FF8A9AB5"/>
        </top>
        <bottom style="thin">
          <color rgb="FF8A9AB5"/>
        </bottom>
        <diagonal/>
      </border>
    </dxf>
    <dxf>
      <font>
        <name val="Arial"/>
        <charset val="1"/>
        <family val="0"/>
        <b val="1"/>
        <color rgb="FF5C6C85"/>
        <sz val="9"/>
      </font>
      <fill>
        <patternFill>
          <bgColor rgb="FFEBF0F8"/>
        </patternFill>
      </fill>
      <border diagonalUp="false" diagonalDown="false">
        <left style="thin">
          <color rgb="FF8A9AB5"/>
        </left>
        <right style="thin">
          <color rgb="FF8A9AB5"/>
        </right>
        <top style="thin">
          <color rgb="FF8A9AB5"/>
        </top>
        <bottom style="thin">
          <color rgb="FF8A9AB5"/>
        </bottom>
        <diagonal/>
      </border>
    </dxf>
    <dxf>
      <fill>
        <patternFill patternType="solid">
          <fgColor rgb="FF1A2B42"/>
          <bgColor rgb="FF000000"/>
        </patternFill>
      </fill>
    </dxf>
    <dxf>
      <fill>
        <patternFill patternType="solid">
          <fgColor rgb="FFEBF0F8"/>
          <bgColor rgb="FF000000"/>
        </patternFill>
      </fill>
    </dxf>
    <dxf>
      <fill>
        <patternFill patternType="solid">
          <fgColor rgb="FF5C6C85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E6FAF4"/>
          <bgColor rgb="FF000000"/>
        </patternFill>
      </fill>
    </dxf>
    <dxf>
      <fill>
        <patternFill patternType="solid">
          <fgColor rgb="FFFFECF0"/>
          <bgColor rgb="FF000000"/>
        </patternFill>
      </fill>
    </dxf>
    <dxf>
      <fill>
        <patternFill patternType="solid">
          <fgColor rgb="FF00875A"/>
          <bgColor rgb="FF000000"/>
        </patternFill>
      </fill>
    </dxf>
    <dxf>
      <fill>
        <patternFill patternType="solid">
          <fgColor rgb="FFC41E3A"/>
          <bgColor rgb="FF000000"/>
        </patternFill>
      </fill>
    </dxf>
    <dxf>
      <font>
        <name val="Arial"/>
        <charset val="1"/>
        <family val="0"/>
        <b val="1"/>
        <color rgb="FF00875A"/>
        <sz val="10"/>
      </font>
      <fill>
        <patternFill>
          <bgColor rgb="FFE6FAF4"/>
        </patternFill>
      </fill>
    </dxf>
    <dxf>
      <font>
        <name val="Arial"/>
        <charset val="1"/>
        <family val="0"/>
        <b val="1"/>
        <color rgb="FFC41E3A"/>
        <sz val="10"/>
      </font>
      <fill>
        <patternFill>
          <bgColor rgb="FFFFECF0"/>
        </patternFill>
      </fill>
    </dxf>
    <dxf>
      <font>
        <name val="Arial"/>
        <charset val="1"/>
        <family val="0"/>
        <b val="1"/>
        <color rgb="FF5C6C85"/>
        <sz val="10"/>
      </font>
      <fill>
        <patternFill>
          <bgColor rgb="FFEBF0F8"/>
        </patternFill>
      </fill>
    </dxf>
    <dxf>
      <font>
        <name val="Arial"/>
        <charset val="1"/>
        <family val="0"/>
        <b val="1"/>
        <color rgb="FFA66300"/>
        <sz val="10"/>
      </font>
      <fill>
        <patternFill>
          <bgColor rgb="FFFFF4E0"/>
        </patternFill>
      </fill>
    </dxf>
    <dxf>
      <font>
        <name val="Arial"/>
        <charset val="1"/>
        <family val="0"/>
        <color rgb="FFFFFFFF"/>
        <sz val="9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A66300"/>
      <rgbColor rgb="FF800080"/>
      <rgbColor rgb="FF00875A"/>
      <rgbColor rgb="FFDAE2EF"/>
      <rgbColor rgb="FF878787"/>
      <rgbColor rgb="FF9999FF"/>
      <rgbColor rgb="FFC41E3A"/>
      <rgbColor rgb="FFFFF4E0"/>
      <rgbColor rgb="FFE6FAF4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BF0FF"/>
      <rgbColor rgb="FFEBF0F8"/>
      <rgbColor rgb="FFFFECF0"/>
      <rgbColor rgb="FF99CCFF"/>
      <rgbColor rgb="FFFF99CC"/>
      <rgbColor rgb="FFCC99FF"/>
      <rgbColor rgb="FFF5F8FD"/>
      <rgbColor rgb="FF4F81BD"/>
      <rgbColor rgb="FF33CCCC"/>
      <rgbColor rgb="FF99CC00"/>
      <rgbColor rgb="FFFFCC00"/>
      <rgbColor rgb="FFFF9900"/>
      <rgbColor rgb="FFFF6600"/>
      <rgbColor rgb="FF5C6C85"/>
      <rgbColor rgb="FF8A9AB5"/>
      <rgbColor rgb="FF003366"/>
      <rgbColor rgb="FF339966"/>
      <rgbColor rgb="FF003300"/>
      <rgbColor rgb="FF333300"/>
      <rgbColor rgb="FF993300"/>
      <rgbColor rgb="FF993366"/>
      <rgbColor rgb="FF0F38C4"/>
      <rgbColor rgb="FF1A2B4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Manutenções programadas por mês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Painel!C60</c:f>
              <c:strCache>
                <c:ptCount val="1"/>
                <c:pt idx="0">
                  <c:v>Programadas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Painel!$B$61:$B$72</c:f>
              <c:strCache>
                <c:ptCount val="12"/>
                <c:pt idx="0">
                  <c:v>Jul/26</c:v>
                </c:pt>
                <c:pt idx="1">
                  <c:v>Aug/26</c:v>
                </c:pt>
                <c:pt idx="2">
                  <c:v>Sep/26</c:v>
                </c:pt>
                <c:pt idx="3">
                  <c:v>Oct/26</c:v>
                </c:pt>
                <c:pt idx="4">
                  <c:v>Nov/26</c:v>
                </c:pt>
                <c:pt idx="5">
                  <c:v>Dec/26</c:v>
                </c:pt>
                <c:pt idx="6">
                  <c:v>Jan/27</c:v>
                </c:pt>
                <c:pt idx="7">
                  <c:v>Feb/27</c:v>
                </c:pt>
                <c:pt idx="8">
                  <c:v>Mar/27</c:v>
                </c:pt>
                <c:pt idx="9">
                  <c:v>Apr/27</c:v>
                </c:pt>
                <c:pt idx="10">
                  <c:v>May/27</c:v>
                </c:pt>
                <c:pt idx="11">
                  <c:v>Jun/27</c:v>
                </c:pt>
              </c:strCache>
            </c:strRef>
          </c:cat>
          <c:val>
            <c:numRef>
              <c:f>Painel!$C$61:$C$72</c:f>
              <c:numCache>
                <c:formatCode>General</c:formatCode>
                <c:ptCount val="12"/>
                <c:pt idx="0">
                  <c:v>3</c:v>
                </c:pt>
                <c:pt idx="1">
                  <c:v>10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6</c:v>
                </c:pt>
                <c:pt idx="6">
                  <c:v>5</c:v>
                </c:pt>
                <c:pt idx="7">
                  <c:v>9</c:v>
                </c:pt>
                <c:pt idx="8">
                  <c:v>4</c:v>
                </c:pt>
                <c:pt idx="9">
                  <c:v>5</c:v>
                </c:pt>
                <c:pt idx="10">
                  <c:v>8</c:v>
                </c:pt>
                <c:pt idx="11">
                  <c:v>6</c:v>
                </c:pt>
              </c:numCache>
            </c:numRef>
          </c:val>
        </c:ser>
        <c:gapWidth val="150"/>
        <c:overlap val="0"/>
        <c:axId val="47381304"/>
        <c:axId val="22131861"/>
      </c:barChart>
      <c:catAx>
        <c:axId val="47381304"/>
        <c:scaling>
          <c:orientation val="minMax"/>
        </c:scaling>
        <c:delete val="0"/>
        <c:axPos val="b"/>
        <c:numFmt formatCode="mmm/yy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2131861"/>
        <c:crosses val="autoZero"/>
        <c:auto val="1"/>
        <c:lblAlgn val="ctr"/>
        <c:lblOffset val="100"/>
        <c:noMultiLvlLbl val="0"/>
      </c:catAx>
      <c:valAx>
        <c:axId val="2213186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7381304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200" spc="-1" strike="noStrike">
                <a:solidFill>
                  <a:srgbClr val="1a2b42"/>
                </a:solidFill>
                <a:latin typeface="Arial"/>
              </a:defRPr>
            </a:pPr>
            <a:r>
              <a:rPr b="1" sz="1200" spc="-1" strike="noStrike">
                <a:solidFill>
                  <a:srgbClr val="1a2b42"/>
                </a:solidFill>
                <a:latin typeface="Arial"/>
              </a:rPr>
              <a:t>Pontualidade
Últimos 3 meses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doughnutChart>
        <c:varyColors val="1"/>
        <c:ser>
          <c:idx val="0"/>
          <c:order val="0"/>
          <c:tx>
            <c:strRef>
              <c:f>Painel!F60</c:f>
              <c:strCache>
                <c:ptCount val="1"/>
                <c:pt idx="0">
                  <c:v>Realizadas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00875a"/>
              </a:solidFill>
              <a:ln w="0">
                <a:noFill/>
              </a:ln>
            </c:spPr>
          </c:dPt>
          <c:dPt>
            <c:idx val="1"/>
            <c:spPr>
              <a:solidFill>
                <a:srgbClr val="0f38c4"/>
              </a:solidFill>
              <a:ln w="0">
                <a:noFill/>
              </a:ln>
            </c:spPr>
          </c:dPt>
          <c:dPt>
            <c:idx val="2"/>
            <c:spPr>
              <a:solidFill>
                <a:srgbClr val="a66300"/>
              </a:solidFill>
              <a:ln w="0">
                <a:noFill/>
              </a:ln>
            </c:spPr>
          </c:dPt>
          <c:dPt>
            <c:idx val="3"/>
            <c:spPr>
              <a:solidFill>
                <a:srgbClr val="c41e3a"/>
              </a:solidFill>
              <a:ln w="0">
                <a:noFill/>
              </a:ln>
            </c:spPr>
          </c:dPt>
          <c:dLbls>
            <c:dLbl>
              <c:idx val="0"/>
              <c:txPr>
                <a:bodyPr wrap="square"/>
                <a:lstStyle/>
                <a:p>
                  <a:pPr>
                    <a:defRPr b="1" sz="900" spc="-1" strike="noStrike">
                      <a:solidFill>
                        <a:srgbClr val="ffffff"/>
                      </a:solidFill>
                      <a:latin typeface="Arial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1"/>
              <c:txPr>
                <a:bodyPr wrap="square"/>
                <a:lstStyle/>
                <a:p>
                  <a:pPr>
                    <a:defRPr b="1" sz="900" spc="-1" strike="noStrike">
                      <a:solidFill>
                        <a:srgbClr val="ffffff"/>
                      </a:solidFill>
                      <a:latin typeface="Arial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2"/>
              <c:txPr>
                <a:bodyPr wrap="square"/>
                <a:lstStyle/>
                <a:p>
                  <a:pPr>
                    <a:defRPr b="1" sz="900" spc="-1" strike="noStrike">
                      <a:solidFill>
                        <a:srgbClr val="ffffff"/>
                      </a:solidFill>
                      <a:latin typeface="Arial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3"/>
              <c:txPr>
                <a:bodyPr wrap="square"/>
                <a:lstStyle/>
                <a:p>
                  <a:pPr>
                    <a:defRPr b="1" sz="900" spc="-1" strike="noStrike">
                      <a:solidFill>
                        <a:srgbClr val="ffffff"/>
                      </a:solidFill>
                      <a:latin typeface="Arial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eparator>; </c:separator>
            </c:dLbl>
            <c:txPr>
              <a:bodyPr wrap="square"/>
              <a:lstStyle/>
              <a:p>
                <a:pPr>
                  <a:defRPr b="1" sz="900" spc="-1" strike="noStrike">
                    <a:solidFill>
                      <a:srgbClr val="ffffff"/>
                    </a:solidFill>
                    <a:latin typeface="Arial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eparator>; </c:separator>
            <c:showLeaderLines val="1"/>
          </c:dLbls>
          <c:cat>
            <c:strRef>
              <c:f>Painel!$E$61:$E$64</c:f>
              <c:strCache>
                <c:ptCount val="4"/>
                <c:pt idx="0">
                  <c:v>No prazo</c:v>
                </c:pt>
                <c:pt idx="1">
                  <c:v>Até 7 dias</c:v>
                </c:pt>
                <c:pt idx="2">
                  <c:v>Até 30 dias</c:v>
                </c:pt>
                <c:pt idx="3">
                  <c:v>Acima de 30</c:v>
                </c:pt>
              </c:strCache>
            </c:strRef>
          </c:cat>
          <c:val>
            <c:numRef>
              <c:f>Painel!$F$61:$F$64</c:f>
              <c:numCache>
                <c:formatCode>General</c:formatCode>
                <c:ptCount val="4"/>
                <c:pt idx="0">
                  <c:v>9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</c:ser>
        <c:firstSliceAng val="0"/>
        <c:holeSize val="50"/>
      </c:doughnutChart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</xdr:row>
      <xdr:rowOff>0</xdr:rowOff>
    </xdr:from>
    <xdr:to>
      <xdr:col>1</xdr:col>
      <xdr:colOff>218880</xdr:colOff>
      <xdr:row>1</xdr:row>
      <xdr:rowOff>266400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141120" y="190440"/>
          <a:ext cx="218880" cy="2664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21</xdr:row>
      <xdr:rowOff>70200</xdr:rowOff>
    </xdr:from>
    <xdr:to>
      <xdr:col>7</xdr:col>
      <xdr:colOff>771480</xdr:colOff>
      <xdr:row>35</xdr:row>
      <xdr:rowOff>66960</xdr:rowOff>
    </xdr:to>
    <xdr:graphicFrame>
      <xdr:nvGraphicFramePr>
        <xdr:cNvPr id="1" name="Chart 1"/>
        <xdr:cNvGraphicFramePr/>
      </xdr:nvGraphicFramePr>
      <xdr:xfrm>
        <a:off x="141120" y="4705200"/>
        <a:ext cx="4859640" cy="2663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21</xdr:row>
      <xdr:rowOff>70200</xdr:rowOff>
    </xdr:from>
    <xdr:to>
      <xdr:col>14</xdr:col>
      <xdr:colOff>466920</xdr:colOff>
      <xdr:row>35</xdr:row>
      <xdr:rowOff>66960</xdr:rowOff>
    </xdr:to>
    <xdr:graphicFrame>
      <xdr:nvGraphicFramePr>
        <xdr:cNvPr id="2" name="Chart 2"/>
        <xdr:cNvGraphicFramePr/>
      </xdr:nvGraphicFramePr>
      <xdr:xfrm>
        <a:off x="5216040" y="4705200"/>
        <a:ext cx="3779640" cy="2663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vmlDrawing" Target="../drawings/vmlDrawing1.v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F38C4"/>
    <pageSetUpPr fitToPage="true"/>
  </sheetPr>
  <dimension ref="B2:C3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36"/>
    <col collapsed="false" customWidth="true" hidden="false" outlineLevel="0" max="3" min="3" style="0" width="98"/>
    <col collapsed="false" customWidth="true" hidden="false" outlineLevel="0" max="4" min="4" style="0" width="2"/>
  </cols>
  <sheetData>
    <row r="2" customFormat="false" ht="25.5" hidden="false" customHeight="true" outlineLevel="0" collapsed="false">
      <c r="B2" s="1" t="s">
        <v>0</v>
      </c>
    </row>
    <row r="4" customFormat="false" ht="22.05" hidden="false" customHeight="false" outlineLevel="0" collapsed="false">
      <c r="B4" s="2" t="s">
        <v>1</v>
      </c>
    </row>
    <row r="5" customFormat="false" ht="30" hidden="false" customHeight="true" outlineLevel="0" collapsed="false">
      <c r="B5" s="3" t="s">
        <v>2</v>
      </c>
      <c r="C5" s="3"/>
    </row>
    <row r="8" customFormat="false" ht="25.5" hidden="false" customHeight="true" outlineLevel="0" collapsed="false">
      <c r="B8" s="4" t="s">
        <v>3</v>
      </c>
      <c r="C8" s="5"/>
    </row>
    <row r="10" customFormat="false" ht="30" hidden="false" customHeight="true" outlineLevel="0" collapsed="false">
      <c r="B10" s="6" t="s">
        <v>4</v>
      </c>
      <c r="C10" s="7" t="s">
        <v>5</v>
      </c>
    </row>
    <row r="11" customFormat="false" ht="45.75" hidden="false" customHeight="true" outlineLevel="0" collapsed="false">
      <c r="B11" s="6" t="s">
        <v>6</v>
      </c>
      <c r="C11" s="7" t="s">
        <v>7</v>
      </c>
    </row>
    <row r="12" customFormat="false" ht="45.75" hidden="false" customHeight="true" outlineLevel="0" collapsed="false">
      <c r="B12" s="6" t="s">
        <v>8</v>
      </c>
      <c r="C12" s="7" t="s">
        <v>9</v>
      </c>
    </row>
    <row r="13" customFormat="false" ht="45.75" hidden="false" customHeight="true" outlineLevel="0" collapsed="false">
      <c r="B13" s="6" t="s">
        <v>10</v>
      </c>
      <c r="C13" s="7" t="s">
        <v>11</v>
      </c>
    </row>
    <row r="14" customFormat="false" ht="45.75" hidden="false" customHeight="true" outlineLevel="0" collapsed="false">
      <c r="B14" s="6" t="s">
        <v>12</v>
      </c>
      <c r="C14" s="7" t="s">
        <v>13</v>
      </c>
    </row>
    <row r="15" customFormat="false" ht="25.5" hidden="false" customHeight="true" outlineLevel="0" collapsed="false">
      <c r="B15" s="4" t="s">
        <v>14</v>
      </c>
      <c r="C15" s="5"/>
    </row>
    <row r="17" customFormat="false" ht="30" hidden="false" customHeight="true" outlineLevel="0" collapsed="false">
      <c r="B17" s="8" t="s">
        <v>15</v>
      </c>
      <c r="C17" s="7" t="s">
        <v>16</v>
      </c>
    </row>
    <row r="18" customFormat="false" ht="30" hidden="false" customHeight="true" outlineLevel="0" collapsed="false">
      <c r="B18" s="9" t="s">
        <v>17</v>
      </c>
      <c r="C18" s="7" t="s">
        <v>18</v>
      </c>
    </row>
    <row r="19" customFormat="false" ht="25.5" hidden="false" customHeight="true" outlineLevel="0" collapsed="false">
      <c r="B19" s="4" t="s">
        <v>19</v>
      </c>
      <c r="C19" s="5"/>
    </row>
    <row r="21" customFormat="false" ht="45.75" hidden="false" customHeight="true" outlineLevel="0" collapsed="false">
      <c r="B21" s="6" t="s">
        <v>20</v>
      </c>
      <c r="C21" s="7" t="s">
        <v>21</v>
      </c>
    </row>
    <row r="22" customFormat="false" ht="45.75" hidden="false" customHeight="true" outlineLevel="0" collapsed="false">
      <c r="B22" s="6" t="s">
        <v>22</v>
      </c>
      <c r="C22" s="7" t="s">
        <v>23</v>
      </c>
    </row>
    <row r="23" customFormat="false" ht="45.75" hidden="false" customHeight="true" outlineLevel="0" collapsed="false">
      <c r="B23" s="6" t="s">
        <v>24</v>
      </c>
      <c r="C23" s="7" t="s">
        <v>25</v>
      </c>
    </row>
    <row r="24" customFormat="false" ht="45.75" hidden="false" customHeight="true" outlineLevel="0" collapsed="false">
      <c r="B24" s="6" t="s">
        <v>26</v>
      </c>
      <c r="C24" s="7" t="s">
        <v>27</v>
      </c>
    </row>
    <row r="25" customFormat="false" ht="45.75" hidden="false" customHeight="true" outlineLevel="0" collapsed="false">
      <c r="B25" s="6" t="s">
        <v>28</v>
      </c>
      <c r="C25" s="7" t="s">
        <v>29</v>
      </c>
    </row>
    <row r="26" customFormat="false" ht="25.5" hidden="false" customHeight="true" outlineLevel="0" collapsed="false">
      <c r="B26" s="4" t="s">
        <v>30</v>
      </c>
      <c r="C26" s="5"/>
    </row>
    <row r="28" customFormat="false" ht="45.75" hidden="false" customHeight="true" outlineLevel="0" collapsed="false">
      <c r="B28" s="6" t="s">
        <v>31</v>
      </c>
      <c r="C28" s="7" t="s">
        <v>32</v>
      </c>
    </row>
    <row r="29" customFormat="false" ht="45.75" hidden="false" customHeight="true" outlineLevel="0" collapsed="false">
      <c r="B29" s="6" t="s">
        <v>33</v>
      </c>
      <c r="C29" s="7" t="s">
        <v>34</v>
      </c>
    </row>
    <row r="30" customFormat="false" ht="25.5" hidden="false" customHeight="true" outlineLevel="0" collapsed="false">
      <c r="B30" s="4" t="s">
        <v>35</v>
      </c>
      <c r="C30" s="5"/>
    </row>
    <row r="32" customFormat="false" ht="30" hidden="false" customHeight="true" outlineLevel="0" collapsed="false">
      <c r="B32" s="6" t="s">
        <v>36</v>
      </c>
      <c r="C32" s="7" t="s">
        <v>37</v>
      </c>
    </row>
    <row r="33" customFormat="false" ht="45.75" hidden="false" customHeight="true" outlineLevel="0" collapsed="false">
      <c r="B33" s="6" t="s">
        <v>38</v>
      </c>
      <c r="C33" s="7" t="s">
        <v>39</v>
      </c>
    </row>
    <row r="35" customFormat="false" ht="33.75" hidden="false" customHeight="true" outlineLevel="0" collapsed="false">
      <c r="B35" s="10" t="s">
        <v>40</v>
      </c>
      <c r="C35" s="11" t="s">
        <v>41</v>
      </c>
    </row>
    <row r="37" customFormat="false" ht="15" hidden="false" customHeight="false" outlineLevel="0" collapsed="false">
      <c r="B37" s="12" t="s">
        <v>42</v>
      </c>
    </row>
    <row r="39">
      <c r="B39" s="10" t="s">
        <v>168</v>
      </c>
      <c r="C39" s="11" t="s">
        <v>169</v>
      </c>
    </row>
  </sheetData>
  <mergeCells count="1">
    <mergeCell ref="B5:C5"/>
  </mergeCells>
  <printOptions headings="false" gridLines="false" gridLinesSet="true" horizontalCentered="true" verticalCentered="false"/>
  <pageMargins left="0.75" right="0.75" top="1" bottom="1" header="0.511811023622047" footer="0.5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&amp;L&amp;8 Cronograma de Manutenção Preventiva · Andonize&amp;R&amp;8 &amp;P/&amp;N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A9AB5"/>
    <pageSetUpPr fitToPage="true"/>
  </sheetPr>
  <dimension ref="B2:F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40"/>
    <col collapsed="false" customWidth="true" hidden="false" outlineLevel="0" max="3" min="3" style="0" width="18"/>
    <col collapsed="false" customWidth="true" hidden="false" outlineLevel="0" max="4" min="4" style="0" width="3"/>
    <col collapsed="false" customWidth="true" hidden="false" outlineLevel="0" max="5" min="5" style="0" width="40"/>
    <col collapsed="false" customWidth="true" hidden="false" outlineLevel="0" max="6" min="6" style="0" width="22"/>
  </cols>
  <sheetData>
    <row r="2" customFormat="false" ht="17.35" hidden="false" customHeight="false" outlineLevel="0" collapsed="false">
      <c r="B2" s="13" t="s">
        <v>43</v>
      </c>
    </row>
    <row r="4" customFormat="false" ht="21.75" hidden="false" customHeight="true" outlineLevel="0" collapsed="false">
      <c r="B4" s="14" t="s">
        <v>44</v>
      </c>
      <c r="C4" s="15" t="n">
        <f aca="true">NOW()</f>
        <v>46233.9477238775</v>
      </c>
      <c r="E4" s="16" t="s">
        <v>45</v>
      </c>
      <c r="F4" s="16"/>
    </row>
    <row r="5" customFormat="false" ht="21.75" hidden="false" customHeight="true" outlineLevel="0" collapsed="false">
      <c r="B5" s="14" t="s">
        <v>46</v>
      </c>
      <c r="C5" s="17" t="n">
        <v>90</v>
      </c>
      <c r="E5" s="16" t="s">
        <v>47</v>
      </c>
      <c r="F5" s="16"/>
    </row>
    <row r="6" customFormat="false" ht="21.75" hidden="false" customHeight="true" outlineLevel="0" collapsed="false">
      <c r="B6" s="14" t="s">
        <v>48</v>
      </c>
      <c r="C6" s="17" t="n">
        <v>70</v>
      </c>
      <c r="E6" s="16" t="s">
        <v>49</v>
      </c>
      <c r="F6" s="16"/>
    </row>
    <row r="7" customFormat="false" ht="21.75" hidden="false" customHeight="true" outlineLevel="0" collapsed="false">
      <c r="B7" s="14" t="s">
        <v>50</v>
      </c>
      <c r="C7" s="17" t="n">
        <v>30</v>
      </c>
      <c r="E7" s="16" t="s">
        <v>51</v>
      </c>
      <c r="F7" s="16"/>
    </row>
    <row r="10" customFormat="false" ht="15" hidden="false" customHeight="false" outlineLevel="0" collapsed="false">
      <c r="B10" s="18" t="s">
        <v>52</v>
      </c>
    </row>
    <row r="12" customFormat="false" ht="15" hidden="false" customHeight="false" outlineLevel="0" collapsed="false">
      <c r="B12" s="19" t="s">
        <v>53</v>
      </c>
    </row>
    <row r="13" customFormat="false" ht="15" hidden="false" customHeight="false" outlineLevel="0" collapsed="false">
      <c r="B13" s="20" t="s">
        <v>54</v>
      </c>
    </row>
    <row r="14" customFormat="false" ht="15" hidden="false" customHeight="false" outlineLevel="0" collapsed="false">
      <c r="B14" s="20" t="s">
        <v>55</v>
      </c>
    </row>
    <row r="15" customFormat="false" ht="15" hidden="false" customHeight="false" outlineLevel="0" collapsed="false">
      <c r="B15" s="20" t="s">
        <v>56</v>
      </c>
    </row>
    <row r="16" customFormat="false" ht="15" hidden="false" customHeight="false" outlineLevel="0" collapsed="false">
      <c r="B16" s="20" t="s">
        <v>57</v>
      </c>
    </row>
  </sheetData>
  <mergeCells count="4">
    <mergeCell ref="E4:F4"/>
    <mergeCell ref="E5:F5"/>
    <mergeCell ref="E6:F6"/>
    <mergeCell ref="E7:F7"/>
  </mergeCells>
  <printOptions headings="false" gridLines="false" gridLinesSet="true" horizontalCentered="true" verticalCentered="false"/>
  <pageMargins left="0.75" right="0.75" top="1" bottom="1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&amp;L&amp;8 Cronograma de Manutenção Preventiva · Andonize&amp;R&amp;8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2B42"/>
    <pageSetUpPr fitToPage="true"/>
  </sheetPr>
  <dimension ref="A1:D4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44"/>
    <col collapsed="false" customWidth="true" hidden="false" outlineLevel="0" max="3" min="3" style="0" width="28"/>
    <col collapsed="false" customWidth="true" hidden="false" outlineLevel="0" max="4" min="4" style="0" width="26"/>
  </cols>
  <sheetData>
    <row r="1" customFormat="false" ht="17.35" hidden="false" customHeight="false" outlineLevel="0" collapsed="false">
      <c r="A1" s="13" t="s">
        <v>58</v>
      </c>
      <c r="C1" s="21" t="s">
        <v>59</v>
      </c>
    </row>
    <row r="2" customFormat="false" ht="30" hidden="false" customHeight="true" outlineLevel="0" collapsed="false">
      <c r="A2" s="22" t="s">
        <v>60</v>
      </c>
      <c r="B2" s="22" t="s">
        <v>61</v>
      </c>
      <c r="C2" s="22" t="s">
        <v>62</v>
      </c>
      <c r="D2" s="22" t="s">
        <v>63</v>
      </c>
    </row>
    <row r="3" customFormat="false" ht="18" hidden="false" customHeight="true" outlineLevel="0" collapsed="false">
      <c r="A3" s="23" t="s">
        <v>64</v>
      </c>
      <c r="B3" s="23" t="s">
        <v>65</v>
      </c>
      <c r="C3" s="23" t="s">
        <v>66</v>
      </c>
      <c r="D3" s="23" t="s">
        <v>67</v>
      </c>
    </row>
    <row r="4" customFormat="false" ht="18" hidden="false" customHeight="true" outlineLevel="0" collapsed="false">
      <c r="A4" s="23" t="s">
        <v>68</v>
      </c>
      <c r="B4" s="23" t="s">
        <v>69</v>
      </c>
      <c r="C4" s="23" t="s">
        <v>66</v>
      </c>
      <c r="D4" s="23" t="s">
        <v>70</v>
      </c>
    </row>
    <row r="5" customFormat="false" ht="18" hidden="false" customHeight="true" outlineLevel="0" collapsed="false">
      <c r="A5" s="23" t="s">
        <v>71</v>
      </c>
      <c r="B5" s="23" t="s">
        <v>72</v>
      </c>
      <c r="C5" s="23" t="s">
        <v>66</v>
      </c>
      <c r="D5" s="23" t="s">
        <v>73</v>
      </c>
    </row>
    <row r="6" customFormat="false" ht="18" hidden="false" customHeight="true" outlineLevel="0" collapsed="false">
      <c r="A6" s="23" t="s">
        <v>74</v>
      </c>
      <c r="B6" s="23" t="s">
        <v>75</v>
      </c>
      <c r="C6" s="23" t="s">
        <v>66</v>
      </c>
      <c r="D6" s="23" t="s">
        <v>76</v>
      </c>
    </row>
    <row r="7" customFormat="false" ht="18" hidden="false" customHeight="true" outlineLevel="0" collapsed="false">
      <c r="A7" s="23" t="s">
        <v>77</v>
      </c>
      <c r="B7" s="23" t="s">
        <v>78</v>
      </c>
      <c r="C7" s="23" t="s">
        <v>66</v>
      </c>
      <c r="D7" s="23" t="s">
        <v>79</v>
      </c>
    </row>
    <row r="8" customFormat="false" ht="18" hidden="false" customHeight="true" outlineLevel="0" collapsed="false">
      <c r="A8" s="23" t="s">
        <v>80</v>
      </c>
      <c r="B8" s="23" t="s">
        <v>81</v>
      </c>
      <c r="C8" s="23" t="s">
        <v>66</v>
      </c>
      <c r="D8" s="23" t="s">
        <v>82</v>
      </c>
    </row>
    <row r="9" customFormat="false" ht="18" hidden="false" customHeight="true" outlineLevel="0" collapsed="false">
      <c r="A9" s="23" t="s">
        <v>83</v>
      </c>
      <c r="B9" s="23" t="s">
        <v>84</v>
      </c>
      <c r="C9" s="23" t="s">
        <v>66</v>
      </c>
      <c r="D9" s="23" t="s">
        <v>85</v>
      </c>
    </row>
    <row r="10" customFormat="false" ht="18" hidden="false" customHeight="true" outlineLevel="0" collapsed="false">
      <c r="A10" s="23" t="s">
        <v>86</v>
      </c>
      <c r="B10" s="23" t="s">
        <v>87</v>
      </c>
      <c r="C10" s="23" t="s">
        <v>66</v>
      </c>
      <c r="D10" s="23" t="s">
        <v>88</v>
      </c>
    </row>
    <row r="11" customFormat="false" ht="18" hidden="false" customHeight="true" outlineLevel="0" collapsed="false">
      <c r="A11" s="23"/>
      <c r="B11" s="23"/>
      <c r="C11" s="23"/>
      <c r="D11" s="23"/>
    </row>
    <row r="12" customFormat="false" ht="18" hidden="false" customHeight="true" outlineLevel="0" collapsed="false">
      <c r="A12" s="23"/>
      <c r="B12" s="23"/>
      <c r="C12" s="23"/>
      <c r="D12" s="23"/>
    </row>
    <row r="13" customFormat="false" ht="18" hidden="false" customHeight="true" outlineLevel="0" collapsed="false">
      <c r="A13" s="23"/>
      <c r="B13" s="23"/>
      <c r="C13" s="23"/>
      <c r="D13" s="23"/>
    </row>
    <row r="14" customFormat="false" ht="18" hidden="false" customHeight="true" outlineLevel="0" collapsed="false">
      <c r="A14" s="23"/>
      <c r="B14" s="23"/>
      <c r="C14" s="23"/>
      <c r="D14" s="23"/>
    </row>
    <row r="15" customFormat="false" ht="18" hidden="false" customHeight="true" outlineLevel="0" collapsed="false">
      <c r="A15" s="23"/>
      <c r="B15" s="23"/>
      <c r="C15" s="23"/>
      <c r="D15" s="23"/>
    </row>
    <row r="16" customFormat="false" ht="18" hidden="false" customHeight="true" outlineLevel="0" collapsed="false">
      <c r="A16" s="23"/>
      <c r="B16" s="23"/>
      <c r="C16" s="23"/>
      <c r="D16" s="23"/>
    </row>
    <row r="17" customFormat="false" ht="18" hidden="false" customHeight="true" outlineLevel="0" collapsed="false">
      <c r="A17" s="23"/>
      <c r="B17" s="23"/>
      <c r="C17" s="23"/>
      <c r="D17" s="23"/>
    </row>
    <row r="18" customFormat="false" ht="18" hidden="false" customHeight="true" outlineLevel="0" collapsed="false">
      <c r="A18" s="23"/>
      <c r="B18" s="23"/>
      <c r="C18" s="23"/>
      <c r="D18" s="23"/>
    </row>
    <row r="19" customFormat="false" ht="18" hidden="false" customHeight="true" outlineLevel="0" collapsed="false">
      <c r="A19" s="23"/>
      <c r="B19" s="23"/>
      <c r="C19" s="23"/>
      <c r="D19" s="23"/>
    </row>
    <row r="20" customFormat="false" ht="18" hidden="false" customHeight="true" outlineLevel="0" collapsed="false">
      <c r="A20" s="23"/>
      <c r="B20" s="23"/>
      <c r="C20" s="23"/>
      <c r="D20" s="23"/>
    </row>
    <row r="21" customFormat="false" ht="18" hidden="false" customHeight="true" outlineLevel="0" collapsed="false">
      <c r="A21" s="23"/>
      <c r="B21" s="23"/>
      <c r="C21" s="23"/>
      <c r="D21" s="23"/>
    </row>
    <row r="22" customFormat="false" ht="18" hidden="false" customHeight="true" outlineLevel="0" collapsed="false">
      <c r="A22" s="23"/>
      <c r="B22" s="23"/>
      <c r="C22" s="23"/>
      <c r="D22" s="23"/>
    </row>
    <row r="23" customFormat="false" ht="18" hidden="false" customHeight="true" outlineLevel="0" collapsed="false">
      <c r="A23" s="23"/>
      <c r="B23" s="23"/>
      <c r="C23" s="23"/>
      <c r="D23" s="23"/>
    </row>
    <row r="24" customFormat="false" ht="18" hidden="false" customHeight="true" outlineLevel="0" collapsed="false">
      <c r="A24" s="23"/>
      <c r="B24" s="23"/>
      <c r="C24" s="23"/>
      <c r="D24" s="23"/>
    </row>
    <row r="25" customFormat="false" ht="18" hidden="false" customHeight="true" outlineLevel="0" collapsed="false">
      <c r="A25" s="23"/>
      <c r="B25" s="23"/>
      <c r="C25" s="23"/>
      <c r="D25" s="23"/>
    </row>
    <row r="26" customFormat="false" ht="18" hidden="false" customHeight="true" outlineLevel="0" collapsed="false">
      <c r="A26" s="23"/>
      <c r="B26" s="23"/>
      <c r="C26" s="23"/>
      <c r="D26" s="23"/>
    </row>
    <row r="27" customFormat="false" ht="18" hidden="false" customHeight="true" outlineLevel="0" collapsed="false">
      <c r="A27" s="23"/>
      <c r="B27" s="23"/>
      <c r="C27" s="23"/>
      <c r="D27" s="23"/>
    </row>
    <row r="28" customFormat="false" ht="18" hidden="false" customHeight="true" outlineLevel="0" collapsed="false">
      <c r="A28" s="23"/>
      <c r="B28" s="23"/>
      <c r="C28" s="23"/>
      <c r="D28" s="23"/>
    </row>
    <row r="29" customFormat="false" ht="18" hidden="false" customHeight="true" outlineLevel="0" collapsed="false">
      <c r="A29" s="23"/>
      <c r="B29" s="23"/>
      <c r="C29" s="23"/>
      <c r="D29" s="23"/>
    </row>
    <row r="30" customFormat="false" ht="18" hidden="false" customHeight="true" outlineLevel="0" collapsed="false">
      <c r="A30" s="23"/>
      <c r="B30" s="23"/>
      <c r="C30" s="23"/>
      <c r="D30" s="23"/>
    </row>
    <row r="31" customFormat="false" ht="18" hidden="false" customHeight="true" outlineLevel="0" collapsed="false">
      <c r="A31" s="23"/>
      <c r="B31" s="23"/>
      <c r="C31" s="23"/>
      <c r="D31" s="23"/>
    </row>
    <row r="32" customFormat="false" ht="18" hidden="false" customHeight="true" outlineLevel="0" collapsed="false">
      <c r="A32" s="23"/>
      <c r="B32" s="23"/>
      <c r="C32" s="23"/>
      <c r="D32" s="23"/>
    </row>
    <row r="33" customFormat="false" ht="18" hidden="false" customHeight="true" outlineLevel="0" collapsed="false">
      <c r="A33" s="23"/>
      <c r="B33" s="23"/>
      <c r="C33" s="23"/>
      <c r="D33" s="23"/>
    </row>
    <row r="34" customFormat="false" ht="18" hidden="false" customHeight="true" outlineLevel="0" collapsed="false">
      <c r="A34" s="23"/>
      <c r="B34" s="23"/>
      <c r="C34" s="23"/>
      <c r="D34" s="23"/>
    </row>
    <row r="35" customFormat="false" ht="18" hidden="false" customHeight="true" outlineLevel="0" collapsed="false">
      <c r="A35" s="23"/>
      <c r="B35" s="23"/>
      <c r="C35" s="23"/>
      <c r="D35" s="23"/>
    </row>
    <row r="36" customFormat="false" ht="18" hidden="false" customHeight="true" outlineLevel="0" collapsed="false">
      <c r="A36" s="23"/>
      <c r="B36" s="23"/>
      <c r="C36" s="23"/>
      <c r="D36" s="23"/>
    </row>
    <row r="37" customFormat="false" ht="18" hidden="false" customHeight="true" outlineLevel="0" collapsed="false">
      <c r="A37" s="23"/>
      <c r="B37" s="23"/>
      <c r="C37" s="23"/>
      <c r="D37" s="23"/>
    </row>
    <row r="38" customFormat="false" ht="18" hidden="false" customHeight="true" outlineLevel="0" collapsed="false">
      <c r="A38" s="23"/>
      <c r="B38" s="23"/>
      <c r="C38" s="23"/>
      <c r="D38" s="23"/>
    </row>
    <row r="39" customFormat="false" ht="18" hidden="false" customHeight="true" outlineLevel="0" collapsed="false">
      <c r="A39" s="23"/>
      <c r="B39" s="23"/>
      <c r="C39" s="23"/>
      <c r="D39" s="23"/>
    </row>
    <row r="40" customFormat="false" ht="18" hidden="false" customHeight="true" outlineLevel="0" collapsed="false">
      <c r="A40" s="23"/>
      <c r="B40" s="23"/>
      <c r="C40" s="23"/>
      <c r="D40" s="23"/>
    </row>
    <row r="41" customFormat="false" ht="18" hidden="false" customHeight="true" outlineLevel="0" collapsed="false">
      <c r="A41" s="23"/>
      <c r="B41" s="23"/>
      <c r="C41" s="23"/>
      <c r="D41" s="23"/>
    </row>
    <row r="42" customFormat="false" ht="18" hidden="false" customHeight="true" outlineLevel="0" collapsed="false">
      <c r="A42" s="23"/>
      <c r="B42" s="23"/>
      <c r="C42" s="23"/>
      <c r="D42" s="23"/>
    </row>
  </sheetData>
  <printOptions headings="false" gridLines="false" gridLinesSet="true" horizontalCentered="true" verticalCentered="false"/>
  <pageMargins left="0.75" right="0.75" top="1" bottom="1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&amp;L&amp;8 Cronograma de Manutenção Preventiva · Andonize&amp;R&amp;8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2B42"/>
    <pageSetUpPr fitToPage="false"/>
  </sheetPr>
  <dimension ref="A1:AG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2" topLeftCell="C3" activePane="bottomRight" state="frozen"/>
      <selection pane="topLeft" activeCell="A1" activeCellId="0" sqref="A1"/>
      <selection pane="topRight" activeCell="C1" activeCellId="0" sqref="C1"/>
      <selection pane="bottomLeft" activeCell="A3" activeCellId="0" sqref="A3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14"/>
    <col collapsed="false" customWidth="true" hidden="false" outlineLevel="0" max="3" min="3" style="0" width="40"/>
    <col collapsed="false" customWidth="true" hidden="false" outlineLevel="0" max="4" min="4" style="0" width="32"/>
    <col collapsed="false" customWidth="true" hidden="false" outlineLevel="0" max="5" min="5" style="0" width="18"/>
    <col collapsed="false" customWidth="true" hidden="false" outlineLevel="0" max="6" min="6" style="0" width="16"/>
    <col collapsed="false" customWidth="true" hidden="false" outlineLevel="0" max="7" min="7" style="0" width="14"/>
    <col collapsed="false" customWidth="true" hidden="false" outlineLevel="0" max="8" min="8" style="0" width="24"/>
    <col collapsed="false" customWidth="true" hidden="false" outlineLevel="0" max="9" min="9" style="0" width="12"/>
    <col collapsed="false" customWidth="true" hidden="false" outlineLevel="0" max="33" min="10" style="0" width="11"/>
  </cols>
  <sheetData>
    <row r="1" customFormat="false" ht="17.35" hidden="false" customHeight="false" outlineLevel="0" collapsed="false">
      <c r="A1" s="13" t="s">
        <v>89</v>
      </c>
      <c r="C1" s="21" t="s">
        <v>90</v>
      </c>
      <c r="J1" s="24" t="s">
        <v>91</v>
      </c>
    </row>
    <row r="2" customFormat="false" ht="30" hidden="false" customHeight="true" outlineLevel="0" collapsed="false">
      <c r="A2" s="22" t="s">
        <v>92</v>
      </c>
      <c r="B2" s="22" t="s">
        <v>60</v>
      </c>
      <c r="C2" s="22" t="s">
        <v>93</v>
      </c>
      <c r="D2" s="22" t="s">
        <v>94</v>
      </c>
      <c r="E2" s="22" t="s">
        <v>95</v>
      </c>
      <c r="F2" s="22" t="s">
        <v>96</v>
      </c>
      <c r="G2" s="22" t="s">
        <v>97</v>
      </c>
      <c r="H2" s="22" t="s">
        <v>98</v>
      </c>
      <c r="I2" s="22" t="s">
        <v>99</v>
      </c>
      <c r="J2" s="25" t="n">
        <v>1</v>
      </c>
      <c r="K2" s="25" t="n">
        <v>2</v>
      </c>
      <c r="L2" s="25" t="n">
        <v>3</v>
      </c>
      <c r="M2" s="25" t="n">
        <v>4</v>
      </c>
      <c r="N2" s="25" t="n">
        <v>5</v>
      </c>
      <c r="O2" s="25" t="n">
        <v>6</v>
      </c>
      <c r="P2" s="25" t="n">
        <v>7</v>
      </c>
      <c r="Q2" s="25" t="n">
        <v>8</v>
      </c>
      <c r="R2" s="25" t="n">
        <v>9</v>
      </c>
      <c r="S2" s="25" t="n">
        <v>10</v>
      </c>
      <c r="T2" s="25" t="n">
        <v>11</v>
      </c>
      <c r="U2" s="25" t="n">
        <v>12</v>
      </c>
      <c r="V2" s="25" t="n">
        <v>13</v>
      </c>
      <c r="W2" s="25" t="n">
        <v>14</v>
      </c>
      <c r="X2" s="25" t="n">
        <v>15</v>
      </c>
      <c r="Y2" s="25" t="n">
        <v>16</v>
      </c>
      <c r="Z2" s="25" t="n">
        <v>17</v>
      </c>
      <c r="AA2" s="25" t="n">
        <v>18</v>
      </c>
      <c r="AB2" s="25" t="n">
        <v>19</v>
      </c>
      <c r="AC2" s="25" t="n">
        <v>20</v>
      </c>
      <c r="AD2" s="25" t="n">
        <v>21</v>
      </c>
      <c r="AE2" s="25" t="n">
        <v>22</v>
      </c>
      <c r="AF2" s="25" t="n">
        <v>23</v>
      </c>
      <c r="AG2" s="25" t="n">
        <v>24</v>
      </c>
    </row>
    <row r="3" customFormat="false" ht="18" hidden="false" customHeight="true" outlineLevel="0" collapsed="false">
      <c r="A3" s="26" t="n">
        <v>1</v>
      </c>
      <c r="B3" s="23" t="s">
        <v>64</v>
      </c>
      <c r="C3" s="23" t="s">
        <v>100</v>
      </c>
      <c r="D3" s="23" t="s">
        <v>54</v>
      </c>
      <c r="E3" s="27" t="n">
        <v>30</v>
      </c>
      <c r="F3" s="28" t="n">
        <f aca="false">INT(Parâmetros!$C$4)-147</f>
        <v>46086</v>
      </c>
      <c r="G3" s="27" t="n">
        <v>24</v>
      </c>
      <c r="H3" s="23" t="s">
        <v>101</v>
      </c>
      <c r="I3" s="29" t="s">
        <v>102</v>
      </c>
      <c r="J3" s="28" t="n">
        <f aca="false">INT(Parâmetros!$C$4)-147</f>
        <v>46086</v>
      </c>
      <c r="K3" s="28" t="n">
        <f aca="false">INT(Parâmetros!$C$4)-117</f>
        <v>46116</v>
      </c>
      <c r="L3" s="28" t="n">
        <f aca="false">INT(Parâmetros!$C$4)-85</f>
        <v>46148</v>
      </c>
      <c r="M3" s="28" t="n">
        <f aca="false">INT(Parâmetros!$C$4)-57</f>
        <v>46176</v>
      </c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</row>
    <row r="4" customFormat="false" ht="18" hidden="false" customHeight="true" outlineLevel="0" collapsed="false">
      <c r="A4" s="26" t="n">
        <v>2</v>
      </c>
      <c r="B4" s="23" t="s">
        <v>64</v>
      </c>
      <c r="C4" s="23" t="s">
        <v>103</v>
      </c>
      <c r="D4" s="23" t="s">
        <v>54</v>
      </c>
      <c r="E4" s="27" t="n">
        <v>90</v>
      </c>
      <c r="F4" s="28" t="n">
        <f aca="false">INT(Parâmetros!$C$4)-168</f>
        <v>46065</v>
      </c>
      <c r="G4" s="27" t="n">
        <v>12</v>
      </c>
      <c r="H4" s="23" t="s">
        <v>101</v>
      </c>
      <c r="I4" s="29" t="s">
        <v>102</v>
      </c>
      <c r="J4" s="28" t="n">
        <f aca="false">INT(Parâmetros!$C$4)-159</f>
        <v>46074</v>
      </c>
      <c r="K4" s="28" t="n">
        <f aca="false">INT(Parâmetros!$C$4)-78</f>
        <v>46155</v>
      </c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</row>
    <row r="5" customFormat="false" ht="18" hidden="false" customHeight="true" outlineLevel="0" collapsed="false">
      <c r="A5" s="26" t="n">
        <v>3</v>
      </c>
      <c r="B5" s="23" t="s">
        <v>68</v>
      </c>
      <c r="C5" s="23" t="s">
        <v>100</v>
      </c>
      <c r="D5" s="23" t="s">
        <v>54</v>
      </c>
      <c r="E5" s="27" t="n">
        <v>30</v>
      </c>
      <c r="F5" s="28" t="n">
        <f aca="false">INT(Parâmetros!$C$4)-113</f>
        <v>46120</v>
      </c>
      <c r="G5" s="27" t="n">
        <v>24</v>
      </c>
      <c r="H5" s="23" t="s">
        <v>104</v>
      </c>
      <c r="I5" s="29" t="s">
        <v>102</v>
      </c>
      <c r="J5" s="28" t="n">
        <f aca="false">INT(Parâmetros!$C$4)-112</f>
        <v>46121</v>
      </c>
      <c r="K5" s="28" t="n">
        <f aca="false">INT(Parâmetros!$C$4)-83</f>
        <v>46150</v>
      </c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</row>
    <row r="6" customFormat="false" ht="18" hidden="false" customHeight="true" outlineLevel="0" collapsed="false">
      <c r="A6" s="26" t="n">
        <v>4</v>
      </c>
      <c r="B6" s="23" t="s">
        <v>71</v>
      </c>
      <c r="C6" s="23" t="s">
        <v>105</v>
      </c>
      <c r="D6" s="23" t="s">
        <v>54</v>
      </c>
      <c r="E6" s="27" t="n">
        <v>60</v>
      </c>
      <c r="F6" s="28" t="n">
        <f aca="false">INT(Parâmetros!$C$4)-162</f>
        <v>46071</v>
      </c>
      <c r="G6" s="27" t="n">
        <v>15</v>
      </c>
      <c r="H6" s="23" t="s">
        <v>104</v>
      </c>
      <c r="I6" s="29" t="s">
        <v>106</v>
      </c>
      <c r="J6" s="28" t="n">
        <f aca="false">INT(Parâmetros!$C$4)-162</f>
        <v>46071</v>
      </c>
      <c r="K6" s="28" t="n">
        <f aca="false">INT(Parâmetros!$C$4)-99</f>
        <v>46134</v>
      </c>
      <c r="L6" s="28" t="n">
        <f aca="false">INT(Parâmetros!$C$4)-42</f>
        <v>46191</v>
      </c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</row>
    <row r="7" customFormat="false" ht="18" hidden="false" customHeight="true" outlineLevel="0" collapsed="false">
      <c r="A7" s="26" t="n">
        <v>5</v>
      </c>
      <c r="B7" s="23" t="s">
        <v>71</v>
      </c>
      <c r="C7" s="23" t="s">
        <v>107</v>
      </c>
      <c r="D7" s="23" t="s">
        <v>54</v>
      </c>
      <c r="E7" s="27" t="n">
        <v>365</v>
      </c>
      <c r="F7" s="28" t="n">
        <f aca="false">INT(Parâmetros!$C$4)-200</f>
        <v>46033</v>
      </c>
      <c r="G7" s="27" t="n">
        <v>4</v>
      </c>
      <c r="H7" s="23" t="s">
        <v>104</v>
      </c>
      <c r="I7" s="29" t="s">
        <v>106</v>
      </c>
      <c r="J7" s="28" t="n">
        <f aca="false">INT(Parâmetros!$C$4)-200</f>
        <v>46033</v>
      </c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</row>
    <row r="8" customFormat="false" ht="18" hidden="false" customHeight="true" outlineLevel="0" collapsed="false">
      <c r="A8" s="26" t="n">
        <v>6</v>
      </c>
      <c r="B8" s="23" t="s">
        <v>74</v>
      </c>
      <c r="C8" s="23" t="s">
        <v>108</v>
      </c>
      <c r="D8" s="23" t="s">
        <v>54</v>
      </c>
      <c r="E8" s="27" t="n">
        <v>90</v>
      </c>
      <c r="F8" s="28" t="n">
        <f aca="false">INT(Parâmetros!$C$4)-159</f>
        <v>46074</v>
      </c>
      <c r="G8" s="27" t="n">
        <v>12</v>
      </c>
      <c r="H8" s="23" t="s">
        <v>109</v>
      </c>
      <c r="I8" s="29" t="s">
        <v>106</v>
      </c>
      <c r="J8" s="28" t="n">
        <f aca="false">INT(Parâmetros!$C$4)-159</f>
        <v>46074</v>
      </c>
      <c r="K8" s="28" t="n">
        <f aca="false">INT(Parâmetros!$C$4)-57</f>
        <v>46176</v>
      </c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</row>
    <row r="9" customFormat="false" ht="18" hidden="false" customHeight="true" outlineLevel="0" collapsed="false">
      <c r="A9" s="26" t="n">
        <v>7</v>
      </c>
      <c r="B9" s="23" t="s">
        <v>77</v>
      </c>
      <c r="C9" s="23" t="s">
        <v>110</v>
      </c>
      <c r="D9" s="23" t="s">
        <v>54</v>
      </c>
      <c r="E9" s="27" t="n">
        <v>90</v>
      </c>
      <c r="F9" s="28" t="n">
        <f aca="false">INT(Parâmetros!$C$4)-155</f>
        <v>46078</v>
      </c>
      <c r="G9" s="27" t="n">
        <v>12</v>
      </c>
      <c r="H9" s="23" t="s">
        <v>109</v>
      </c>
      <c r="I9" s="29" t="s">
        <v>106</v>
      </c>
      <c r="J9" s="28" t="n">
        <f aca="false">INT(Parâmetros!$C$4)-155</f>
        <v>46078</v>
      </c>
      <c r="K9" s="28" t="n">
        <f aca="false">INT(Parâmetros!$C$4)-65</f>
        <v>46168</v>
      </c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</row>
    <row r="10" customFormat="false" ht="18" hidden="false" customHeight="true" outlineLevel="0" collapsed="false">
      <c r="A10" s="26" t="n">
        <v>8</v>
      </c>
      <c r="B10" s="23" t="s">
        <v>80</v>
      </c>
      <c r="C10" s="23" t="s">
        <v>111</v>
      </c>
      <c r="D10" s="23" t="s">
        <v>54</v>
      </c>
      <c r="E10" s="27" t="n">
        <v>45</v>
      </c>
      <c r="F10" s="28" t="n">
        <f aca="false">INT(Parâmetros!$C$4)-130</f>
        <v>46103</v>
      </c>
      <c r="G10" s="27" t="n">
        <v>18</v>
      </c>
      <c r="H10" s="23" t="s">
        <v>109</v>
      </c>
      <c r="I10" s="29" t="s">
        <v>112</v>
      </c>
      <c r="J10" s="28" t="n">
        <f aca="false">INT(Parâmetros!$C$4)-125</f>
        <v>46108</v>
      </c>
      <c r="K10" s="28" t="n">
        <f aca="false">INT(Parâmetros!$C$4)-85</f>
        <v>46148</v>
      </c>
      <c r="L10" s="28" t="n">
        <f aca="false">INT(Parâmetros!$C$4)-40</f>
        <v>46193</v>
      </c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</row>
    <row r="11" customFormat="false" ht="18" hidden="false" customHeight="true" outlineLevel="0" collapsed="false">
      <c r="A11" s="26" t="n">
        <v>9</v>
      </c>
      <c r="B11" s="23" t="s">
        <v>80</v>
      </c>
      <c r="C11" s="23" t="s">
        <v>113</v>
      </c>
      <c r="D11" s="23" t="s">
        <v>55</v>
      </c>
      <c r="E11" s="27" t="n">
        <v>90</v>
      </c>
      <c r="F11" s="28" t="n">
        <f aca="false">INT(Parâmetros!$C$4)-166</f>
        <v>46067</v>
      </c>
      <c r="G11" s="27" t="n">
        <v>12</v>
      </c>
      <c r="H11" s="23" t="s">
        <v>109</v>
      </c>
      <c r="I11" s="29" t="s">
        <v>112</v>
      </c>
      <c r="J11" s="28" t="n">
        <f aca="false">INT(Parâmetros!$C$4)-164</f>
        <v>46069</v>
      </c>
      <c r="K11" s="28" t="n">
        <f aca="false">INT(Parâmetros!$C$4)-76</f>
        <v>46157</v>
      </c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</row>
    <row r="12" customFormat="false" ht="18" hidden="false" customHeight="true" outlineLevel="0" collapsed="false">
      <c r="A12" s="26" t="n">
        <v>10</v>
      </c>
      <c r="B12" s="23" t="s">
        <v>83</v>
      </c>
      <c r="C12" s="23" t="s">
        <v>114</v>
      </c>
      <c r="D12" s="23" t="s">
        <v>54</v>
      </c>
      <c r="E12" s="27" t="n">
        <v>60</v>
      </c>
      <c r="F12" s="28" t="n">
        <f aca="false">INT(Parâmetros!$C$4)-171</f>
        <v>46062</v>
      </c>
      <c r="G12" s="27" t="n">
        <v>15</v>
      </c>
      <c r="H12" s="23" t="s">
        <v>101</v>
      </c>
      <c r="I12" s="29" t="s">
        <v>112</v>
      </c>
      <c r="J12" s="28" t="n">
        <f aca="false">INT(Parâmetros!$C$4)-171</f>
        <v>46062</v>
      </c>
      <c r="K12" s="28"/>
      <c r="L12" s="28" t="n">
        <f aca="false">INT(Parâmetros!$C$4)-51</f>
        <v>46182</v>
      </c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</row>
    <row r="13" customFormat="false" ht="18" hidden="false" customHeight="true" outlineLevel="0" collapsed="false">
      <c r="A13" s="26" t="n">
        <v>11</v>
      </c>
      <c r="B13" s="23" t="s">
        <v>86</v>
      </c>
      <c r="C13" s="23" t="s">
        <v>100</v>
      </c>
      <c r="D13" s="23" t="s">
        <v>54</v>
      </c>
      <c r="E13" s="27" t="n">
        <v>30</v>
      </c>
      <c r="F13" s="28" t="n">
        <f aca="false">INT(Parâmetros!$C$4)-3</f>
        <v>46230</v>
      </c>
      <c r="G13" s="27" t="n">
        <v>24</v>
      </c>
      <c r="H13" s="23" t="s">
        <v>104</v>
      </c>
      <c r="I13" s="29" t="s">
        <v>112</v>
      </c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</row>
    <row r="14" customFormat="false" ht="18" hidden="false" customHeight="true" outlineLevel="0" collapsed="false">
      <c r="A14" s="26" t="n">
        <v>12</v>
      </c>
      <c r="B14" s="23"/>
      <c r="C14" s="23"/>
      <c r="D14" s="23"/>
      <c r="E14" s="27"/>
      <c r="F14" s="28"/>
      <c r="G14" s="27"/>
      <c r="H14" s="23"/>
      <c r="I14" s="29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</row>
    <row r="15" customFormat="false" ht="18" hidden="false" customHeight="true" outlineLevel="0" collapsed="false">
      <c r="A15" s="26" t="n">
        <v>13</v>
      </c>
      <c r="B15" s="23"/>
      <c r="C15" s="23"/>
      <c r="D15" s="23"/>
      <c r="E15" s="27"/>
      <c r="F15" s="28"/>
      <c r="G15" s="27"/>
      <c r="H15" s="23"/>
      <c r="I15" s="29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</row>
    <row r="16" customFormat="false" ht="18" hidden="false" customHeight="true" outlineLevel="0" collapsed="false">
      <c r="A16" s="26" t="n">
        <v>14</v>
      </c>
      <c r="B16" s="23"/>
      <c r="C16" s="23"/>
      <c r="D16" s="23"/>
      <c r="E16" s="27"/>
      <c r="F16" s="28"/>
      <c r="G16" s="27"/>
      <c r="H16" s="23"/>
      <c r="I16" s="29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</row>
    <row r="17" customFormat="false" ht="18" hidden="false" customHeight="true" outlineLevel="0" collapsed="false">
      <c r="A17" s="26" t="n">
        <v>15</v>
      </c>
      <c r="B17" s="23"/>
      <c r="C17" s="23"/>
      <c r="D17" s="23"/>
      <c r="E17" s="27"/>
      <c r="F17" s="28"/>
      <c r="G17" s="27"/>
      <c r="H17" s="23"/>
      <c r="I17" s="29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</row>
    <row r="18" customFormat="false" ht="18" hidden="false" customHeight="true" outlineLevel="0" collapsed="false">
      <c r="A18" s="26" t="n">
        <v>16</v>
      </c>
      <c r="B18" s="23"/>
      <c r="C18" s="23"/>
      <c r="D18" s="23"/>
      <c r="E18" s="27"/>
      <c r="F18" s="28"/>
      <c r="G18" s="27"/>
      <c r="H18" s="23"/>
      <c r="I18" s="29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</row>
    <row r="19" customFormat="false" ht="18" hidden="false" customHeight="true" outlineLevel="0" collapsed="false">
      <c r="A19" s="26" t="n">
        <v>17</v>
      </c>
      <c r="B19" s="23"/>
      <c r="C19" s="23"/>
      <c r="D19" s="23"/>
      <c r="E19" s="27"/>
      <c r="F19" s="28"/>
      <c r="G19" s="27"/>
      <c r="H19" s="23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</row>
    <row r="20" customFormat="false" ht="18" hidden="false" customHeight="true" outlineLevel="0" collapsed="false">
      <c r="A20" s="26" t="n">
        <v>18</v>
      </c>
      <c r="B20" s="23"/>
      <c r="C20" s="23"/>
      <c r="D20" s="23"/>
      <c r="E20" s="27"/>
      <c r="F20" s="28"/>
      <c r="G20" s="27"/>
      <c r="H20" s="23"/>
      <c r="I20" s="29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</row>
    <row r="21" customFormat="false" ht="18" hidden="false" customHeight="true" outlineLevel="0" collapsed="false">
      <c r="A21" s="26" t="n">
        <v>19</v>
      </c>
      <c r="B21" s="23"/>
      <c r="C21" s="23"/>
      <c r="D21" s="23"/>
      <c r="E21" s="27"/>
      <c r="F21" s="28"/>
      <c r="G21" s="27"/>
      <c r="H21" s="23"/>
      <c r="I21" s="29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</row>
    <row r="22" customFormat="false" ht="18" hidden="false" customHeight="true" outlineLevel="0" collapsed="false">
      <c r="A22" s="26" t="n">
        <v>20</v>
      </c>
      <c r="B22" s="23"/>
      <c r="C22" s="23"/>
      <c r="D22" s="23"/>
      <c r="E22" s="27"/>
      <c r="F22" s="28"/>
      <c r="G22" s="27"/>
      <c r="H22" s="23"/>
      <c r="I22" s="29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</row>
    <row r="23" customFormat="false" ht="18" hidden="false" customHeight="true" outlineLevel="0" collapsed="false">
      <c r="A23" s="26" t="n">
        <v>21</v>
      </c>
      <c r="B23" s="23"/>
      <c r="C23" s="23"/>
      <c r="D23" s="23"/>
      <c r="E23" s="27"/>
      <c r="F23" s="28"/>
      <c r="G23" s="27"/>
      <c r="H23" s="23"/>
      <c r="I23" s="29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</row>
    <row r="24" customFormat="false" ht="18" hidden="false" customHeight="true" outlineLevel="0" collapsed="false">
      <c r="A24" s="26" t="n">
        <v>22</v>
      </c>
      <c r="B24" s="23"/>
      <c r="C24" s="23"/>
      <c r="D24" s="23"/>
      <c r="E24" s="27"/>
      <c r="F24" s="28"/>
      <c r="G24" s="27"/>
      <c r="H24" s="23"/>
      <c r="I24" s="29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</row>
    <row r="25" customFormat="false" ht="18" hidden="false" customHeight="true" outlineLevel="0" collapsed="false">
      <c r="A25" s="26" t="n">
        <v>23</v>
      </c>
      <c r="B25" s="23"/>
      <c r="C25" s="23"/>
      <c r="D25" s="23"/>
      <c r="E25" s="27"/>
      <c r="F25" s="28"/>
      <c r="G25" s="27"/>
      <c r="H25" s="23"/>
      <c r="I25" s="29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</row>
    <row r="26" customFormat="false" ht="18" hidden="false" customHeight="true" outlineLevel="0" collapsed="false">
      <c r="A26" s="26" t="n">
        <v>24</v>
      </c>
      <c r="B26" s="23"/>
      <c r="C26" s="23"/>
      <c r="D26" s="23"/>
      <c r="E26" s="27"/>
      <c r="F26" s="28"/>
      <c r="G26" s="27"/>
      <c r="H26" s="23"/>
      <c r="I26" s="29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</row>
    <row r="27" customFormat="false" ht="18" hidden="false" customHeight="true" outlineLevel="0" collapsed="false">
      <c r="A27" s="26" t="n">
        <v>25</v>
      </c>
      <c r="B27" s="23"/>
      <c r="C27" s="23"/>
      <c r="D27" s="23"/>
      <c r="E27" s="27"/>
      <c r="F27" s="28"/>
      <c r="G27" s="27"/>
      <c r="H27" s="23"/>
      <c r="I27" s="29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</row>
  </sheetData>
  <dataValidations count="4">
    <dataValidation allowBlank="true" error="Escolha uma TAG cadastrada na aba «Ativos»." errorStyle="stop" errorTitle="TAG não cadastrada" operator="between" showDropDown="false" showErrorMessage="false" showInputMessage="false" sqref="B3:B27" type="list">
      <formula1>TAGs</formula1>
      <formula2>0</formula2>
    </dataValidation>
    <dataValidation allowBlank="true" errorStyle="stop" operator="between" showDropDown="false" showErrorMessage="false" showInputMessage="false" sqref="D3:D27" type="list">
      <formula1>Parâmetros!$B$13:$B$16</formula1>
      <formula2>0</formula2>
    </dataValidation>
    <dataValidation allowBlank="true" error="O cronograma comporta no máximo 24 eventos por plano." errorStyle="stop" errorTitle="Quantidade de eventos" operator="between" showDropDown="false" showErrorMessage="false" showInputMessage="false" sqref="G3:G27" type="whole">
      <formula1>1</formula1>
      <formula2>24</formula2>
    </dataValidation>
    <dataValidation allowBlank="true" error="Digite uma data (dd/mm/aaaa) ou deixe em branco." errorStyle="stop" errorTitle="Data realizada" operator="greaterThan" showDropDown="false" showErrorMessage="false" showInputMessage="false" sqref="J3:AG27" type="date">
      <formula1>DATE(2000,1,1)</formula1>
      <formula2>0</formula2>
    </dataValidation>
  </dataValidations>
  <printOptions headings="false" gridLines="false" gridLinesSet="true" horizontalCentered="true" verticalCentered="false"/>
  <pageMargins left="0.75" right="0.75" top="1" bottom="1" header="0.511811023622047" footer="0.5"/>
  <pageSetup paperSize="9" scale="7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&amp;L&amp;8 Cronograma de Manutenção Preventiva · Andonize&amp;R&amp;8 &amp;P/&amp;N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875A"/>
    <pageSetUpPr fitToPage="false"/>
  </sheetPr>
  <dimension ref="B1:AC3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7" topLeftCell="B8" activePane="bottomRight" state="frozen"/>
      <selection pane="topLeft" activeCell="A1" activeCellId="0" sqref="A1"/>
      <selection pane="topRight" activeCell="B1" activeCellId="0" sqref="B1"/>
      <selection pane="bottomLeft" activeCell="A8" activeCellId="0" sqref="A8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9" min="2" style="0" width="15"/>
  </cols>
  <sheetData>
    <row r="1" customFormat="false" ht="17.25" hidden="false" customHeight="true" outlineLevel="0" collapsed="false">
      <c r="B1" s="13" t="s">
        <v>115</v>
      </c>
      <c r="D1" s="30" t="s">
        <v>116</v>
      </c>
    </row>
    <row r="2" customFormat="false" ht="15" hidden="false" customHeight="true" outlineLevel="0" collapsed="false">
      <c r="B2" s="31" t="n">
        <f aca="false">INT(Parâmetros!$C$4)-7</f>
        <v>46226</v>
      </c>
      <c r="C2" s="32" t="s">
        <v>117</v>
      </c>
    </row>
    <row r="4" customFormat="false" ht="15" hidden="false" customHeight="true" outlineLevel="0" collapsed="false">
      <c r="B4" s="33" t="n">
        <f aca="false">$B$2</f>
        <v>46226</v>
      </c>
      <c r="C4" s="33" t="n">
        <f aca="false">B4+1</f>
        <v>46227</v>
      </c>
      <c r="D4" s="33" t="n">
        <f aca="false">C4+1</f>
        <v>46228</v>
      </c>
      <c r="E4" s="33" t="n">
        <f aca="false">D4+1</f>
        <v>46229</v>
      </c>
      <c r="F4" s="33" t="n">
        <f aca="false">E4+1</f>
        <v>46230</v>
      </c>
      <c r="G4" s="33" t="n">
        <f aca="false">F4+1</f>
        <v>46231</v>
      </c>
      <c r="H4" s="33" t="n">
        <f aca="false">G4+1</f>
        <v>46232</v>
      </c>
      <c r="I4" s="33" t="n">
        <f aca="false">H4+1</f>
        <v>46233</v>
      </c>
      <c r="J4" s="33" t="n">
        <f aca="false">I4+1</f>
        <v>46234</v>
      </c>
      <c r="K4" s="33" t="n">
        <f aca="false">J4+1</f>
        <v>46235</v>
      </c>
      <c r="L4" s="33" t="n">
        <f aca="false">K4+1</f>
        <v>46236</v>
      </c>
      <c r="M4" s="33" t="n">
        <f aca="false">L4+1</f>
        <v>46237</v>
      </c>
      <c r="N4" s="33" t="n">
        <f aca="false">M4+1</f>
        <v>46238</v>
      </c>
      <c r="O4" s="33" t="n">
        <f aca="false">N4+1</f>
        <v>46239</v>
      </c>
      <c r="P4" s="33" t="n">
        <f aca="false">O4+1</f>
        <v>46240</v>
      </c>
      <c r="Q4" s="33" t="n">
        <f aca="false">P4+1</f>
        <v>46241</v>
      </c>
      <c r="R4" s="33" t="n">
        <f aca="false">Q4+1</f>
        <v>46242</v>
      </c>
      <c r="S4" s="33" t="n">
        <f aca="false">R4+1</f>
        <v>46243</v>
      </c>
      <c r="T4" s="33" t="n">
        <f aca="false">S4+1</f>
        <v>46244</v>
      </c>
      <c r="U4" s="33" t="n">
        <f aca="false">T4+1</f>
        <v>46245</v>
      </c>
      <c r="V4" s="33" t="n">
        <f aca="false">U4+1</f>
        <v>46246</v>
      </c>
      <c r="W4" s="33" t="n">
        <f aca="false">V4+1</f>
        <v>46247</v>
      </c>
      <c r="X4" s="33" t="n">
        <f aca="false">W4+1</f>
        <v>46248</v>
      </c>
      <c r="Y4" s="33" t="n">
        <f aca="false">X4+1</f>
        <v>46249</v>
      </c>
      <c r="Z4" s="33" t="n">
        <f aca="false">Y4+1</f>
        <v>46250</v>
      </c>
      <c r="AA4" s="33" t="n">
        <f aca="false">Z4+1</f>
        <v>46251</v>
      </c>
      <c r="AB4" s="33" t="n">
        <f aca="false">AA4+1</f>
        <v>46252</v>
      </c>
      <c r="AC4" s="33" t="n">
        <f aca="false">AB4+1</f>
        <v>46253</v>
      </c>
    </row>
    <row r="5" customFormat="false" ht="15" hidden="false" customHeight="true" outlineLevel="0" collapsed="false">
      <c r="B5" s="34" t="str">
        <f aca="false">IF(B$4="","",CHOOSE(WEEKDAY(B$4,1),"dom","seg","ter","qua","qui","sex","sáb"))</f>
        <v>qui</v>
      </c>
      <c r="C5" s="34" t="str">
        <f aca="false">IF(C$4="","",CHOOSE(WEEKDAY(C$4,1),"dom","seg","ter","qua","qui","sex","sáb"))</f>
        <v>sex</v>
      </c>
      <c r="D5" s="34" t="str">
        <f aca="false">IF(D$4="","",CHOOSE(WEEKDAY(D$4,1),"dom","seg","ter","qua","qui","sex","sáb"))</f>
        <v>sáb</v>
      </c>
      <c r="E5" s="34" t="str">
        <f aca="false">IF(E$4="","",CHOOSE(WEEKDAY(E$4,1),"dom","seg","ter","qua","qui","sex","sáb"))</f>
        <v>dom</v>
      </c>
      <c r="F5" s="34" t="str">
        <f aca="false">IF(F$4="","",CHOOSE(WEEKDAY(F$4,1),"dom","seg","ter","qua","qui","sex","sáb"))</f>
        <v>seg</v>
      </c>
      <c r="G5" s="34" t="str">
        <f aca="false">IF(G$4="","",CHOOSE(WEEKDAY(G$4,1),"dom","seg","ter","qua","qui","sex","sáb"))</f>
        <v>ter</v>
      </c>
      <c r="H5" s="34" t="str">
        <f aca="false">IF(H$4="","",CHOOSE(WEEKDAY(H$4,1),"dom","seg","ter","qua","qui","sex","sáb"))</f>
        <v>qua</v>
      </c>
      <c r="I5" s="34" t="str">
        <f aca="false">IF(I$4="","",CHOOSE(WEEKDAY(I$4,1),"dom","seg","ter","qua","qui","sex","sáb"))</f>
        <v>qui</v>
      </c>
      <c r="J5" s="34" t="str">
        <f aca="false">IF(J$4="","",CHOOSE(WEEKDAY(J$4,1),"dom","seg","ter","qua","qui","sex","sáb"))</f>
        <v>sex</v>
      </c>
      <c r="K5" s="34" t="str">
        <f aca="false">IF(K$4="","",CHOOSE(WEEKDAY(K$4,1),"dom","seg","ter","qua","qui","sex","sáb"))</f>
        <v>sáb</v>
      </c>
      <c r="L5" s="34" t="str">
        <f aca="false">IF(L$4="","",CHOOSE(WEEKDAY(L$4,1),"dom","seg","ter","qua","qui","sex","sáb"))</f>
        <v>dom</v>
      </c>
      <c r="M5" s="34" t="str">
        <f aca="false">IF(M$4="","",CHOOSE(WEEKDAY(M$4,1),"dom","seg","ter","qua","qui","sex","sáb"))</f>
        <v>seg</v>
      </c>
      <c r="N5" s="34" t="str">
        <f aca="false">IF(N$4="","",CHOOSE(WEEKDAY(N$4,1),"dom","seg","ter","qua","qui","sex","sáb"))</f>
        <v>ter</v>
      </c>
      <c r="O5" s="34" t="str">
        <f aca="false">IF(O$4="","",CHOOSE(WEEKDAY(O$4,1),"dom","seg","ter","qua","qui","sex","sáb"))</f>
        <v>qua</v>
      </c>
      <c r="P5" s="34" t="str">
        <f aca="false">IF(P$4="","",CHOOSE(WEEKDAY(P$4,1),"dom","seg","ter","qua","qui","sex","sáb"))</f>
        <v>qui</v>
      </c>
      <c r="Q5" s="34" t="str">
        <f aca="false">IF(Q$4="","",CHOOSE(WEEKDAY(Q$4,1),"dom","seg","ter","qua","qui","sex","sáb"))</f>
        <v>sex</v>
      </c>
      <c r="R5" s="34" t="str">
        <f aca="false">IF(R$4="","",CHOOSE(WEEKDAY(R$4,1),"dom","seg","ter","qua","qui","sex","sáb"))</f>
        <v>sáb</v>
      </c>
      <c r="S5" s="34" t="str">
        <f aca="false">IF(S$4="","",CHOOSE(WEEKDAY(S$4,1),"dom","seg","ter","qua","qui","sex","sáb"))</f>
        <v>dom</v>
      </c>
      <c r="T5" s="34" t="str">
        <f aca="false">IF(T$4="","",CHOOSE(WEEKDAY(T$4,1),"dom","seg","ter","qua","qui","sex","sáb"))</f>
        <v>seg</v>
      </c>
      <c r="U5" s="34" t="str">
        <f aca="false">IF(U$4="","",CHOOSE(WEEKDAY(U$4,1),"dom","seg","ter","qua","qui","sex","sáb"))</f>
        <v>ter</v>
      </c>
      <c r="V5" s="34" t="str">
        <f aca="false">IF(V$4="","",CHOOSE(WEEKDAY(V$4,1),"dom","seg","ter","qua","qui","sex","sáb"))</f>
        <v>qua</v>
      </c>
      <c r="W5" s="34" t="str">
        <f aca="false">IF(W$4="","",CHOOSE(WEEKDAY(W$4,1),"dom","seg","ter","qua","qui","sex","sáb"))</f>
        <v>qui</v>
      </c>
      <c r="X5" s="34" t="str">
        <f aca="false">IF(X$4="","",CHOOSE(WEEKDAY(X$4,1),"dom","seg","ter","qua","qui","sex","sáb"))</f>
        <v>sex</v>
      </c>
      <c r="Y5" s="34" t="str">
        <f aca="false">IF(Y$4="","",CHOOSE(WEEKDAY(Y$4,1),"dom","seg","ter","qua","qui","sex","sáb"))</f>
        <v>sáb</v>
      </c>
      <c r="Z5" s="34" t="str">
        <f aca="false">IF(Z$4="","",CHOOSE(WEEKDAY(Z$4,1),"dom","seg","ter","qua","qui","sex","sáb"))</f>
        <v>dom</v>
      </c>
      <c r="AA5" s="34" t="str">
        <f aca="false">IF(AA$4="","",CHOOSE(WEEKDAY(AA$4,1),"dom","seg","ter","qua","qui","sex","sáb"))</f>
        <v>seg</v>
      </c>
      <c r="AB5" s="34" t="str">
        <f aca="false">IF(AB$4="","",CHOOSE(WEEKDAY(AB$4,1),"dom","seg","ter","qua","qui","sex","sáb"))</f>
        <v>ter</v>
      </c>
      <c r="AC5" s="34" t="str">
        <f aca="false">IF(AC$4="","",CHOOSE(WEEKDAY(AC$4,1),"dom","seg","ter","qua","qui","sex","sáb"))</f>
        <v>qua</v>
      </c>
    </row>
    <row r="6" customFormat="false" ht="15" hidden="false" customHeight="true" outlineLevel="0" collapsed="false">
      <c r="B6" s="35" t="str">
        <f aca="false">IF(COUNTIFS('Cronograma (calculado)'!$G$3:$G$602,B$4)=0,"",COUNTIFS('Cronograma (calculado)'!$G$3:$G$602,B$4)&amp;IF(COUNTIFS('Cronograma (calculado)'!$G$3:$G$602,B$4)=1," manutenção"," manutenções"))</f>
        <v/>
      </c>
      <c r="C6" s="35" t="str">
        <f aca="false">IF(COUNTIFS('Cronograma (calculado)'!$G$3:$G$602,C$4)=0,"",COUNTIFS('Cronograma (calculado)'!$G$3:$G$602,C$4)&amp;IF(COUNTIFS('Cronograma (calculado)'!$G$3:$G$602,C$4)=1," manutenção"," manutenções"))</f>
        <v/>
      </c>
      <c r="D6" s="35" t="str">
        <f aca="false">IF(COUNTIFS('Cronograma (calculado)'!$G$3:$G$602,D$4)=0,"",COUNTIFS('Cronograma (calculado)'!$G$3:$G$602,D$4)&amp;IF(COUNTIFS('Cronograma (calculado)'!$G$3:$G$602,D$4)=1," manutenção"," manutenções"))</f>
        <v/>
      </c>
      <c r="E6" s="35" t="str">
        <f aca="false">IF(COUNTIFS('Cronograma (calculado)'!$G$3:$G$602,E$4)=0,"",COUNTIFS('Cronograma (calculado)'!$G$3:$G$602,E$4)&amp;IF(COUNTIFS('Cronograma (calculado)'!$G$3:$G$602,E$4)=1," manutenção"," manutenções"))</f>
        <v/>
      </c>
      <c r="F6" s="35" t="str">
        <f aca="false">IF(COUNTIFS('Cronograma (calculado)'!$G$3:$G$602,F$4)=0,"",COUNTIFS('Cronograma (calculado)'!$G$3:$G$602,F$4)&amp;IF(COUNTIFS('Cronograma (calculado)'!$G$3:$G$602,F$4)=1," manutenção"," manutenções"))</f>
        <v>1 manutenção</v>
      </c>
      <c r="G6" s="35" t="str">
        <f aca="false">IF(COUNTIFS('Cronograma (calculado)'!$G$3:$G$602,G$4)=0,"",COUNTIFS('Cronograma (calculado)'!$G$3:$G$602,G$4)&amp;IF(COUNTIFS('Cronograma (calculado)'!$G$3:$G$602,G$4)=1," manutenção"," manutenções"))</f>
        <v/>
      </c>
      <c r="H6" s="35" t="str">
        <f aca="false">IF(COUNTIFS('Cronograma (calculado)'!$G$3:$G$602,H$4)=0,"",COUNTIFS('Cronograma (calculado)'!$G$3:$G$602,H$4)&amp;IF(COUNTIFS('Cronograma (calculado)'!$G$3:$G$602,H$4)=1," manutenção"," manutenções"))</f>
        <v/>
      </c>
      <c r="I6" s="35" t="str">
        <f aca="false">IF(COUNTIFS('Cronograma (calculado)'!$G$3:$G$602,I$4)=0,"",COUNTIFS('Cronograma (calculado)'!$G$3:$G$602,I$4)&amp;IF(COUNTIFS('Cronograma (calculado)'!$G$3:$G$602,I$4)=1," manutenção"," manutenções"))</f>
        <v/>
      </c>
      <c r="J6" s="35" t="str">
        <f aca="false">IF(COUNTIFS('Cronograma (calculado)'!$G$3:$G$602,J$4)=0,"",COUNTIFS('Cronograma (calculado)'!$G$3:$G$602,J$4)&amp;IF(COUNTIFS('Cronograma (calculado)'!$G$3:$G$602,J$4)=1," manutenção"," manutenções"))</f>
        <v/>
      </c>
      <c r="K6" s="35" t="str">
        <f aca="false">IF(COUNTIFS('Cronograma (calculado)'!$G$3:$G$602,K$4)=0,"",COUNTIFS('Cronograma (calculado)'!$G$3:$G$602,K$4)&amp;IF(COUNTIFS('Cronograma (calculado)'!$G$3:$G$602,K$4)=1," manutenção"," manutenções"))</f>
        <v/>
      </c>
      <c r="L6" s="35" t="str">
        <f aca="false">IF(COUNTIFS('Cronograma (calculado)'!$G$3:$G$602,L$4)=0,"",COUNTIFS('Cronograma (calculado)'!$G$3:$G$602,L$4)&amp;IF(COUNTIFS('Cronograma (calculado)'!$G$3:$G$602,L$4)=1," manutenção"," manutenções"))</f>
        <v>1 manutenção</v>
      </c>
      <c r="M6" s="35" t="str">
        <f aca="false">IF(COUNTIFS('Cronograma (calculado)'!$G$3:$G$602,M$4)=0,"",COUNTIFS('Cronograma (calculado)'!$G$3:$G$602,M$4)&amp;IF(COUNTIFS('Cronograma (calculado)'!$G$3:$G$602,M$4)=1," manutenção"," manutenções"))</f>
        <v/>
      </c>
      <c r="N6" s="35" t="str">
        <f aca="false">IF(COUNTIFS('Cronograma (calculado)'!$G$3:$G$602,N$4)=0,"",COUNTIFS('Cronograma (calculado)'!$G$3:$G$602,N$4)&amp;IF(COUNTIFS('Cronograma (calculado)'!$G$3:$G$602,N$4)=1," manutenção"," manutenções"))</f>
        <v>1 manutenção</v>
      </c>
      <c r="O6" s="35" t="str">
        <f aca="false">IF(COUNTIFS('Cronograma (calculado)'!$G$3:$G$602,O$4)=0,"",COUNTIFS('Cronograma (calculado)'!$G$3:$G$602,O$4)&amp;IF(COUNTIFS('Cronograma (calculado)'!$G$3:$G$602,O$4)=1," manutenção"," manutenções"))</f>
        <v/>
      </c>
      <c r="P6" s="35" t="str">
        <f aca="false">IF(COUNTIFS('Cronograma (calculado)'!$G$3:$G$602,P$4)=0,"",COUNTIFS('Cronograma (calculado)'!$G$3:$G$602,P$4)&amp;IF(COUNTIFS('Cronograma (calculado)'!$G$3:$G$602,P$4)=1," manutenção"," manutenções"))</f>
        <v>1 manutenção</v>
      </c>
      <c r="Q6" s="35" t="str">
        <f aca="false">IF(COUNTIFS('Cronograma (calculado)'!$G$3:$G$602,Q$4)=0,"",COUNTIFS('Cronograma (calculado)'!$G$3:$G$602,Q$4)&amp;IF(COUNTIFS('Cronograma (calculado)'!$G$3:$G$602,Q$4)=1," manutenção"," manutenções"))</f>
        <v/>
      </c>
      <c r="R6" s="35" t="str">
        <f aca="false">IF(COUNTIFS('Cronograma (calculado)'!$G$3:$G$602,R$4)=0,"",COUNTIFS('Cronograma (calculado)'!$G$3:$G$602,R$4)&amp;IF(COUNTIFS('Cronograma (calculado)'!$G$3:$G$602,R$4)=1," manutenção"," manutenções"))</f>
        <v>1 manutenção</v>
      </c>
      <c r="S6" s="35" t="str">
        <f aca="false">IF(COUNTIFS('Cronograma (calculado)'!$G$3:$G$602,S$4)=0,"",COUNTIFS('Cronograma (calculado)'!$G$3:$G$602,S$4)&amp;IF(COUNTIFS('Cronograma (calculado)'!$G$3:$G$602,S$4)=1," manutenção"," manutenções"))</f>
        <v/>
      </c>
      <c r="T6" s="35" t="str">
        <f aca="false">IF(COUNTIFS('Cronograma (calculado)'!$G$3:$G$602,T$4)=0,"",COUNTIFS('Cronograma (calculado)'!$G$3:$G$602,T$4)&amp;IF(COUNTIFS('Cronograma (calculado)'!$G$3:$G$602,T$4)=1," manutenção"," manutenções"))</f>
        <v/>
      </c>
      <c r="U6" s="35" t="str">
        <f aca="false">IF(COUNTIFS('Cronograma (calculado)'!$G$3:$G$602,U$4)=0,"",COUNTIFS('Cronograma (calculado)'!$G$3:$G$602,U$4)&amp;IF(COUNTIFS('Cronograma (calculado)'!$G$3:$G$602,U$4)=1," manutenção"," manutenções"))</f>
        <v>1 manutenção</v>
      </c>
      <c r="V6" s="35" t="str">
        <f aca="false">IF(COUNTIFS('Cronograma (calculado)'!$G$3:$G$602,V$4)=0,"",COUNTIFS('Cronograma (calculado)'!$G$3:$G$602,V$4)&amp;IF(COUNTIFS('Cronograma (calculado)'!$G$3:$G$602,V$4)=1," manutenção"," manutenções"))</f>
        <v/>
      </c>
      <c r="W6" s="35" t="str">
        <f aca="false">IF(COUNTIFS('Cronograma (calculado)'!$G$3:$G$602,W$4)=0,"",COUNTIFS('Cronograma (calculado)'!$G$3:$G$602,W$4)&amp;IF(COUNTIFS('Cronograma (calculado)'!$G$3:$G$602,W$4)=1," manutenção"," manutenções"))</f>
        <v>1 manutenção</v>
      </c>
      <c r="X6" s="35" t="str">
        <f aca="false">IF(COUNTIFS('Cronograma (calculado)'!$G$3:$G$602,X$4)=0,"",COUNTIFS('Cronograma (calculado)'!$G$3:$G$602,X$4)&amp;IF(COUNTIFS('Cronograma (calculado)'!$G$3:$G$602,X$4)=1," manutenção"," manutenções"))</f>
        <v/>
      </c>
      <c r="Y6" s="35" t="str">
        <f aca="false">IF(COUNTIFS('Cronograma (calculado)'!$G$3:$G$602,Y$4)=0,"",COUNTIFS('Cronograma (calculado)'!$G$3:$G$602,Y$4)&amp;IF(COUNTIFS('Cronograma (calculado)'!$G$3:$G$602,Y$4)=1," manutenção"," manutenções"))</f>
        <v/>
      </c>
      <c r="Z6" s="35" t="str">
        <f aca="false">IF(COUNTIFS('Cronograma (calculado)'!$G$3:$G$602,Z$4)=0,"",COUNTIFS('Cronograma (calculado)'!$G$3:$G$602,Z$4)&amp;IF(COUNTIFS('Cronograma (calculado)'!$G$3:$G$602,Z$4)=1," manutenção"," manutenções"))</f>
        <v/>
      </c>
      <c r="AA6" s="35" t="str">
        <f aca="false">IF(COUNTIFS('Cronograma (calculado)'!$G$3:$G$602,AA$4)=0,"",COUNTIFS('Cronograma (calculado)'!$G$3:$G$602,AA$4)&amp;IF(COUNTIFS('Cronograma (calculado)'!$G$3:$G$602,AA$4)=1," manutenção"," manutenções"))</f>
        <v>1 manutenção</v>
      </c>
      <c r="AB6" s="35" t="str">
        <f aca="false">IF(COUNTIFS('Cronograma (calculado)'!$G$3:$G$602,AB$4)=0,"",COUNTIFS('Cronograma (calculado)'!$G$3:$G$602,AB$4)&amp;IF(COUNTIFS('Cronograma (calculado)'!$G$3:$G$602,AB$4)=1," manutenção"," manutenções"))</f>
        <v/>
      </c>
      <c r="AC6" s="35" t="str">
        <f aca="false">IF(COUNTIFS('Cronograma (calculado)'!$G$3:$G$602,AC$4)=0,"",COUNTIFS('Cronograma (calculado)'!$G$3:$G$602,AC$4)&amp;IF(COUNTIFS('Cronograma (calculado)'!$G$3:$G$602,AC$4)=1," manutenção"," manutenções"))</f>
        <v/>
      </c>
    </row>
    <row r="7" customFormat="false" ht="6" hidden="false" customHeight="true" outlineLevel="0" collapsed="false"/>
    <row r="8" customFormat="false" ht="15" hidden="false" customHeight="true" outlineLevel="0" collapsed="false">
      <c r="B8" s="36" t="str">
        <f aca="false">IFERROR(INDEX('Cronograma (calculado)'!$C$3:$C$602,MATCH(B$4&amp;"|"&amp;1,'Cronograma (calculado)'!$N$3:$N$602,0)),"")</f>
        <v/>
      </c>
      <c r="C8" s="37" t="str">
        <f aca="false">IFERROR(INDEX('Cronograma (calculado)'!$C$3:$C$602,MATCH(C$4&amp;"|"&amp;1,'Cronograma (calculado)'!$N$3:$N$602,0)),"")</f>
        <v/>
      </c>
      <c r="D8" s="36" t="str">
        <f aca="false">IFERROR(INDEX('Cronograma (calculado)'!$C$3:$C$602,MATCH(D$4&amp;"|"&amp;1,'Cronograma (calculado)'!$N$3:$N$602,0)),"")</f>
        <v/>
      </c>
      <c r="E8" s="37" t="str">
        <f aca="false">IFERROR(INDEX('Cronograma (calculado)'!$C$3:$C$602,MATCH(E$4&amp;"|"&amp;1,'Cronograma (calculado)'!$N$3:$N$602,0)),"")</f>
        <v/>
      </c>
      <c r="F8" s="36" t="str">
        <f aca="false">IFERROR(INDEX('Cronograma (calculado)'!$C$3:$C$602,MATCH(F$4&amp;"|"&amp;1,'Cronograma (calculado)'!$N$3:$N$602,0)),"")</f>
        <v>FR-001</v>
      </c>
      <c r="G8" s="37" t="str">
        <f aca="false">IFERROR(INDEX('Cronograma (calculado)'!$C$3:$C$602,MATCH(G$4&amp;"|"&amp;1,'Cronograma (calculado)'!$N$3:$N$602,0)),"")</f>
        <v/>
      </c>
      <c r="H8" s="36" t="str">
        <f aca="false">IFERROR(INDEX('Cronograma (calculado)'!$C$3:$C$602,MATCH(H$4&amp;"|"&amp;1,'Cronograma (calculado)'!$N$3:$N$602,0)),"")</f>
        <v/>
      </c>
      <c r="I8" s="37" t="str">
        <f aca="false">IFERROR(INDEX('Cronograma (calculado)'!$C$3:$C$602,MATCH(I$4&amp;"|"&amp;1,'Cronograma (calculado)'!$N$3:$N$602,0)),"")</f>
        <v/>
      </c>
      <c r="J8" s="36" t="str">
        <f aca="false">IFERROR(INDEX('Cronograma (calculado)'!$C$3:$C$602,MATCH(J$4&amp;"|"&amp;1,'Cronograma (calculado)'!$N$3:$N$602,0)),"")</f>
        <v/>
      </c>
      <c r="K8" s="37" t="str">
        <f aca="false">IFERROR(INDEX('Cronograma (calculado)'!$C$3:$C$602,MATCH(K$4&amp;"|"&amp;1,'Cronograma (calculado)'!$N$3:$N$602,0)),"")</f>
        <v/>
      </c>
      <c r="L8" s="36" t="str">
        <f aca="false">IFERROR(INDEX('Cronograma (calculado)'!$C$3:$C$602,MATCH(L$4&amp;"|"&amp;1,'Cronograma (calculado)'!$N$3:$N$602,0)),"")</f>
        <v>TM-001</v>
      </c>
      <c r="M8" s="37" t="str">
        <f aca="false">IFERROR(INDEX('Cronograma (calculado)'!$C$3:$C$602,MATCH(M$4&amp;"|"&amp;1,'Cronograma (calculado)'!$N$3:$N$602,0)),"")</f>
        <v/>
      </c>
      <c r="N8" s="36" t="str">
        <f aca="false">IFERROR(INDEX('Cronograma (calculado)'!$C$3:$C$602,MATCH(N$4&amp;"|"&amp;1,'Cronograma (calculado)'!$N$3:$N$602,0)),"")</f>
        <v>CP-001</v>
      </c>
      <c r="O8" s="37" t="str">
        <f aca="false">IFERROR(INDEX('Cronograma (calculado)'!$C$3:$C$602,MATCH(O$4&amp;"|"&amp;1,'Cronograma (calculado)'!$N$3:$N$602,0)),"")</f>
        <v/>
      </c>
      <c r="P8" s="36" t="str">
        <f aca="false">IFERROR(INDEX('Cronograma (calculado)'!$C$3:$C$602,MATCH(P$4&amp;"|"&amp;1,'Cronograma (calculado)'!$N$3:$N$602,0)),"")</f>
        <v>PH-001</v>
      </c>
      <c r="Q8" s="37" t="str">
        <f aca="false">IFERROR(INDEX('Cronograma (calculado)'!$C$3:$C$602,MATCH(Q$4&amp;"|"&amp;1,'Cronograma (calculado)'!$N$3:$N$602,0)),"")</f>
        <v/>
      </c>
      <c r="R8" s="36" t="str">
        <f aca="false">IFERROR(INDEX('Cronograma (calculado)'!$C$3:$C$602,MATCH(R$4&amp;"|"&amp;1,'Cronograma (calculado)'!$N$3:$N$602,0)),"")</f>
        <v>EM-001</v>
      </c>
      <c r="S8" s="37" t="str">
        <f aca="false">IFERROR(INDEX('Cronograma (calculado)'!$C$3:$C$602,MATCH(S$4&amp;"|"&amp;1,'Cronograma (calculado)'!$N$3:$N$602,0)),"")</f>
        <v/>
      </c>
      <c r="T8" s="36" t="str">
        <f aca="false">IFERROR(INDEX('Cronograma (calculado)'!$C$3:$C$602,MATCH(T$4&amp;"|"&amp;1,'Cronograma (calculado)'!$N$3:$N$602,0)),"")</f>
        <v/>
      </c>
      <c r="U8" s="37" t="str">
        <f aca="false">IFERROR(INDEX('Cronograma (calculado)'!$C$3:$C$602,MATCH(U$4&amp;"|"&amp;1,'Cronograma (calculado)'!$N$3:$N$602,0)),"")</f>
        <v>TM-001</v>
      </c>
      <c r="V8" s="36" t="str">
        <f aca="false">IFERROR(INDEX('Cronograma (calculado)'!$C$3:$C$602,MATCH(V$4&amp;"|"&amp;1,'Cronograma (calculado)'!$N$3:$N$602,0)),"")</f>
        <v/>
      </c>
      <c r="W8" s="37" t="str">
        <f aca="false">IFERROR(INDEX('Cronograma (calculado)'!$C$3:$C$602,MATCH(W$4&amp;"|"&amp;1,'Cronograma (calculado)'!$N$3:$N$602,0)),"")</f>
        <v>CP-001</v>
      </c>
      <c r="X8" s="36" t="str">
        <f aca="false">IFERROR(INDEX('Cronograma (calculado)'!$C$3:$C$602,MATCH(X$4&amp;"|"&amp;1,'Cronograma (calculado)'!$N$3:$N$602,0)),"")</f>
        <v/>
      </c>
      <c r="Y8" s="37" t="str">
        <f aca="false">IFERROR(INDEX('Cronograma (calculado)'!$C$3:$C$602,MATCH(Y$4&amp;"|"&amp;1,'Cronograma (calculado)'!$N$3:$N$602,0)),"")</f>
        <v/>
      </c>
      <c r="Z8" s="36" t="str">
        <f aca="false">IFERROR(INDEX('Cronograma (calculado)'!$C$3:$C$602,MATCH(Z$4&amp;"|"&amp;1,'Cronograma (calculado)'!$N$3:$N$602,0)),"")</f>
        <v/>
      </c>
      <c r="AA8" s="37" t="str">
        <f aca="false">IFERROR(INDEX('Cronograma (calculado)'!$C$3:$C$602,MATCH(AA$4&amp;"|"&amp;1,'Cronograma (calculado)'!$N$3:$N$602,0)),"")</f>
        <v>ET-001</v>
      </c>
      <c r="AB8" s="36" t="str">
        <f aca="false">IFERROR(INDEX('Cronograma (calculado)'!$C$3:$C$602,MATCH(AB$4&amp;"|"&amp;1,'Cronograma (calculado)'!$N$3:$N$602,0)),"")</f>
        <v/>
      </c>
      <c r="AC8" s="37" t="str">
        <f aca="false">IFERROR(INDEX('Cronograma (calculado)'!$C$3:$C$602,MATCH(AC$4&amp;"|"&amp;1,'Cronograma (calculado)'!$N$3:$N$602,0)),"")</f>
        <v/>
      </c>
    </row>
    <row r="9" customFormat="false" ht="25.5" hidden="false" customHeight="true" outlineLevel="0" collapsed="false">
      <c r="B9" s="38" t="str">
        <f aca="false">IFERROR(INDEX('Cronograma (calculado)'!$E$3:$E$602,MATCH(B$4&amp;"|"&amp;1,'Cronograma (calculado)'!$N$3:$N$602,0)),"")</f>
        <v/>
      </c>
      <c r="C9" s="39" t="str">
        <f aca="false">IFERROR(INDEX('Cronograma (calculado)'!$E$3:$E$602,MATCH(C$4&amp;"|"&amp;1,'Cronograma (calculado)'!$N$3:$N$602,0)),"")</f>
        <v/>
      </c>
      <c r="D9" s="38" t="str">
        <f aca="false">IFERROR(INDEX('Cronograma (calculado)'!$E$3:$E$602,MATCH(D$4&amp;"|"&amp;1,'Cronograma (calculado)'!$N$3:$N$602,0)),"")</f>
        <v/>
      </c>
      <c r="E9" s="39" t="str">
        <f aca="false">IFERROR(INDEX('Cronograma (calculado)'!$E$3:$E$602,MATCH(E$4&amp;"|"&amp;1,'Cronograma (calculado)'!$N$3:$N$602,0)),"")</f>
        <v/>
      </c>
      <c r="F9" s="38" t="str">
        <f aca="false">IFERROR(INDEX('Cronograma (calculado)'!$E$3:$E$602,MATCH(F$4&amp;"|"&amp;1,'Cronograma (calculado)'!$N$3:$N$602,0)),"")</f>
        <v>Preventiva mensal — inspeção geral</v>
      </c>
      <c r="G9" s="39" t="str">
        <f aca="false">IFERROR(INDEX('Cronograma (calculado)'!$E$3:$E$602,MATCH(G$4&amp;"|"&amp;1,'Cronograma (calculado)'!$N$3:$N$602,0)),"")</f>
        <v/>
      </c>
      <c r="H9" s="38" t="str">
        <f aca="false">IFERROR(INDEX('Cronograma (calculado)'!$E$3:$E$602,MATCH(H$4&amp;"|"&amp;1,'Cronograma (calculado)'!$N$3:$N$602,0)),"")</f>
        <v/>
      </c>
      <c r="I9" s="39" t="str">
        <f aca="false">IFERROR(INDEX('Cronograma (calculado)'!$E$3:$E$602,MATCH(I$4&amp;"|"&amp;1,'Cronograma (calculado)'!$N$3:$N$602,0)),"")</f>
        <v/>
      </c>
      <c r="J9" s="38" t="str">
        <f aca="false">IFERROR(INDEX('Cronograma (calculado)'!$E$3:$E$602,MATCH(J$4&amp;"|"&amp;1,'Cronograma (calculado)'!$N$3:$N$602,0)),"")</f>
        <v/>
      </c>
      <c r="K9" s="39" t="str">
        <f aca="false">IFERROR(INDEX('Cronograma (calculado)'!$E$3:$E$602,MATCH(K$4&amp;"|"&amp;1,'Cronograma (calculado)'!$N$3:$N$602,0)),"")</f>
        <v/>
      </c>
      <c r="L9" s="38" t="str">
        <f aca="false">IFERROR(INDEX('Cronograma (calculado)'!$E$3:$E$602,MATCH(L$4&amp;"|"&amp;1,'Cronograma (calculado)'!$N$3:$N$602,0)),"")</f>
        <v>Preventiva mensal — inspeção geral</v>
      </c>
      <c r="M9" s="39" t="str">
        <f aca="false">IFERROR(INDEX('Cronograma (calculado)'!$E$3:$E$602,MATCH(M$4&amp;"|"&amp;1,'Cronograma (calculado)'!$N$3:$N$602,0)),"")</f>
        <v/>
      </c>
      <c r="N9" s="38" t="str">
        <f aca="false">IFERROR(INDEX('Cronograma (calculado)'!$E$3:$E$602,MATCH(N$4&amp;"|"&amp;1,'Cronograma (calculado)'!$N$3:$N$602,0)),"")</f>
        <v>Troca do elemento filtrante</v>
      </c>
      <c r="O9" s="39" t="str">
        <f aca="false">IFERROR(INDEX('Cronograma (calculado)'!$E$3:$E$602,MATCH(O$4&amp;"|"&amp;1,'Cronograma (calculado)'!$N$3:$N$602,0)),"")</f>
        <v/>
      </c>
      <c r="P9" s="38" t="str">
        <f aca="false">IFERROR(INDEX('Cronograma (calculado)'!$E$3:$E$602,MATCH(P$4&amp;"|"&amp;1,'Cronograma (calculado)'!$N$3:$N$602,0)),"")</f>
        <v>Preventiva mensal — inspeção geral</v>
      </c>
      <c r="Q9" s="39" t="str">
        <f aca="false">IFERROR(INDEX('Cronograma (calculado)'!$E$3:$E$602,MATCH(Q$4&amp;"|"&amp;1,'Cronograma (calculado)'!$N$3:$N$602,0)),"")</f>
        <v/>
      </c>
      <c r="R9" s="38" t="str">
        <f aca="false">IFERROR(INDEX('Cronograma (calculado)'!$E$3:$E$602,MATCH(R$4&amp;"|"&amp;1,'Cronograma (calculado)'!$N$3:$N$602,0)),"")</f>
        <v>Revisão das 500 h</v>
      </c>
      <c r="S9" s="39" t="str">
        <f aca="false">IFERROR(INDEX('Cronograma (calculado)'!$E$3:$E$602,MATCH(S$4&amp;"|"&amp;1,'Cronograma (calculado)'!$N$3:$N$602,0)),"")</f>
        <v/>
      </c>
      <c r="T9" s="38" t="str">
        <f aca="false">IFERROR(INDEX('Cronograma (calculado)'!$E$3:$E$602,MATCH(T$4&amp;"|"&amp;1,'Cronograma (calculado)'!$N$3:$N$602,0)),"")</f>
        <v/>
      </c>
      <c r="U9" s="39" t="str">
        <f aca="false">IFERROR(INDEX('Cronograma (calculado)'!$E$3:$E$602,MATCH(U$4&amp;"|"&amp;1,'Cronograma (calculado)'!$N$3:$N$602,0)),"")</f>
        <v>Lubrificação e ajuste de folgas</v>
      </c>
      <c r="V9" s="38" t="str">
        <f aca="false">IFERROR(INDEX('Cronograma (calculado)'!$E$3:$E$602,MATCH(V$4&amp;"|"&amp;1,'Cronograma (calculado)'!$N$3:$N$602,0)),"")</f>
        <v/>
      </c>
      <c r="W9" s="39" t="str">
        <f aca="false">IFERROR(INDEX('Cronograma (calculado)'!$E$3:$E$602,MATCH(W$4&amp;"|"&amp;1,'Cronograma (calculado)'!$N$3:$N$602,0)),"")</f>
        <v>Análise de vibração</v>
      </c>
      <c r="X9" s="38" t="str">
        <f aca="false">IFERROR(INDEX('Cronograma (calculado)'!$E$3:$E$602,MATCH(X$4&amp;"|"&amp;1,'Cronograma (calculado)'!$N$3:$N$602,0)),"")</f>
        <v/>
      </c>
      <c r="Y9" s="39" t="str">
        <f aca="false">IFERROR(INDEX('Cronograma (calculado)'!$E$3:$E$602,MATCH(Y$4&amp;"|"&amp;1,'Cronograma (calculado)'!$N$3:$N$602,0)),"")</f>
        <v/>
      </c>
      <c r="Z9" s="38" t="str">
        <f aca="false">IFERROR(INDEX('Cronograma (calculado)'!$E$3:$E$602,MATCH(Z$4&amp;"|"&amp;1,'Cronograma (calculado)'!$N$3:$N$602,0)),"")</f>
        <v/>
      </c>
      <c r="AA9" s="39" t="str">
        <f aca="false">IFERROR(INDEX('Cronograma (calculado)'!$E$3:$E$602,MATCH(AA$4&amp;"|"&amp;1,'Cronograma (calculado)'!$N$3:$N$602,0)),"")</f>
        <v>Preventiva bimestral — roletes e correia</v>
      </c>
      <c r="AB9" s="38" t="str">
        <f aca="false">IFERROR(INDEX('Cronograma (calculado)'!$E$3:$E$602,MATCH(AB$4&amp;"|"&amp;1,'Cronograma (calculado)'!$N$3:$N$602,0)),"")</f>
        <v/>
      </c>
      <c r="AC9" s="39" t="str">
        <f aca="false">IFERROR(INDEX('Cronograma (calculado)'!$E$3:$E$602,MATCH(AC$4&amp;"|"&amp;1,'Cronograma (calculado)'!$N$3:$N$602,0)),"")</f>
        <v/>
      </c>
    </row>
    <row r="10" customFormat="false" ht="15" hidden="false" customHeight="true" outlineLevel="0" collapsed="false">
      <c r="B10" s="38" t="str">
        <f aca="false">IFERROR(INDEX('Cronograma (calculado)'!$J$3:$J$602,MATCH(B$4&amp;"|"&amp;1,'Cronograma (calculado)'!$N$3:$N$602,0)),"")</f>
        <v/>
      </c>
      <c r="C10" s="39" t="str">
        <f aca="false">IFERROR(INDEX('Cronograma (calculado)'!$J$3:$J$602,MATCH(C$4&amp;"|"&amp;1,'Cronograma (calculado)'!$N$3:$N$602,0)),"")</f>
        <v/>
      </c>
      <c r="D10" s="38" t="str">
        <f aca="false">IFERROR(INDEX('Cronograma (calculado)'!$J$3:$J$602,MATCH(D$4&amp;"|"&amp;1,'Cronograma (calculado)'!$N$3:$N$602,0)),"")</f>
        <v/>
      </c>
      <c r="E10" s="39" t="str">
        <f aca="false">IFERROR(INDEX('Cronograma (calculado)'!$J$3:$J$602,MATCH(E$4&amp;"|"&amp;1,'Cronograma (calculado)'!$N$3:$N$602,0)),"")</f>
        <v/>
      </c>
      <c r="F10" s="38" t="str">
        <f aca="false">IFERROR(INDEX('Cronograma (calculado)'!$J$3:$J$602,MATCH(F$4&amp;"|"&amp;1,'Cronograma (calculado)'!$N$3:$N$602,0)),"")</f>
        <v>Atrasada</v>
      </c>
      <c r="G10" s="39" t="str">
        <f aca="false">IFERROR(INDEX('Cronograma (calculado)'!$J$3:$J$602,MATCH(G$4&amp;"|"&amp;1,'Cronograma (calculado)'!$N$3:$N$602,0)),"")</f>
        <v/>
      </c>
      <c r="H10" s="38" t="str">
        <f aca="false">IFERROR(INDEX('Cronograma (calculado)'!$J$3:$J$602,MATCH(H$4&amp;"|"&amp;1,'Cronograma (calculado)'!$N$3:$N$602,0)),"")</f>
        <v/>
      </c>
      <c r="I10" s="39" t="str">
        <f aca="false">IFERROR(INDEX('Cronograma (calculado)'!$J$3:$J$602,MATCH(I$4&amp;"|"&amp;1,'Cronograma (calculado)'!$N$3:$N$602,0)),"")</f>
        <v/>
      </c>
      <c r="J10" s="38" t="str">
        <f aca="false">IFERROR(INDEX('Cronograma (calculado)'!$J$3:$J$602,MATCH(J$4&amp;"|"&amp;1,'Cronograma (calculado)'!$N$3:$N$602,0)),"")</f>
        <v/>
      </c>
      <c r="K10" s="39" t="str">
        <f aca="false">IFERROR(INDEX('Cronograma (calculado)'!$J$3:$J$602,MATCH(K$4&amp;"|"&amp;1,'Cronograma (calculado)'!$N$3:$N$602,0)),"")</f>
        <v/>
      </c>
      <c r="L10" s="38" t="str">
        <f aca="false">IFERROR(INDEX('Cronograma (calculado)'!$J$3:$J$602,MATCH(L$4&amp;"|"&amp;1,'Cronograma (calculado)'!$N$3:$N$602,0)),"")</f>
        <v>Agendada</v>
      </c>
      <c r="M10" s="39" t="str">
        <f aca="false">IFERROR(INDEX('Cronograma (calculado)'!$J$3:$J$602,MATCH(M$4&amp;"|"&amp;1,'Cronograma (calculado)'!$N$3:$N$602,0)),"")</f>
        <v/>
      </c>
      <c r="N10" s="38" t="str">
        <f aca="false">IFERROR(INDEX('Cronograma (calculado)'!$J$3:$J$602,MATCH(N$4&amp;"|"&amp;1,'Cronograma (calculado)'!$N$3:$N$602,0)),"")</f>
        <v>Agendada</v>
      </c>
      <c r="O10" s="39" t="str">
        <f aca="false">IFERROR(INDEX('Cronograma (calculado)'!$J$3:$J$602,MATCH(O$4&amp;"|"&amp;1,'Cronograma (calculado)'!$N$3:$N$602,0)),"")</f>
        <v/>
      </c>
      <c r="P10" s="38" t="str">
        <f aca="false">IFERROR(INDEX('Cronograma (calculado)'!$J$3:$J$602,MATCH(P$4&amp;"|"&amp;1,'Cronograma (calculado)'!$N$3:$N$602,0)),"")</f>
        <v>Agendada</v>
      </c>
      <c r="Q10" s="39" t="str">
        <f aca="false">IFERROR(INDEX('Cronograma (calculado)'!$J$3:$J$602,MATCH(Q$4&amp;"|"&amp;1,'Cronograma (calculado)'!$N$3:$N$602,0)),"")</f>
        <v/>
      </c>
      <c r="R10" s="38" t="str">
        <f aca="false">IFERROR(INDEX('Cronograma (calculado)'!$J$3:$J$602,MATCH(R$4&amp;"|"&amp;1,'Cronograma (calculado)'!$N$3:$N$602,0)),"")</f>
        <v>Agendada</v>
      </c>
      <c r="S10" s="39" t="str">
        <f aca="false">IFERROR(INDEX('Cronograma (calculado)'!$J$3:$J$602,MATCH(S$4&amp;"|"&amp;1,'Cronograma (calculado)'!$N$3:$N$602,0)),"")</f>
        <v/>
      </c>
      <c r="T10" s="38" t="str">
        <f aca="false">IFERROR(INDEX('Cronograma (calculado)'!$J$3:$J$602,MATCH(T$4&amp;"|"&amp;1,'Cronograma (calculado)'!$N$3:$N$602,0)),"")</f>
        <v/>
      </c>
      <c r="U10" s="39" t="str">
        <f aca="false">IFERROR(INDEX('Cronograma (calculado)'!$J$3:$J$602,MATCH(U$4&amp;"|"&amp;1,'Cronograma (calculado)'!$N$3:$N$602,0)),"")</f>
        <v>Agendada</v>
      </c>
      <c r="V10" s="38" t="str">
        <f aca="false">IFERROR(INDEX('Cronograma (calculado)'!$J$3:$J$602,MATCH(V$4&amp;"|"&amp;1,'Cronograma (calculado)'!$N$3:$N$602,0)),"")</f>
        <v/>
      </c>
      <c r="W10" s="39" t="str">
        <f aca="false">IFERROR(INDEX('Cronograma (calculado)'!$J$3:$J$602,MATCH(W$4&amp;"|"&amp;1,'Cronograma (calculado)'!$N$3:$N$602,0)),"")</f>
        <v>Agendada</v>
      </c>
      <c r="X10" s="38" t="str">
        <f aca="false">IFERROR(INDEX('Cronograma (calculado)'!$J$3:$J$602,MATCH(X$4&amp;"|"&amp;1,'Cronograma (calculado)'!$N$3:$N$602,0)),"")</f>
        <v/>
      </c>
      <c r="Y10" s="39" t="str">
        <f aca="false">IFERROR(INDEX('Cronograma (calculado)'!$J$3:$J$602,MATCH(Y$4&amp;"|"&amp;1,'Cronograma (calculado)'!$N$3:$N$602,0)),"")</f>
        <v/>
      </c>
      <c r="Z10" s="38" t="str">
        <f aca="false">IFERROR(INDEX('Cronograma (calculado)'!$J$3:$J$602,MATCH(Z$4&amp;"|"&amp;1,'Cronograma (calculado)'!$N$3:$N$602,0)),"")</f>
        <v/>
      </c>
      <c r="AA10" s="39" t="str">
        <f aca="false">IFERROR(INDEX('Cronograma (calculado)'!$J$3:$J$602,MATCH(AA$4&amp;"|"&amp;1,'Cronograma (calculado)'!$N$3:$N$602,0)),"")</f>
        <v>Agendada</v>
      </c>
      <c r="AB10" s="38" t="str">
        <f aca="false">IFERROR(INDEX('Cronograma (calculado)'!$J$3:$J$602,MATCH(AB$4&amp;"|"&amp;1,'Cronograma (calculado)'!$N$3:$N$602,0)),"")</f>
        <v/>
      </c>
      <c r="AC10" s="39" t="str">
        <f aca="false">IFERROR(INDEX('Cronograma (calculado)'!$J$3:$J$602,MATCH(AC$4&amp;"|"&amp;1,'Cronograma (calculado)'!$N$3:$N$602,0)),"")</f>
        <v/>
      </c>
    </row>
    <row r="11" customFormat="false" ht="4.5" hidden="false" customHeight="true" outlineLevel="0" collapsed="false"/>
    <row r="12" customFormat="false" ht="15" hidden="false" customHeight="true" outlineLevel="0" collapsed="false">
      <c r="B12" s="37" t="str">
        <f aca="false">IFERROR(INDEX('Cronograma (calculado)'!$C$3:$C$602,MATCH(B$4&amp;"|"&amp;2,'Cronograma (calculado)'!$N$3:$N$602,0)),"")</f>
        <v/>
      </c>
      <c r="C12" s="36" t="str">
        <f aca="false">IFERROR(INDEX('Cronograma (calculado)'!$C$3:$C$602,MATCH(C$4&amp;"|"&amp;2,'Cronograma (calculado)'!$N$3:$N$602,0)),"")</f>
        <v/>
      </c>
      <c r="D12" s="37" t="str">
        <f aca="false">IFERROR(INDEX('Cronograma (calculado)'!$C$3:$C$602,MATCH(D$4&amp;"|"&amp;2,'Cronograma (calculado)'!$N$3:$N$602,0)),"")</f>
        <v/>
      </c>
      <c r="E12" s="36" t="str">
        <f aca="false">IFERROR(INDEX('Cronograma (calculado)'!$C$3:$C$602,MATCH(E$4&amp;"|"&amp;2,'Cronograma (calculado)'!$N$3:$N$602,0)),"")</f>
        <v/>
      </c>
      <c r="F12" s="37" t="str">
        <f aca="false">IFERROR(INDEX('Cronograma (calculado)'!$C$3:$C$602,MATCH(F$4&amp;"|"&amp;2,'Cronograma (calculado)'!$N$3:$N$602,0)),"")</f>
        <v/>
      </c>
      <c r="G12" s="36" t="str">
        <f aca="false">IFERROR(INDEX('Cronograma (calculado)'!$C$3:$C$602,MATCH(G$4&amp;"|"&amp;2,'Cronograma (calculado)'!$N$3:$N$602,0)),"")</f>
        <v/>
      </c>
      <c r="H12" s="37" t="str">
        <f aca="false">IFERROR(INDEX('Cronograma (calculado)'!$C$3:$C$602,MATCH(H$4&amp;"|"&amp;2,'Cronograma (calculado)'!$N$3:$N$602,0)),"")</f>
        <v/>
      </c>
      <c r="I12" s="36" t="str">
        <f aca="false">IFERROR(INDEX('Cronograma (calculado)'!$C$3:$C$602,MATCH(I$4&amp;"|"&amp;2,'Cronograma (calculado)'!$N$3:$N$602,0)),"")</f>
        <v/>
      </c>
      <c r="J12" s="37" t="str">
        <f aca="false">IFERROR(INDEX('Cronograma (calculado)'!$C$3:$C$602,MATCH(J$4&amp;"|"&amp;2,'Cronograma (calculado)'!$N$3:$N$602,0)),"")</f>
        <v/>
      </c>
      <c r="K12" s="36" t="str">
        <f aca="false">IFERROR(INDEX('Cronograma (calculado)'!$C$3:$C$602,MATCH(K$4&amp;"|"&amp;2,'Cronograma (calculado)'!$N$3:$N$602,0)),"")</f>
        <v/>
      </c>
      <c r="L12" s="37" t="str">
        <f aca="false">IFERROR(INDEX('Cronograma (calculado)'!$C$3:$C$602,MATCH(L$4&amp;"|"&amp;2,'Cronograma (calculado)'!$N$3:$N$602,0)),"")</f>
        <v/>
      </c>
      <c r="M12" s="36" t="str">
        <f aca="false">IFERROR(INDEX('Cronograma (calculado)'!$C$3:$C$602,MATCH(M$4&amp;"|"&amp;2,'Cronograma (calculado)'!$N$3:$N$602,0)),"")</f>
        <v/>
      </c>
      <c r="N12" s="37" t="str">
        <f aca="false">IFERROR(INDEX('Cronograma (calculado)'!$C$3:$C$602,MATCH(N$4&amp;"|"&amp;2,'Cronograma (calculado)'!$N$3:$N$602,0)),"")</f>
        <v/>
      </c>
      <c r="O12" s="36" t="str">
        <f aca="false">IFERROR(INDEX('Cronograma (calculado)'!$C$3:$C$602,MATCH(O$4&amp;"|"&amp;2,'Cronograma (calculado)'!$N$3:$N$602,0)),"")</f>
        <v/>
      </c>
      <c r="P12" s="37" t="str">
        <f aca="false">IFERROR(INDEX('Cronograma (calculado)'!$C$3:$C$602,MATCH(P$4&amp;"|"&amp;2,'Cronograma (calculado)'!$N$3:$N$602,0)),"")</f>
        <v/>
      </c>
      <c r="Q12" s="36" t="str">
        <f aca="false">IFERROR(INDEX('Cronograma (calculado)'!$C$3:$C$602,MATCH(Q$4&amp;"|"&amp;2,'Cronograma (calculado)'!$N$3:$N$602,0)),"")</f>
        <v/>
      </c>
      <c r="R12" s="37" t="str">
        <f aca="false">IFERROR(INDEX('Cronograma (calculado)'!$C$3:$C$602,MATCH(R$4&amp;"|"&amp;2,'Cronograma (calculado)'!$N$3:$N$602,0)),"")</f>
        <v/>
      </c>
      <c r="S12" s="36" t="str">
        <f aca="false">IFERROR(INDEX('Cronograma (calculado)'!$C$3:$C$602,MATCH(S$4&amp;"|"&amp;2,'Cronograma (calculado)'!$N$3:$N$602,0)),"")</f>
        <v/>
      </c>
      <c r="T12" s="37" t="str">
        <f aca="false">IFERROR(INDEX('Cronograma (calculado)'!$C$3:$C$602,MATCH(T$4&amp;"|"&amp;2,'Cronograma (calculado)'!$N$3:$N$602,0)),"")</f>
        <v/>
      </c>
      <c r="U12" s="36" t="str">
        <f aca="false">IFERROR(INDEX('Cronograma (calculado)'!$C$3:$C$602,MATCH(U$4&amp;"|"&amp;2,'Cronograma (calculado)'!$N$3:$N$602,0)),"")</f>
        <v/>
      </c>
      <c r="V12" s="37" t="str">
        <f aca="false">IFERROR(INDEX('Cronograma (calculado)'!$C$3:$C$602,MATCH(V$4&amp;"|"&amp;2,'Cronograma (calculado)'!$N$3:$N$602,0)),"")</f>
        <v/>
      </c>
      <c r="W12" s="36" t="str">
        <f aca="false">IFERROR(INDEX('Cronograma (calculado)'!$C$3:$C$602,MATCH(W$4&amp;"|"&amp;2,'Cronograma (calculado)'!$N$3:$N$602,0)),"")</f>
        <v/>
      </c>
      <c r="X12" s="37" t="str">
        <f aca="false">IFERROR(INDEX('Cronograma (calculado)'!$C$3:$C$602,MATCH(X$4&amp;"|"&amp;2,'Cronograma (calculado)'!$N$3:$N$602,0)),"")</f>
        <v/>
      </c>
      <c r="Y12" s="36" t="str">
        <f aca="false">IFERROR(INDEX('Cronograma (calculado)'!$C$3:$C$602,MATCH(Y$4&amp;"|"&amp;2,'Cronograma (calculado)'!$N$3:$N$602,0)),"")</f>
        <v/>
      </c>
      <c r="Z12" s="37" t="str">
        <f aca="false">IFERROR(INDEX('Cronograma (calculado)'!$C$3:$C$602,MATCH(Z$4&amp;"|"&amp;2,'Cronograma (calculado)'!$N$3:$N$602,0)),"")</f>
        <v/>
      </c>
      <c r="AA12" s="36" t="str">
        <f aca="false">IFERROR(INDEX('Cronograma (calculado)'!$C$3:$C$602,MATCH(AA$4&amp;"|"&amp;2,'Cronograma (calculado)'!$N$3:$N$602,0)),"")</f>
        <v/>
      </c>
      <c r="AB12" s="37" t="str">
        <f aca="false">IFERROR(INDEX('Cronograma (calculado)'!$C$3:$C$602,MATCH(AB$4&amp;"|"&amp;2,'Cronograma (calculado)'!$N$3:$N$602,0)),"")</f>
        <v/>
      </c>
      <c r="AC12" s="36" t="str">
        <f aca="false">IFERROR(INDEX('Cronograma (calculado)'!$C$3:$C$602,MATCH(AC$4&amp;"|"&amp;2,'Cronograma (calculado)'!$N$3:$N$602,0)),"")</f>
        <v/>
      </c>
    </row>
    <row r="13" customFormat="false" ht="25.5" hidden="false" customHeight="true" outlineLevel="0" collapsed="false">
      <c r="B13" s="39" t="str">
        <f aca="false">IFERROR(INDEX('Cronograma (calculado)'!$E$3:$E$602,MATCH(B$4&amp;"|"&amp;2,'Cronograma (calculado)'!$N$3:$N$602,0)),"")</f>
        <v/>
      </c>
      <c r="C13" s="38" t="str">
        <f aca="false">IFERROR(INDEX('Cronograma (calculado)'!$E$3:$E$602,MATCH(C$4&amp;"|"&amp;2,'Cronograma (calculado)'!$N$3:$N$602,0)),"")</f>
        <v/>
      </c>
      <c r="D13" s="39" t="str">
        <f aca="false">IFERROR(INDEX('Cronograma (calculado)'!$E$3:$E$602,MATCH(D$4&amp;"|"&amp;2,'Cronograma (calculado)'!$N$3:$N$602,0)),"")</f>
        <v/>
      </c>
      <c r="E13" s="38" t="str">
        <f aca="false">IFERROR(INDEX('Cronograma (calculado)'!$E$3:$E$602,MATCH(E$4&amp;"|"&amp;2,'Cronograma (calculado)'!$N$3:$N$602,0)),"")</f>
        <v/>
      </c>
      <c r="F13" s="39" t="str">
        <f aca="false">IFERROR(INDEX('Cronograma (calculado)'!$E$3:$E$602,MATCH(F$4&amp;"|"&amp;2,'Cronograma (calculado)'!$N$3:$N$602,0)),"")</f>
        <v/>
      </c>
      <c r="G13" s="38" t="str">
        <f aca="false">IFERROR(INDEX('Cronograma (calculado)'!$E$3:$E$602,MATCH(G$4&amp;"|"&amp;2,'Cronograma (calculado)'!$N$3:$N$602,0)),"")</f>
        <v/>
      </c>
      <c r="H13" s="39" t="str">
        <f aca="false">IFERROR(INDEX('Cronograma (calculado)'!$E$3:$E$602,MATCH(H$4&amp;"|"&amp;2,'Cronograma (calculado)'!$N$3:$N$602,0)),"")</f>
        <v/>
      </c>
      <c r="I13" s="38" t="str">
        <f aca="false">IFERROR(INDEX('Cronograma (calculado)'!$E$3:$E$602,MATCH(I$4&amp;"|"&amp;2,'Cronograma (calculado)'!$N$3:$N$602,0)),"")</f>
        <v/>
      </c>
      <c r="J13" s="39" t="str">
        <f aca="false">IFERROR(INDEX('Cronograma (calculado)'!$E$3:$E$602,MATCH(J$4&amp;"|"&amp;2,'Cronograma (calculado)'!$N$3:$N$602,0)),"")</f>
        <v/>
      </c>
      <c r="K13" s="38" t="str">
        <f aca="false">IFERROR(INDEX('Cronograma (calculado)'!$E$3:$E$602,MATCH(K$4&amp;"|"&amp;2,'Cronograma (calculado)'!$N$3:$N$602,0)),"")</f>
        <v/>
      </c>
      <c r="L13" s="39" t="str">
        <f aca="false">IFERROR(INDEX('Cronograma (calculado)'!$E$3:$E$602,MATCH(L$4&amp;"|"&amp;2,'Cronograma (calculado)'!$N$3:$N$602,0)),"")</f>
        <v/>
      </c>
      <c r="M13" s="38" t="str">
        <f aca="false">IFERROR(INDEX('Cronograma (calculado)'!$E$3:$E$602,MATCH(M$4&amp;"|"&amp;2,'Cronograma (calculado)'!$N$3:$N$602,0)),"")</f>
        <v/>
      </c>
      <c r="N13" s="39" t="str">
        <f aca="false">IFERROR(INDEX('Cronograma (calculado)'!$E$3:$E$602,MATCH(N$4&amp;"|"&amp;2,'Cronograma (calculado)'!$N$3:$N$602,0)),"")</f>
        <v/>
      </c>
      <c r="O13" s="38" t="str">
        <f aca="false">IFERROR(INDEX('Cronograma (calculado)'!$E$3:$E$602,MATCH(O$4&amp;"|"&amp;2,'Cronograma (calculado)'!$N$3:$N$602,0)),"")</f>
        <v/>
      </c>
      <c r="P13" s="39" t="str">
        <f aca="false">IFERROR(INDEX('Cronograma (calculado)'!$E$3:$E$602,MATCH(P$4&amp;"|"&amp;2,'Cronograma (calculado)'!$N$3:$N$602,0)),"")</f>
        <v/>
      </c>
      <c r="Q13" s="38" t="str">
        <f aca="false">IFERROR(INDEX('Cronograma (calculado)'!$E$3:$E$602,MATCH(Q$4&amp;"|"&amp;2,'Cronograma (calculado)'!$N$3:$N$602,0)),"")</f>
        <v/>
      </c>
      <c r="R13" s="39" t="str">
        <f aca="false">IFERROR(INDEX('Cronograma (calculado)'!$E$3:$E$602,MATCH(R$4&amp;"|"&amp;2,'Cronograma (calculado)'!$N$3:$N$602,0)),"")</f>
        <v/>
      </c>
      <c r="S13" s="38" t="str">
        <f aca="false">IFERROR(INDEX('Cronograma (calculado)'!$E$3:$E$602,MATCH(S$4&amp;"|"&amp;2,'Cronograma (calculado)'!$N$3:$N$602,0)),"")</f>
        <v/>
      </c>
      <c r="T13" s="39" t="str">
        <f aca="false">IFERROR(INDEX('Cronograma (calculado)'!$E$3:$E$602,MATCH(T$4&amp;"|"&amp;2,'Cronograma (calculado)'!$N$3:$N$602,0)),"")</f>
        <v/>
      </c>
      <c r="U13" s="38" t="str">
        <f aca="false">IFERROR(INDEX('Cronograma (calculado)'!$E$3:$E$602,MATCH(U$4&amp;"|"&amp;2,'Cronograma (calculado)'!$N$3:$N$602,0)),"")</f>
        <v/>
      </c>
      <c r="V13" s="39" t="str">
        <f aca="false">IFERROR(INDEX('Cronograma (calculado)'!$E$3:$E$602,MATCH(V$4&amp;"|"&amp;2,'Cronograma (calculado)'!$N$3:$N$602,0)),"")</f>
        <v/>
      </c>
      <c r="W13" s="38" t="str">
        <f aca="false">IFERROR(INDEX('Cronograma (calculado)'!$E$3:$E$602,MATCH(W$4&amp;"|"&amp;2,'Cronograma (calculado)'!$N$3:$N$602,0)),"")</f>
        <v/>
      </c>
      <c r="X13" s="39" t="str">
        <f aca="false">IFERROR(INDEX('Cronograma (calculado)'!$E$3:$E$602,MATCH(X$4&amp;"|"&amp;2,'Cronograma (calculado)'!$N$3:$N$602,0)),"")</f>
        <v/>
      </c>
      <c r="Y13" s="38" t="str">
        <f aca="false">IFERROR(INDEX('Cronograma (calculado)'!$E$3:$E$602,MATCH(Y$4&amp;"|"&amp;2,'Cronograma (calculado)'!$N$3:$N$602,0)),"")</f>
        <v/>
      </c>
      <c r="Z13" s="39" t="str">
        <f aca="false">IFERROR(INDEX('Cronograma (calculado)'!$E$3:$E$602,MATCH(Z$4&amp;"|"&amp;2,'Cronograma (calculado)'!$N$3:$N$602,0)),"")</f>
        <v/>
      </c>
      <c r="AA13" s="38" t="str">
        <f aca="false">IFERROR(INDEX('Cronograma (calculado)'!$E$3:$E$602,MATCH(AA$4&amp;"|"&amp;2,'Cronograma (calculado)'!$N$3:$N$602,0)),"")</f>
        <v/>
      </c>
      <c r="AB13" s="39" t="str">
        <f aca="false">IFERROR(INDEX('Cronograma (calculado)'!$E$3:$E$602,MATCH(AB$4&amp;"|"&amp;2,'Cronograma (calculado)'!$N$3:$N$602,0)),"")</f>
        <v/>
      </c>
      <c r="AC13" s="38" t="str">
        <f aca="false">IFERROR(INDEX('Cronograma (calculado)'!$E$3:$E$602,MATCH(AC$4&amp;"|"&amp;2,'Cronograma (calculado)'!$N$3:$N$602,0)),"")</f>
        <v/>
      </c>
    </row>
    <row r="14" customFormat="false" ht="15" hidden="false" customHeight="true" outlineLevel="0" collapsed="false">
      <c r="B14" s="39" t="str">
        <f aca="false">IFERROR(INDEX('Cronograma (calculado)'!$J$3:$J$602,MATCH(B$4&amp;"|"&amp;2,'Cronograma (calculado)'!$N$3:$N$602,0)),"")</f>
        <v/>
      </c>
      <c r="C14" s="38" t="str">
        <f aca="false">IFERROR(INDEX('Cronograma (calculado)'!$J$3:$J$602,MATCH(C$4&amp;"|"&amp;2,'Cronograma (calculado)'!$N$3:$N$602,0)),"")</f>
        <v/>
      </c>
      <c r="D14" s="39" t="str">
        <f aca="false">IFERROR(INDEX('Cronograma (calculado)'!$J$3:$J$602,MATCH(D$4&amp;"|"&amp;2,'Cronograma (calculado)'!$N$3:$N$602,0)),"")</f>
        <v/>
      </c>
      <c r="E14" s="38" t="str">
        <f aca="false">IFERROR(INDEX('Cronograma (calculado)'!$J$3:$J$602,MATCH(E$4&amp;"|"&amp;2,'Cronograma (calculado)'!$N$3:$N$602,0)),"")</f>
        <v/>
      </c>
      <c r="F14" s="39" t="str">
        <f aca="false">IFERROR(INDEX('Cronograma (calculado)'!$J$3:$J$602,MATCH(F$4&amp;"|"&amp;2,'Cronograma (calculado)'!$N$3:$N$602,0)),"")</f>
        <v/>
      </c>
      <c r="G14" s="38" t="str">
        <f aca="false">IFERROR(INDEX('Cronograma (calculado)'!$J$3:$J$602,MATCH(G$4&amp;"|"&amp;2,'Cronograma (calculado)'!$N$3:$N$602,0)),"")</f>
        <v/>
      </c>
      <c r="H14" s="39" t="str">
        <f aca="false">IFERROR(INDEX('Cronograma (calculado)'!$J$3:$J$602,MATCH(H$4&amp;"|"&amp;2,'Cronograma (calculado)'!$N$3:$N$602,0)),"")</f>
        <v/>
      </c>
      <c r="I14" s="38" t="str">
        <f aca="false">IFERROR(INDEX('Cronograma (calculado)'!$J$3:$J$602,MATCH(I$4&amp;"|"&amp;2,'Cronograma (calculado)'!$N$3:$N$602,0)),"")</f>
        <v/>
      </c>
      <c r="J14" s="39" t="str">
        <f aca="false">IFERROR(INDEX('Cronograma (calculado)'!$J$3:$J$602,MATCH(J$4&amp;"|"&amp;2,'Cronograma (calculado)'!$N$3:$N$602,0)),"")</f>
        <v/>
      </c>
      <c r="K14" s="38" t="str">
        <f aca="false">IFERROR(INDEX('Cronograma (calculado)'!$J$3:$J$602,MATCH(K$4&amp;"|"&amp;2,'Cronograma (calculado)'!$N$3:$N$602,0)),"")</f>
        <v/>
      </c>
      <c r="L14" s="39" t="str">
        <f aca="false">IFERROR(INDEX('Cronograma (calculado)'!$J$3:$J$602,MATCH(L$4&amp;"|"&amp;2,'Cronograma (calculado)'!$N$3:$N$602,0)),"")</f>
        <v/>
      </c>
      <c r="M14" s="38" t="str">
        <f aca="false">IFERROR(INDEX('Cronograma (calculado)'!$J$3:$J$602,MATCH(M$4&amp;"|"&amp;2,'Cronograma (calculado)'!$N$3:$N$602,0)),"")</f>
        <v/>
      </c>
      <c r="N14" s="39" t="str">
        <f aca="false">IFERROR(INDEX('Cronograma (calculado)'!$J$3:$J$602,MATCH(N$4&amp;"|"&amp;2,'Cronograma (calculado)'!$N$3:$N$602,0)),"")</f>
        <v/>
      </c>
      <c r="O14" s="38" t="str">
        <f aca="false">IFERROR(INDEX('Cronograma (calculado)'!$J$3:$J$602,MATCH(O$4&amp;"|"&amp;2,'Cronograma (calculado)'!$N$3:$N$602,0)),"")</f>
        <v/>
      </c>
      <c r="P14" s="39" t="str">
        <f aca="false">IFERROR(INDEX('Cronograma (calculado)'!$J$3:$J$602,MATCH(P$4&amp;"|"&amp;2,'Cronograma (calculado)'!$N$3:$N$602,0)),"")</f>
        <v/>
      </c>
      <c r="Q14" s="38" t="str">
        <f aca="false">IFERROR(INDEX('Cronograma (calculado)'!$J$3:$J$602,MATCH(Q$4&amp;"|"&amp;2,'Cronograma (calculado)'!$N$3:$N$602,0)),"")</f>
        <v/>
      </c>
      <c r="R14" s="39" t="str">
        <f aca="false">IFERROR(INDEX('Cronograma (calculado)'!$J$3:$J$602,MATCH(R$4&amp;"|"&amp;2,'Cronograma (calculado)'!$N$3:$N$602,0)),"")</f>
        <v/>
      </c>
      <c r="S14" s="38" t="str">
        <f aca="false">IFERROR(INDEX('Cronograma (calculado)'!$J$3:$J$602,MATCH(S$4&amp;"|"&amp;2,'Cronograma (calculado)'!$N$3:$N$602,0)),"")</f>
        <v/>
      </c>
      <c r="T14" s="39" t="str">
        <f aca="false">IFERROR(INDEX('Cronograma (calculado)'!$J$3:$J$602,MATCH(T$4&amp;"|"&amp;2,'Cronograma (calculado)'!$N$3:$N$602,0)),"")</f>
        <v/>
      </c>
      <c r="U14" s="38" t="str">
        <f aca="false">IFERROR(INDEX('Cronograma (calculado)'!$J$3:$J$602,MATCH(U$4&amp;"|"&amp;2,'Cronograma (calculado)'!$N$3:$N$602,0)),"")</f>
        <v/>
      </c>
      <c r="V14" s="39" t="str">
        <f aca="false">IFERROR(INDEX('Cronograma (calculado)'!$J$3:$J$602,MATCH(V$4&amp;"|"&amp;2,'Cronograma (calculado)'!$N$3:$N$602,0)),"")</f>
        <v/>
      </c>
      <c r="W14" s="38" t="str">
        <f aca="false">IFERROR(INDEX('Cronograma (calculado)'!$J$3:$J$602,MATCH(W$4&amp;"|"&amp;2,'Cronograma (calculado)'!$N$3:$N$602,0)),"")</f>
        <v/>
      </c>
      <c r="X14" s="39" t="str">
        <f aca="false">IFERROR(INDEX('Cronograma (calculado)'!$J$3:$J$602,MATCH(X$4&amp;"|"&amp;2,'Cronograma (calculado)'!$N$3:$N$602,0)),"")</f>
        <v/>
      </c>
      <c r="Y14" s="38" t="str">
        <f aca="false">IFERROR(INDEX('Cronograma (calculado)'!$J$3:$J$602,MATCH(Y$4&amp;"|"&amp;2,'Cronograma (calculado)'!$N$3:$N$602,0)),"")</f>
        <v/>
      </c>
      <c r="Z14" s="39" t="str">
        <f aca="false">IFERROR(INDEX('Cronograma (calculado)'!$J$3:$J$602,MATCH(Z$4&amp;"|"&amp;2,'Cronograma (calculado)'!$N$3:$N$602,0)),"")</f>
        <v/>
      </c>
      <c r="AA14" s="38" t="str">
        <f aca="false">IFERROR(INDEX('Cronograma (calculado)'!$J$3:$J$602,MATCH(AA$4&amp;"|"&amp;2,'Cronograma (calculado)'!$N$3:$N$602,0)),"")</f>
        <v/>
      </c>
      <c r="AB14" s="39" t="str">
        <f aca="false">IFERROR(INDEX('Cronograma (calculado)'!$J$3:$J$602,MATCH(AB$4&amp;"|"&amp;2,'Cronograma (calculado)'!$N$3:$N$602,0)),"")</f>
        <v/>
      </c>
      <c r="AC14" s="38" t="str">
        <f aca="false">IFERROR(INDEX('Cronograma (calculado)'!$J$3:$J$602,MATCH(AC$4&amp;"|"&amp;2,'Cronograma (calculado)'!$N$3:$N$602,0)),"")</f>
        <v/>
      </c>
    </row>
    <row r="15" customFormat="false" ht="4.5" hidden="false" customHeight="true" outlineLevel="0" collapsed="false"/>
    <row r="16" customFormat="false" ht="15" hidden="false" customHeight="true" outlineLevel="0" collapsed="false">
      <c r="B16" s="36" t="str">
        <f aca="false">IFERROR(INDEX('Cronograma (calculado)'!$C$3:$C$602,MATCH(B$4&amp;"|"&amp;3,'Cronograma (calculado)'!$N$3:$N$602,0)),"")</f>
        <v/>
      </c>
      <c r="C16" s="37" t="str">
        <f aca="false">IFERROR(INDEX('Cronograma (calculado)'!$C$3:$C$602,MATCH(C$4&amp;"|"&amp;3,'Cronograma (calculado)'!$N$3:$N$602,0)),"")</f>
        <v/>
      </c>
      <c r="D16" s="36" t="str">
        <f aca="false">IFERROR(INDEX('Cronograma (calculado)'!$C$3:$C$602,MATCH(D$4&amp;"|"&amp;3,'Cronograma (calculado)'!$N$3:$N$602,0)),"")</f>
        <v/>
      </c>
      <c r="E16" s="37" t="str">
        <f aca="false">IFERROR(INDEX('Cronograma (calculado)'!$C$3:$C$602,MATCH(E$4&amp;"|"&amp;3,'Cronograma (calculado)'!$N$3:$N$602,0)),"")</f>
        <v/>
      </c>
      <c r="F16" s="36" t="str">
        <f aca="false">IFERROR(INDEX('Cronograma (calculado)'!$C$3:$C$602,MATCH(F$4&amp;"|"&amp;3,'Cronograma (calculado)'!$N$3:$N$602,0)),"")</f>
        <v/>
      </c>
      <c r="G16" s="37" t="str">
        <f aca="false">IFERROR(INDEX('Cronograma (calculado)'!$C$3:$C$602,MATCH(G$4&amp;"|"&amp;3,'Cronograma (calculado)'!$N$3:$N$602,0)),"")</f>
        <v/>
      </c>
      <c r="H16" s="36" t="str">
        <f aca="false">IFERROR(INDEX('Cronograma (calculado)'!$C$3:$C$602,MATCH(H$4&amp;"|"&amp;3,'Cronograma (calculado)'!$N$3:$N$602,0)),"")</f>
        <v/>
      </c>
      <c r="I16" s="37" t="str">
        <f aca="false">IFERROR(INDEX('Cronograma (calculado)'!$C$3:$C$602,MATCH(I$4&amp;"|"&amp;3,'Cronograma (calculado)'!$N$3:$N$602,0)),"")</f>
        <v/>
      </c>
      <c r="J16" s="36" t="str">
        <f aca="false">IFERROR(INDEX('Cronograma (calculado)'!$C$3:$C$602,MATCH(J$4&amp;"|"&amp;3,'Cronograma (calculado)'!$N$3:$N$602,0)),"")</f>
        <v/>
      </c>
      <c r="K16" s="37" t="str">
        <f aca="false">IFERROR(INDEX('Cronograma (calculado)'!$C$3:$C$602,MATCH(K$4&amp;"|"&amp;3,'Cronograma (calculado)'!$N$3:$N$602,0)),"")</f>
        <v/>
      </c>
      <c r="L16" s="36" t="str">
        <f aca="false">IFERROR(INDEX('Cronograma (calculado)'!$C$3:$C$602,MATCH(L$4&amp;"|"&amp;3,'Cronograma (calculado)'!$N$3:$N$602,0)),"")</f>
        <v/>
      </c>
      <c r="M16" s="37" t="str">
        <f aca="false">IFERROR(INDEX('Cronograma (calculado)'!$C$3:$C$602,MATCH(M$4&amp;"|"&amp;3,'Cronograma (calculado)'!$N$3:$N$602,0)),"")</f>
        <v/>
      </c>
      <c r="N16" s="36" t="str">
        <f aca="false">IFERROR(INDEX('Cronograma (calculado)'!$C$3:$C$602,MATCH(N$4&amp;"|"&amp;3,'Cronograma (calculado)'!$N$3:$N$602,0)),"")</f>
        <v/>
      </c>
      <c r="O16" s="37" t="str">
        <f aca="false">IFERROR(INDEX('Cronograma (calculado)'!$C$3:$C$602,MATCH(O$4&amp;"|"&amp;3,'Cronograma (calculado)'!$N$3:$N$602,0)),"")</f>
        <v/>
      </c>
      <c r="P16" s="36" t="str">
        <f aca="false">IFERROR(INDEX('Cronograma (calculado)'!$C$3:$C$602,MATCH(P$4&amp;"|"&amp;3,'Cronograma (calculado)'!$N$3:$N$602,0)),"")</f>
        <v/>
      </c>
      <c r="Q16" s="37" t="str">
        <f aca="false">IFERROR(INDEX('Cronograma (calculado)'!$C$3:$C$602,MATCH(Q$4&amp;"|"&amp;3,'Cronograma (calculado)'!$N$3:$N$602,0)),"")</f>
        <v/>
      </c>
      <c r="R16" s="36" t="str">
        <f aca="false">IFERROR(INDEX('Cronograma (calculado)'!$C$3:$C$602,MATCH(R$4&amp;"|"&amp;3,'Cronograma (calculado)'!$N$3:$N$602,0)),"")</f>
        <v/>
      </c>
      <c r="S16" s="37" t="str">
        <f aca="false">IFERROR(INDEX('Cronograma (calculado)'!$C$3:$C$602,MATCH(S$4&amp;"|"&amp;3,'Cronograma (calculado)'!$N$3:$N$602,0)),"")</f>
        <v/>
      </c>
      <c r="T16" s="36" t="str">
        <f aca="false">IFERROR(INDEX('Cronograma (calculado)'!$C$3:$C$602,MATCH(T$4&amp;"|"&amp;3,'Cronograma (calculado)'!$N$3:$N$602,0)),"")</f>
        <v/>
      </c>
      <c r="U16" s="37" t="str">
        <f aca="false">IFERROR(INDEX('Cronograma (calculado)'!$C$3:$C$602,MATCH(U$4&amp;"|"&amp;3,'Cronograma (calculado)'!$N$3:$N$602,0)),"")</f>
        <v/>
      </c>
      <c r="V16" s="36" t="str">
        <f aca="false">IFERROR(INDEX('Cronograma (calculado)'!$C$3:$C$602,MATCH(V$4&amp;"|"&amp;3,'Cronograma (calculado)'!$N$3:$N$602,0)),"")</f>
        <v/>
      </c>
      <c r="W16" s="37" t="str">
        <f aca="false">IFERROR(INDEX('Cronograma (calculado)'!$C$3:$C$602,MATCH(W$4&amp;"|"&amp;3,'Cronograma (calculado)'!$N$3:$N$602,0)),"")</f>
        <v/>
      </c>
      <c r="X16" s="36" t="str">
        <f aca="false">IFERROR(INDEX('Cronograma (calculado)'!$C$3:$C$602,MATCH(X$4&amp;"|"&amp;3,'Cronograma (calculado)'!$N$3:$N$602,0)),"")</f>
        <v/>
      </c>
      <c r="Y16" s="37" t="str">
        <f aca="false">IFERROR(INDEX('Cronograma (calculado)'!$C$3:$C$602,MATCH(Y$4&amp;"|"&amp;3,'Cronograma (calculado)'!$N$3:$N$602,0)),"")</f>
        <v/>
      </c>
      <c r="Z16" s="36" t="str">
        <f aca="false">IFERROR(INDEX('Cronograma (calculado)'!$C$3:$C$602,MATCH(Z$4&amp;"|"&amp;3,'Cronograma (calculado)'!$N$3:$N$602,0)),"")</f>
        <v/>
      </c>
      <c r="AA16" s="37" t="str">
        <f aca="false">IFERROR(INDEX('Cronograma (calculado)'!$C$3:$C$602,MATCH(AA$4&amp;"|"&amp;3,'Cronograma (calculado)'!$N$3:$N$602,0)),"")</f>
        <v/>
      </c>
      <c r="AB16" s="36" t="str">
        <f aca="false">IFERROR(INDEX('Cronograma (calculado)'!$C$3:$C$602,MATCH(AB$4&amp;"|"&amp;3,'Cronograma (calculado)'!$N$3:$N$602,0)),"")</f>
        <v/>
      </c>
      <c r="AC16" s="37" t="str">
        <f aca="false">IFERROR(INDEX('Cronograma (calculado)'!$C$3:$C$602,MATCH(AC$4&amp;"|"&amp;3,'Cronograma (calculado)'!$N$3:$N$602,0)),"")</f>
        <v/>
      </c>
    </row>
    <row r="17" customFormat="false" ht="25.5" hidden="false" customHeight="true" outlineLevel="0" collapsed="false">
      <c r="B17" s="38" t="str">
        <f aca="false">IFERROR(INDEX('Cronograma (calculado)'!$E$3:$E$602,MATCH(B$4&amp;"|"&amp;3,'Cronograma (calculado)'!$N$3:$N$602,0)),"")</f>
        <v/>
      </c>
      <c r="C17" s="39" t="str">
        <f aca="false">IFERROR(INDEX('Cronograma (calculado)'!$E$3:$E$602,MATCH(C$4&amp;"|"&amp;3,'Cronograma (calculado)'!$N$3:$N$602,0)),"")</f>
        <v/>
      </c>
      <c r="D17" s="38" t="str">
        <f aca="false">IFERROR(INDEX('Cronograma (calculado)'!$E$3:$E$602,MATCH(D$4&amp;"|"&amp;3,'Cronograma (calculado)'!$N$3:$N$602,0)),"")</f>
        <v/>
      </c>
      <c r="E17" s="39" t="str">
        <f aca="false">IFERROR(INDEX('Cronograma (calculado)'!$E$3:$E$602,MATCH(E$4&amp;"|"&amp;3,'Cronograma (calculado)'!$N$3:$N$602,0)),"")</f>
        <v/>
      </c>
      <c r="F17" s="38" t="str">
        <f aca="false">IFERROR(INDEX('Cronograma (calculado)'!$E$3:$E$602,MATCH(F$4&amp;"|"&amp;3,'Cronograma (calculado)'!$N$3:$N$602,0)),"")</f>
        <v/>
      </c>
      <c r="G17" s="39" t="str">
        <f aca="false">IFERROR(INDEX('Cronograma (calculado)'!$E$3:$E$602,MATCH(G$4&amp;"|"&amp;3,'Cronograma (calculado)'!$N$3:$N$602,0)),"")</f>
        <v/>
      </c>
      <c r="H17" s="38" t="str">
        <f aca="false">IFERROR(INDEX('Cronograma (calculado)'!$E$3:$E$602,MATCH(H$4&amp;"|"&amp;3,'Cronograma (calculado)'!$N$3:$N$602,0)),"")</f>
        <v/>
      </c>
      <c r="I17" s="39" t="str">
        <f aca="false">IFERROR(INDEX('Cronograma (calculado)'!$E$3:$E$602,MATCH(I$4&amp;"|"&amp;3,'Cronograma (calculado)'!$N$3:$N$602,0)),"")</f>
        <v/>
      </c>
      <c r="J17" s="38" t="str">
        <f aca="false">IFERROR(INDEX('Cronograma (calculado)'!$E$3:$E$602,MATCH(J$4&amp;"|"&amp;3,'Cronograma (calculado)'!$N$3:$N$602,0)),"")</f>
        <v/>
      </c>
      <c r="K17" s="39" t="str">
        <f aca="false">IFERROR(INDEX('Cronograma (calculado)'!$E$3:$E$602,MATCH(K$4&amp;"|"&amp;3,'Cronograma (calculado)'!$N$3:$N$602,0)),"")</f>
        <v/>
      </c>
      <c r="L17" s="38" t="str">
        <f aca="false">IFERROR(INDEX('Cronograma (calculado)'!$E$3:$E$602,MATCH(L$4&amp;"|"&amp;3,'Cronograma (calculado)'!$N$3:$N$602,0)),"")</f>
        <v/>
      </c>
      <c r="M17" s="39" t="str">
        <f aca="false">IFERROR(INDEX('Cronograma (calculado)'!$E$3:$E$602,MATCH(M$4&amp;"|"&amp;3,'Cronograma (calculado)'!$N$3:$N$602,0)),"")</f>
        <v/>
      </c>
      <c r="N17" s="38" t="str">
        <f aca="false">IFERROR(INDEX('Cronograma (calculado)'!$E$3:$E$602,MATCH(N$4&amp;"|"&amp;3,'Cronograma (calculado)'!$N$3:$N$602,0)),"")</f>
        <v/>
      </c>
      <c r="O17" s="39" t="str">
        <f aca="false">IFERROR(INDEX('Cronograma (calculado)'!$E$3:$E$602,MATCH(O$4&amp;"|"&amp;3,'Cronograma (calculado)'!$N$3:$N$602,0)),"")</f>
        <v/>
      </c>
      <c r="P17" s="38" t="str">
        <f aca="false">IFERROR(INDEX('Cronograma (calculado)'!$E$3:$E$602,MATCH(P$4&amp;"|"&amp;3,'Cronograma (calculado)'!$N$3:$N$602,0)),"")</f>
        <v/>
      </c>
      <c r="Q17" s="39" t="str">
        <f aca="false">IFERROR(INDEX('Cronograma (calculado)'!$E$3:$E$602,MATCH(Q$4&amp;"|"&amp;3,'Cronograma (calculado)'!$N$3:$N$602,0)),"")</f>
        <v/>
      </c>
      <c r="R17" s="38" t="str">
        <f aca="false">IFERROR(INDEX('Cronograma (calculado)'!$E$3:$E$602,MATCH(R$4&amp;"|"&amp;3,'Cronograma (calculado)'!$N$3:$N$602,0)),"")</f>
        <v/>
      </c>
      <c r="S17" s="39" t="str">
        <f aca="false">IFERROR(INDEX('Cronograma (calculado)'!$E$3:$E$602,MATCH(S$4&amp;"|"&amp;3,'Cronograma (calculado)'!$N$3:$N$602,0)),"")</f>
        <v/>
      </c>
      <c r="T17" s="38" t="str">
        <f aca="false">IFERROR(INDEX('Cronograma (calculado)'!$E$3:$E$602,MATCH(T$4&amp;"|"&amp;3,'Cronograma (calculado)'!$N$3:$N$602,0)),"")</f>
        <v/>
      </c>
      <c r="U17" s="39" t="str">
        <f aca="false">IFERROR(INDEX('Cronograma (calculado)'!$E$3:$E$602,MATCH(U$4&amp;"|"&amp;3,'Cronograma (calculado)'!$N$3:$N$602,0)),"")</f>
        <v/>
      </c>
      <c r="V17" s="38" t="str">
        <f aca="false">IFERROR(INDEX('Cronograma (calculado)'!$E$3:$E$602,MATCH(V$4&amp;"|"&amp;3,'Cronograma (calculado)'!$N$3:$N$602,0)),"")</f>
        <v/>
      </c>
      <c r="W17" s="39" t="str">
        <f aca="false">IFERROR(INDEX('Cronograma (calculado)'!$E$3:$E$602,MATCH(W$4&amp;"|"&amp;3,'Cronograma (calculado)'!$N$3:$N$602,0)),"")</f>
        <v/>
      </c>
      <c r="X17" s="38" t="str">
        <f aca="false">IFERROR(INDEX('Cronograma (calculado)'!$E$3:$E$602,MATCH(X$4&amp;"|"&amp;3,'Cronograma (calculado)'!$N$3:$N$602,0)),"")</f>
        <v/>
      </c>
      <c r="Y17" s="39" t="str">
        <f aca="false">IFERROR(INDEX('Cronograma (calculado)'!$E$3:$E$602,MATCH(Y$4&amp;"|"&amp;3,'Cronograma (calculado)'!$N$3:$N$602,0)),"")</f>
        <v/>
      </c>
      <c r="Z17" s="38" t="str">
        <f aca="false">IFERROR(INDEX('Cronograma (calculado)'!$E$3:$E$602,MATCH(Z$4&amp;"|"&amp;3,'Cronograma (calculado)'!$N$3:$N$602,0)),"")</f>
        <v/>
      </c>
      <c r="AA17" s="39" t="str">
        <f aca="false">IFERROR(INDEX('Cronograma (calculado)'!$E$3:$E$602,MATCH(AA$4&amp;"|"&amp;3,'Cronograma (calculado)'!$N$3:$N$602,0)),"")</f>
        <v/>
      </c>
      <c r="AB17" s="38" t="str">
        <f aca="false">IFERROR(INDEX('Cronograma (calculado)'!$E$3:$E$602,MATCH(AB$4&amp;"|"&amp;3,'Cronograma (calculado)'!$N$3:$N$602,0)),"")</f>
        <v/>
      </c>
      <c r="AC17" s="39" t="str">
        <f aca="false">IFERROR(INDEX('Cronograma (calculado)'!$E$3:$E$602,MATCH(AC$4&amp;"|"&amp;3,'Cronograma (calculado)'!$N$3:$N$602,0)),"")</f>
        <v/>
      </c>
    </row>
    <row r="18" customFormat="false" ht="15" hidden="false" customHeight="true" outlineLevel="0" collapsed="false">
      <c r="B18" s="38" t="str">
        <f aca="false">IFERROR(INDEX('Cronograma (calculado)'!$J$3:$J$602,MATCH(B$4&amp;"|"&amp;3,'Cronograma (calculado)'!$N$3:$N$602,0)),"")</f>
        <v/>
      </c>
      <c r="C18" s="39" t="str">
        <f aca="false">IFERROR(INDEX('Cronograma (calculado)'!$J$3:$J$602,MATCH(C$4&amp;"|"&amp;3,'Cronograma (calculado)'!$N$3:$N$602,0)),"")</f>
        <v/>
      </c>
      <c r="D18" s="38" t="str">
        <f aca="false">IFERROR(INDEX('Cronograma (calculado)'!$J$3:$J$602,MATCH(D$4&amp;"|"&amp;3,'Cronograma (calculado)'!$N$3:$N$602,0)),"")</f>
        <v/>
      </c>
      <c r="E18" s="39" t="str">
        <f aca="false">IFERROR(INDEX('Cronograma (calculado)'!$J$3:$J$602,MATCH(E$4&amp;"|"&amp;3,'Cronograma (calculado)'!$N$3:$N$602,0)),"")</f>
        <v/>
      </c>
      <c r="F18" s="38" t="str">
        <f aca="false">IFERROR(INDEX('Cronograma (calculado)'!$J$3:$J$602,MATCH(F$4&amp;"|"&amp;3,'Cronograma (calculado)'!$N$3:$N$602,0)),"")</f>
        <v/>
      </c>
      <c r="G18" s="39" t="str">
        <f aca="false">IFERROR(INDEX('Cronograma (calculado)'!$J$3:$J$602,MATCH(G$4&amp;"|"&amp;3,'Cronograma (calculado)'!$N$3:$N$602,0)),"")</f>
        <v/>
      </c>
      <c r="H18" s="38" t="str">
        <f aca="false">IFERROR(INDEX('Cronograma (calculado)'!$J$3:$J$602,MATCH(H$4&amp;"|"&amp;3,'Cronograma (calculado)'!$N$3:$N$602,0)),"")</f>
        <v/>
      </c>
      <c r="I18" s="39" t="str">
        <f aca="false">IFERROR(INDEX('Cronograma (calculado)'!$J$3:$J$602,MATCH(I$4&amp;"|"&amp;3,'Cronograma (calculado)'!$N$3:$N$602,0)),"")</f>
        <v/>
      </c>
      <c r="J18" s="38" t="str">
        <f aca="false">IFERROR(INDEX('Cronograma (calculado)'!$J$3:$J$602,MATCH(J$4&amp;"|"&amp;3,'Cronograma (calculado)'!$N$3:$N$602,0)),"")</f>
        <v/>
      </c>
      <c r="K18" s="39" t="str">
        <f aca="false">IFERROR(INDEX('Cronograma (calculado)'!$J$3:$J$602,MATCH(K$4&amp;"|"&amp;3,'Cronograma (calculado)'!$N$3:$N$602,0)),"")</f>
        <v/>
      </c>
      <c r="L18" s="38" t="str">
        <f aca="false">IFERROR(INDEX('Cronograma (calculado)'!$J$3:$J$602,MATCH(L$4&amp;"|"&amp;3,'Cronograma (calculado)'!$N$3:$N$602,0)),"")</f>
        <v/>
      </c>
      <c r="M18" s="39" t="str">
        <f aca="false">IFERROR(INDEX('Cronograma (calculado)'!$J$3:$J$602,MATCH(M$4&amp;"|"&amp;3,'Cronograma (calculado)'!$N$3:$N$602,0)),"")</f>
        <v/>
      </c>
      <c r="N18" s="38" t="str">
        <f aca="false">IFERROR(INDEX('Cronograma (calculado)'!$J$3:$J$602,MATCH(N$4&amp;"|"&amp;3,'Cronograma (calculado)'!$N$3:$N$602,0)),"")</f>
        <v/>
      </c>
      <c r="O18" s="39" t="str">
        <f aca="false">IFERROR(INDEX('Cronograma (calculado)'!$J$3:$J$602,MATCH(O$4&amp;"|"&amp;3,'Cronograma (calculado)'!$N$3:$N$602,0)),"")</f>
        <v/>
      </c>
      <c r="P18" s="38" t="str">
        <f aca="false">IFERROR(INDEX('Cronograma (calculado)'!$J$3:$J$602,MATCH(P$4&amp;"|"&amp;3,'Cronograma (calculado)'!$N$3:$N$602,0)),"")</f>
        <v/>
      </c>
      <c r="Q18" s="39" t="str">
        <f aca="false">IFERROR(INDEX('Cronograma (calculado)'!$J$3:$J$602,MATCH(Q$4&amp;"|"&amp;3,'Cronograma (calculado)'!$N$3:$N$602,0)),"")</f>
        <v/>
      </c>
      <c r="R18" s="38" t="str">
        <f aca="false">IFERROR(INDEX('Cronograma (calculado)'!$J$3:$J$602,MATCH(R$4&amp;"|"&amp;3,'Cronograma (calculado)'!$N$3:$N$602,0)),"")</f>
        <v/>
      </c>
      <c r="S18" s="39" t="str">
        <f aca="false">IFERROR(INDEX('Cronograma (calculado)'!$J$3:$J$602,MATCH(S$4&amp;"|"&amp;3,'Cronograma (calculado)'!$N$3:$N$602,0)),"")</f>
        <v/>
      </c>
      <c r="T18" s="38" t="str">
        <f aca="false">IFERROR(INDEX('Cronograma (calculado)'!$J$3:$J$602,MATCH(T$4&amp;"|"&amp;3,'Cronograma (calculado)'!$N$3:$N$602,0)),"")</f>
        <v/>
      </c>
      <c r="U18" s="39" t="str">
        <f aca="false">IFERROR(INDEX('Cronograma (calculado)'!$J$3:$J$602,MATCH(U$4&amp;"|"&amp;3,'Cronograma (calculado)'!$N$3:$N$602,0)),"")</f>
        <v/>
      </c>
      <c r="V18" s="38" t="str">
        <f aca="false">IFERROR(INDEX('Cronograma (calculado)'!$J$3:$J$602,MATCH(V$4&amp;"|"&amp;3,'Cronograma (calculado)'!$N$3:$N$602,0)),"")</f>
        <v/>
      </c>
      <c r="W18" s="39" t="str">
        <f aca="false">IFERROR(INDEX('Cronograma (calculado)'!$J$3:$J$602,MATCH(W$4&amp;"|"&amp;3,'Cronograma (calculado)'!$N$3:$N$602,0)),"")</f>
        <v/>
      </c>
      <c r="X18" s="38" t="str">
        <f aca="false">IFERROR(INDEX('Cronograma (calculado)'!$J$3:$J$602,MATCH(X$4&amp;"|"&amp;3,'Cronograma (calculado)'!$N$3:$N$602,0)),"")</f>
        <v/>
      </c>
      <c r="Y18" s="39" t="str">
        <f aca="false">IFERROR(INDEX('Cronograma (calculado)'!$J$3:$J$602,MATCH(Y$4&amp;"|"&amp;3,'Cronograma (calculado)'!$N$3:$N$602,0)),"")</f>
        <v/>
      </c>
      <c r="Z18" s="38" t="str">
        <f aca="false">IFERROR(INDEX('Cronograma (calculado)'!$J$3:$J$602,MATCH(Z$4&amp;"|"&amp;3,'Cronograma (calculado)'!$N$3:$N$602,0)),"")</f>
        <v/>
      </c>
      <c r="AA18" s="39" t="str">
        <f aca="false">IFERROR(INDEX('Cronograma (calculado)'!$J$3:$J$602,MATCH(AA$4&amp;"|"&amp;3,'Cronograma (calculado)'!$N$3:$N$602,0)),"")</f>
        <v/>
      </c>
      <c r="AB18" s="38" t="str">
        <f aca="false">IFERROR(INDEX('Cronograma (calculado)'!$J$3:$J$602,MATCH(AB$4&amp;"|"&amp;3,'Cronograma (calculado)'!$N$3:$N$602,0)),"")</f>
        <v/>
      </c>
      <c r="AC18" s="39" t="str">
        <f aca="false">IFERROR(INDEX('Cronograma (calculado)'!$J$3:$J$602,MATCH(AC$4&amp;"|"&amp;3,'Cronograma (calculado)'!$N$3:$N$602,0)),"")</f>
        <v/>
      </c>
    </row>
    <row r="19" customFormat="false" ht="4.5" hidden="false" customHeight="true" outlineLevel="0" collapsed="false"/>
    <row r="20" customFormat="false" ht="15" hidden="false" customHeight="true" outlineLevel="0" collapsed="false">
      <c r="B20" s="37" t="str">
        <f aca="false">IFERROR(INDEX('Cronograma (calculado)'!$C$3:$C$602,MATCH(B$4&amp;"|"&amp;4,'Cronograma (calculado)'!$N$3:$N$602,0)),"")</f>
        <v/>
      </c>
      <c r="C20" s="36" t="str">
        <f aca="false">IFERROR(INDEX('Cronograma (calculado)'!$C$3:$C$602,MATCH(C$4&amp;"|"&amp;4,'Cronograma (calculado)'!$N$3:$N$602,0)),"")</f>
        <v/>
      </c>
      <c r="D20" s="37" t="str">
        <f aca="false">IFERROR(INDEX('Cronograma (calculado)'!$C$3:$C$602,MATCH(D$4&amp;"|"&amp;4,'Cronograma (calculado)'!$N$3:$N$602,0)),"")</f>
        <v/>
      </c>
      <c r="E20" s="36" t="str">
        <f aca="false">IFERROR(INDEX('Cronograma (calculado)'!$C$3:$C$602,MATCH(E$4&amp;"|"&amp;4,'Cronograma (calculado)'!$N$3:$N$602,0)),"")</f>
        <v/>
      </c>
      <c r="F20" s="37" t="str">
        <f aca="false">IFERROR(INDEX('Cronograma (calculado)'!$C$3:$C$602,MATCH(F$4&amp;"|"&amp;4,'Cronograma (calculado)'!$N$3:$N$602,0)),"")</f>
        <v/>
      </c>
      <c r="G20" s="36" t="str">
        <f aca="false">IFERROR(INDEX('Cronograma (calculado)'!$C$3:$C$602,MATCH(G$4&amp;"|"&amp;4,'Cronograma (calculado)'!$N$3:$N$602,0)),"")</f>
        <v/>
      </c>
      <c r="H20" s="37" t="str">
        <f aca="false">IFERROR(INDEX('Cronograma (calculado)'!$C$3:$C$602,MATCH(H$4&amp;"|"&amp;4,'Cronograma (calculado)'!$N$3:$N$602,0)),"")</f>
        <v/>
      </c>
      <c r="I20" s="36" t="str">
        <f aca="false">IFERROR(INDEX('Cronograma (calculado)'!$C$3:$C$602,MATCH(I$4&amp;"|"&amp;4,'Cronograma (calculado)'!$N$3:$N$602,0)),"")</f>
        <v/>
      </c>
      <c r="J20" s="37" t="str">
        <f aca="false">IFERROR(INDEX('Cronograma (calculado)'!$C$3:$C$602,MATCH(J$4&amp;"|"&amp;4,'Cronograma (calculado)'!$N$3:$N$602,0)),"")</f>
        <v/>
      </c>
      <c r="K20" s="36" t="str">
        <f aca="false">IFERROR(INDEX('Cronograma (calculado)'!$C$3:$C$602,MATCH(K$4&amp;"|"&amp;4,'Cronograma (calculado)'!$N$3:$N$602,0)),"")</f>
        <v/>
      </c>
      <c r="L20" s="37" t="str">
        <f aca="false">IFERROR(INDEX('Cronograma (calculado)'!$C$3:$C$602,MATCH(L$4&amp;"|"&amp;4,'Cronograma (calculado)'!$N$3:$N$602,0)),"")</f>
        <v/>
      </c>
      <c r="M20" s="36" t="str">
        <f aca="false">IFERROR(INDEX('Cronograma (calculado)'!$C$3:$C$602,MATCH(M$4&amp;"|"&amp;4,'Cronograma (calculado)'!$N$3:$N$602,0)),"")</f>
        <v/>
      </c>
      <c r="N20" s="37" t="str">
        <f aca="false">IFERROR(INDEX('Cronograma (calculado)'!$C$3:$C$602,MATCH(N$4&amp;"|"&amp;4,'Cronograma (calculado)'!$N$3:$N$602,0)),"")</f>
        <v/>
      </c>
      <c r="O20" s="36" t="str">
        <f aca="false">IFERROR(INDEX('Cronograma (calculado)'!$C$3:$C$602,MATCH(O$4&amp;"|"&amp;4,'Cronograma (calculado)'!$N$3:$N$602,0)),"")</f>
        <v/>
      </c>
      <c r="P20" s="37" t="str">
        <f aca="false">IFERROR(INDEX('Cronograma (calculado)'!$C$3:$C$602,MATCH(P$4&amp;"|"&amp;4,'Cronograma (calculado)'!$N$3:$N$602,0)),"")</f>
        <v/>
      </c>
      <c r="Q20" s="36" t="str">
        <f aca="false">IFERROR(INDEX('Cronograma (calculado)'!$C$3:$C$602,MATCH(Q$4&amp;"|"&amp;4,'Cronograma (calculado)'!$N$3:$N$602,0)),"")</f>
        <v/>
      </c>
      <c r="R20" s="37" t="str">
        <f aca="false">IFERROR(INDEX('Cronograma (calculado)'!$C$3:$C$602,MATCH(R$4&amp;"|"&amp;4,'Cronograma (calculado)'!$N$3:$N$602,0)),"")</f>
        <v/>
      </c>
      <c r="S20" s="36" t="str">
        <f aca="false">IFERROR(INDEX('Cronograma (calculado)'!$C$3:$C$602,MATCH(S$4&amp;"|"&amp;4,'Cronograma (calculado)'!$N$3:$N$602,0)),"")</f>
        <v/>
      </c>
      <c r="T20" s="37" t="str">
        <f aca="false">IFERROR(INDEX('Cronograma (calculado)'!$C$3:$C$602,MATCH(T$4&amp;"|"&amp;4,'Cronograma (calculado)'!$N$3:$N$602,0)),"")</f>
        <v/>
      </c>
      <c r="U20" s="36" t="str">
        <f aca="false">IFERROR(INDEX('Cronograma (calculado)'!$C$3:$C$602,MATCH(U$4&amp;"|"&amp;4,'Cronograma (calculado)'!$N$3:$N$602,0)),"")</f>
        <v/>
      </c>
      <c r="V20" s="37" t="str">
        <f aca="false">IFERROR(INDEX('Cronograma (calculado)'!$C$3:$C$602,MATCH(V$4&amp;"|"&amp;4,'Cronograma (calculado)'!$N$3:$N$602,0)),"")</f>
        <v/>
      </c>
      <c r="W20" s="36" t="str">
        <f aca="false">IFERROR(INDEX('Cronograma (calculado)'!$C$3:$C$602,MATCH(W$4&amp;"|"&amp;4,'Cronograma (calculado)'!$N$3:$N$602,0)),"")</f>
        <v/>
      </c>
      <c r="X20" s="37" t="str">
        <f aca="false">IFERROR(INDEX('Cronograma (calculado)'!$C$3:$C$602,MATCH(X$4&amp;"|"&amp;4,'Cronograma (calculado)'!$N$3:$N$602,0)),"")</f>
        <v/>
      </c>
      <c r="Y20" s="36" t="str">
        <f aca="false">IFERROR(INDEX('Cronograma (calculado)'!$C$3:$C$602,MATCH(Y$4&amp;"|"&amp;4,'Cronograma (calculado)'!$N$3:$N$602,0)),"")</f>
        <v/>
      </c>
      <c r="Z20" s="37" t="str">
        <f aca="false">IFERROR(INDEX('Cronograma (calculado)'!$C$3:$C$602,MATCH(Z$4&amp;"|"&amp;4,'Cronograma (calculado)'!$N$3:$N$602,0)),"")</f>
        <v/>
      </c>
      <c r="AA20" s="36" t="str">
        <f aca="false">IFERROR(INDEX('Cronograma (calculado)'!$C$3:$C$602,MATCH(AA$4&amp;"|"&amp;4,'Cronograma (calculado)'!$N$3:$N$602,0)),"")</f>
        <v/>
      </c>
      <c r="AB20" s="37" t="str">
        <f aca="false">IFERROR(INDEX('Cronograma (calculado)'!$C$3:$C$602,MATCH(AB$4&amp;"|"&amp;4,'Cronograma (calculado)'!$N$3:$N$602,0)),"")</f>
        <v/>
      </c>
      <c r="AC20" s="36" t="str">
        <f aca="false">IFERROR(INDEX('Cronograma (calculado)'!$C$3:$C$602,MATCH(AC$4&amp;"|"&amp;4,'Cronograma (calculado)'!$N$3:$N$602,0)),"")</f>
        <v/>
      </c>
    </row>
    <row r="21" customFormat="false" ht="25.5" hidden="false" customHeight="true" outlineLevel="0" collapsed="false">
      <c r="B21" s="39" t="str">
        <f aca="false">IFERROR(INDEX('Cronograma (calculado)'!$E$3:$E$602,MATCH(B$4&amp;"|"&amp;4,'Cronograma (calculado)'!$N$3:$N$602,0)),"")</f>
        <v/>
      </c>
      <c r="C21" s="38" t="str">
        <f aca="false">IFERROR(INDEX('Cronograma (calculado)'!$E$3:$E$602,MATCH(C$4&amp;"|"&amp;4,'Cronograma (calculado)'!$N$3:$N$602,0)),"")</f>
        <v/>
      </c>
      <c r="D21" s="39" t="str">
        <f aca="false">IFERROR(INDEX('Cronograma (calculado)'!$E$3:$E$602,MATCH(D$4&amp;"|"&amp;4,'Cronograma (calculado)'!$N$3:$N$602,0)),"")</f>
        <v/>
      </c>
      <c r="E21" s="38" t="str">
        <f aca="false">IFERROR(INDEX('Cronograma (calculado)'!$E$3:$E$602,MATCH(E$4&amp;"|"&amp;4,'Cronograma (calculado)'!$N$3:$N$602,0)),"")</f>
        <v/>
      </c>
      <c r="F21" s="39" t="str">
        <f aca="false">IFERROR(INDEX('Cronograma (calculado)'!$E$3:$E$602,MATCH(F$4&amp;"|"&amp;4,'Cronograma (calculado)'!$N$3:$N$602,0)),"")</f>
        <v/>
      </c>
      <c r="G21" s="38" t="str">
        <f aca="false">IFERROR(INDEX('Cronograma (calculado)'!$E$3:$E$602,MATCH(G$4&amp;"|"&amp;4,'Cronograma (calculado)'!$N$3:$N$602,0)),"")</f>
        <v/>
      </c>
      <c r="H21" s="39" t="str">
        <f aca="false">IFERROR(INDEX('Cronograma (calculado)'!$E$3:$E$602,MATCH(H$4&amp;"|"&amp;4,'Cronograma (calculado)'!$N$3:$N$602,0)),"")</f>
        <v/>
      </c>
      <c r="I21" s="38" t="str">
        <f aca="false">IFERROR(INDEX('Cronograma (calculado)'!$E$3:$E$602,MATCH(I$4&amp;"|"&amp;4,'Cronograma (calculado)'!$N$3:$N$602,0)),"")</f>
        <v/>
      </c>
      <c r="J21" s="39" t="str">
        <f aca="false">IFERROR(INDEX('Cronograma (calculado)'!$E$3:$E$602,MATCH(J$4&amp;"|"&amp;4,'Cronograma (calculado)'!$N$3:$N$602,0)),"")</f>
        <v/>
      </c>
      <c r="K21" s="38" t="str">
        <f aca="false">IFERROR(INDEX('Cronograma (calculado)'!$E$3:$E$602,MATCH(K$4&amp;"|"&amp;4,'Cronograma (calculado)'!$N$3:$N$602,0)),"")</f>
        <v/>
      </c>
      <c r="L21" s="39" t="str">
        <f aca="false">IFERROR(INDEX('Cronograma (calculado)'!$E$3:$E$602,MATCH(L$4&amp;"|"&amp;4,'Cronograma (calculado)'!$N$3:$N$602,0)),"")</f>
        <v/>
      </c>
      <c r="M21" s="38" t="str">
        <f aca="false">IFERROR(INDEX('Cronograma (calculado)'!$E$3:$E$602,MATCH(M$4&amp;"|"&amp;4,'Cronograma (calculado)'!$N$3:$N$602,0)),"")</f>
        <v/>
      </c>
      <c r="N21" s="39" t="str">
        <f aca="false">IFERROR(INDEX('Cronograma (calculado)'!$E$3:$E$602,MATCH(N$4&amp;"|"&amp;4,'Cronograma (calculado)'!$N$3:$N$602,0)),"")</f>
        <v/>
      </c>
      <c r="O21" s="38" t="str">
        <f aca="false">IFERROR(INDEX('Cronograma (calculado)'!$E$3:$E$602,MATCH(O$4&amp;"|"&amp;4,'Cronograma (calculado)'!$N$3:$N$602,0)),"")</f>
        <v/>
      </c>
      <c r="P21" s="39" t="str">
        <f aca="false">IFERROR(INDEX('Cronograma (calculado)'!$E$3:$E$602,MATCH(P$4&amp;"|"&amp;4,'Cronograma (calculado)'!$N$3:$N$602,0)),"")</f>
        <v/>
      </c>
      <c r="Q21" s="38" t="str">
        <f aca="false">IFERROR(INDEX('Cronograma (calculado)'!$E$3:$E$602,MATCH(Q$4&amp;"|"&amp;4,'Cronograma (calculado)'!$N$3:$N$602,0)),"")</f>
        <v/>
      </c>
      <c r="R21" s="39" t="str">
        <f aca="false">IFERROR(INDEX('Cronograma (calculado)'!$E$3:$E$602,MATCH(R$4&amp;"|"&amp;4,'Cronograma (calculado)'!$N$3:$N$602,0)),"")</f>
        <v/>
      </c>
      <c r="S21" s="38" t="str">
        <f aca="false">IFERROR(INDEX('Cronograma (calculado)'!$E$3:$E$602,MATCH(S$4&amp;"|"&amp;4,'Cronograma (calculado)'!$N$3:$N$602,0)),"")</f>
        <v/>
      </c>
      <c r="T21" s="39" t="str">
        <f aca="false">IFERROR(INDEX('Cronograma (calculado)'!$E$3:$E$602,MATCH(T$4&amp;"|"&amp;4,'Cronograma (calculado)'!$N$3:$N$602,0)),"")</f>
        <v/>
      </c>
      <c r="U21" s="38" t="str">
        <f aca="false">IFERROR(INDEX('Cronograma (calculado)'!$E$3:$E$602,MATCH(U$4&amp;"|"&amp;4,'Cronograma (calculado)'!$N$3:$N$602,0)),"")</f>
        <v/>
      </c>
      <c r="V21" s="39" t="str">
        <f aca="false">IFERROR(INDEX('Cronograma (calculado)'!$E$3:$E$602,MATCH(V$4&amp;"|"&amp;4,'Cronograma (calculado)'!$N$3:$N$602,0)),"")</f>
        <v/>
      </c>
      <c r="W21" s="38" t="str">
        <f aca="false">IFERROR(INDEX('Cronograma (calculado)'!$E$3:$E$602,MATCH(W$4&amp;"|"&amp;4,'Cronograma (calculado)'!$N$3:$N$602,0)),"")</f>
        <v/>
      </c>
      <c r="X21" s="39" t="str">
        <f aca="false">IFERROR(INDEX('Cronograma (calculado)'!$E$3:$E$602,MATCH(X$4&amp;"|"&amp;4,'Cronograma (calculado)'!$N$3:$N$602,0)),"")</f>
        <v/>
      </c>
      <c r="Y21" s="38" t="str">
        <f aca="false">IFERROR(INDEX('Cronograma (calculado)'!$E$3:$E$602,MATCH(Y$4&amp;"|"&amp;4,'Cronograma (calculado)'!$N$3:$N$602,0)),"")</f>
        <v/>
      </c>
      <c r="Z21" s="39" t="str">
        <f aca="false">IFERROR(INDEX('Cronograma (calculado)'!$E$3:$E$602,MATCH(Z$4&amp;"|"&amp;4,'Cronograma (calculado)'!$N$3:$N$602,0)),"")</f>
        <v/>
      </c>
      <c r="AA21" s="38" t="str">
        <f aca="false">IFERROR(INDEX('Cronograma (calculado)'!$E$3:$E$602,MATCH(AA$4&amp;"|"&amp;4,'Cronograma (calculado)'!$N$3:$N$602,0)),"")</f>
        <v/>
      </c>
      <c r="AB21" s="39" t="str">
        <f aca="false">IFERROR(INDEX('Cronograma (calculado)'!$E$3:$E$602,MATCH(AB$4&amp;"|"&amp;4,'Cronograma (calculado)'!$N$3:$N$602,0)),"")</f>
        <v/>
      </c>
      <c r="AC21" s="38" t="str">
        <f aca="false">IFERROR(INDEX('Cronograma (calculado)'!$E$3:$E$602,MATCH(AC$4&amp;"|"&amp;4,'Cronograma (calculado)'!$N$3:$N$602,0)),"")</f>
        <v/>
      </c>
    </row>
    <row r="22" customFormat="false" ht="15" hidden="false" customHeight="true" outlineLevel="0" collapsed="false">
      <c r="B22" s="39" t="str">
        <f aca="false">IFERROR(INDEX('Cronograma (calculado)'!$J$3:$J$602,MATCH(B$4&amp;"|"&amp;4,'Cronograma (calculado)'!$N$3:$N$602,0)),"")</f>
        <v/>
      </c>
      <c r="C22" s="38" t="str">
        <f aca="false">IFERROR(INDEX('Cronograma (calculado)'!$J$3:$J$602,MATCH(C$4&amp;"|"&amp;4,'Cronograma (calculado)'!$N$3:$N$602,0)),"")</f>
        <v/>
      </c>
      <c r="D22" s="39" t="str">
        <f aca="false">IFERROR(INDEX('Cronograma (calculado)'!$J$3:$J$602,MATCH(D$4&amp;"|"&amp;4,'Cronograma (calculado)'!$N$3:$N$602,0)),"")</f>
        <v/>
      </c>
      <c r="E22" s="38" t="str">
        <f aca="false">IFERROR(INDEX('Cronograma (calculado)'!$J$3:$J$602,MATCH(E$4&amp;"|"&amp;4,'Cronograma (calculado)'!$N$3:$N$602,0)),"")</f>
        <v/>
      </c>
      <c r="F22" s="39" t="str">
        <f aca="false">IFERROR(INDEX('Cronograma (calculado)'!$J$3:$J$602,MATCH(F$4&amp;"|"&amp;4,'Cronograma (calculado)'!$N$3:$N$602,0)),"")</f>
        <v/>
      </c>
      <c r="G22" s="38" t="str">
        <f aca="false">IFERROR(INDEX('Cronograma (calculado)'!$J$3:$J$602,MATCH(G$4&amp;"|"&amp;4,'Cronograma (calculado)'!$N$3:$N$602,0)),"")</f>
        <v/>
      </c>
      <c r="H22" s="39" t="str">
        <f aca="false">IFERROR(INDEX('Cronograma (calculado)'!$J$3:$J$602,MATCH(H$4&amp;"|"&amp;4,'Cronograma (calculado)'!$N$3:$N$602,0)),"")</f>
        <v/>
      </c>
      <c r="I22" s="38" t="str">
        <f aca="false">IFERROR(INDEX('Cronograma (calculado)'!$J$3:$J$602,MATCH(I$4&amp;"|"&amp;4,'Cronograma (calculado)'!$N$3:$N$602,0)),"")</f>
        <v/>
      </c>
      <c r="J22" s="39" t="str">
        <f aca="false">IFERROR(INDEX('Cronograma (calculado)'!$J$3:$J$602,MATCH(J$4&amp;"|"&amp;4,'Cronograma (calculado)'!$N$3:$N$602,0)),"")</f>
        <v/>
      </c>
      <c r="K22" s="38" t="str">
        <f aca="false">IFERROR(INDEX('Cronograma (calculado)'!$J$3:$J$602,MATCH(K$4&amp;"|"&amp;4,'Cronograma (calculado)'!$N$3:$N$602,0)),"")</f>
        <v/>
      </c>
      <c r="L22" s="39" t="str">
        <f aca="false">IFERROR(INDEX('Cronograma (calculado)'!$J$3:$J$602,MATCH(L$4&amp;"|"&amp;4,'Cronograma (calculado)'!$N$3:$N$602,0)),"")</f>
        <v/>
      </c>
      <c r="M22" s="38" t="str">
        <f aca="false">IFERROR(INDEX('Cronograma (calculado)'!$J$3:$J$602,MATCH(M$4&amp;"|"&amp;4,'Cronograma (calculado)'!$N$3:$N$602,0)),"")</f>
        <v/>
      </c>
      <c r="N22" s="39" t="str">
        <f aca="false">IFERROR(INDEX('Cronograma (calculado)'!$J$3:$J$602,MATCH(N$4&amp;"|"&amp;4,'Cronograma (calculado)'!$N$3:$N$602,0)),"")</f>
        <v/>
      </c>
      <c r="O22" s="38" t="str">
        <f aca="false">IFERROR(INDEX('Cronograma (calculado)'!$J$3:$J$602,MATCH(O$4&amp;"|"&amp;4,'Cronograma (calculado)'!$N$3:$N$602,0)),"")</f>
        <v/>
      </c>
      <c r="P22" s="39" t="str">
        <f aca="false">IFERROR(INDEX('Cronograma (calculado)'!$J$3:$J$602,MATCH(P$4&amp;"|"&amp;4,'Cronograma (calculado)'!$N$3:$N$602,0)),"")</f>
        <v/>
      </c>
      <c r="Q22" s="38" t="str">
        <f aca="false">IFERROR(INDEX('Cronograma (calculado)'!$J$3:$J$602,MATCH(Q$4&amp;"|"&amp;4,'Cronograma (calculado)'!$N$3:$N$602,0)),"")</f>
        <v/>
      </c>
      <c r="R22" s="39" t="str">
        <f aca="false">IFERROR(INDEX('Cronograma (calculado)'!$J$3:$J$602,MATCH(R$4&amp;"|"&amp;4,'Cronograma (calculado)'!$N$3:$N$602,0)),"")</f>
        <v/>
      </c>
      <c r="S22" s="38" t="str">
        <f aca="false">IFERROR(INDEX('Cronograma (calculado)'!$J$3:$J$602,MATCH(S$4&amp;"|"&amp;4,'Cronograma (calculado)'!$N$3:$N$602,0)),"")</f>
        <v/>
      </c>
      <c r="T22" s="39" t="str">
        <f aca="false">IFERROR(INDEX('Cronograma (calculado)'!$J$3:$J$602,MATCH(T$4&amp;"|"&amp;4,'Cronograma (calculado)'!$N$3:$N$602,0)),"")</f>
        <v/>
      </c>
      <c r="U22" s="38" t="str">
        <f aca="false">IFERROR(INDEX('Cronograma (calculado)'!$J$3:$J$602,MATCH(U$4&amp;"|"&amp;4,'Cronograma (calculado)'!$N$3:$N$602,0)),"")</f>
        <v/>
      </c>
      <c r="V22" s="39" t="str">
        <f aca="false">IFERROR(INDEX('Cronograma (calculado)'!$J$3:$J$602,MATCH(V$4&amp;"|"&amp;4,'Cronograma (calculado)'!$N$3:$N$602,0)),"")</f>
        <v/>
      </c>
      <c r="W22" s="38" t="str">
        <f aca="false">IFERROR(INDEX('Cronograma (calculado)'!$J$3:$J$602,MATCH(W$4&amp;"|"&amp;4,'Cronograma (calculado)'!$N$3:$N$602,0)),"")</f>
        <v/>
      </c>
      <c r="X22" s="39" t="str">
        <f aca="false">IFERROR(INDEX('Cronograma (calculado)'!$J$3:$J$602,MATCH(X$4&amp;"|"&amp;4,'Cronograma (calculado)'!$N$3:$N$602,0)),"")</f>
        <v/>
      </c>
      <c r="Y22" s="38" t="str">
        <f aca="false">IFERROR(INDEX('Cronograma (calculado)'!$J$3:$J$602,MATCH(Y$4&amp;"|"&amp;4,'Cronograma (calculado)'!$N$3:$N$602,0)),"")</f>
        <v/>
      </c>
      <c r="Z22" s="39" t="str">
        <f aca="false">IFERROR(INDEX('Cronograma (calculado)'!$J$3:$J$602,MATCH(Z$4&amp;"|"&amp;4,'Cronograma (calculado)'!$N$3:$N$602,0)),"")</f>
        <v/>
      </c>
      <c r="AA22" s="38" t="str">
        <f aca="false">IFERROR(INDEX('Cronograma (calculado)'!$J$3:$J$602,MATCH(AA$4&amp;"|"&amp;4,'Cronograma (calculado)'!$N$3:$N$602,0)),"")</f>
        <v/>
      </c>
      <c r="AB22" s="39" t="str">
        <f aca="false">IFERROR(INDEX('Cronograma (calculado)'!$J$3:$J$602,MATCH(AB$4&amp;"|"&amp;4,'Cronograma (calculado)'!$N$3:$N$602,0)),"")</f>
        <v/>
      </c>
      <c r="AC22" s="38" t="str">
        <f aca="false">IFERROR(INDEX('Cronograma (calculado)'!$J$3:$J$602,MATCH(AC$4&amp;"|"&amp;4,'Cronograma (calculado)'!$N$3:$N$602,0)),"")</f>
        <v/>
      </c>
    </row>
    <row r="23" customFormat="false" ht="4.5" hidden="false" customHeight="true" outlineLevel="0" collapsed="false"/>
    <row r="24" customFormat="false" ht="15" hidden="false" customHeight="true" outlineLevel="0" collapsed="false">
      <c r="B24" s="36" t="str">
        <f aca="false">IFERROR(INDEX('Cronograma (calculado)'!$C$3:$C$602,MATCH(B$4&amp;"|"&amp;5,'Cronograma (calculado)'!$N$3:$N$602,0)),"")</f>
        <v/>
      </c>
      <c r="C24" s="37" t="str">
        <f aca="false">IFERROR(INDEX('Cronograma (calculado)'!$C$3:$C$602,MATCH(C$4&amp;"|"&amp;5,'Cronograma (calculado)'!$N$3:$N$602,0)),"")</f>
        <v/>
      </c>
      <c r="D24" s="36" t="str">
        <f aca="false">IFERROR(INDEX('Cronograma (calculado)'!$C$3:$C$602,MATCH(D$4&amp;"|"&amp;5,'Cronograma (calculado)'!$N$3:$N$602,0)),"")</f>
        <v/>
      </c>
      <c r="E24" s="37" t="str">
        <f aca="false">IFERROR(INDEX('Cronograma (calculado)'!$C$3:$C$602,MATCH(E$4&amp;"|"&amp;5,'Cronograma (calculado)'!$N$3:$N$602,0)),"")</f>
        <v/>
      </c>
      <c r="F24" s="36" t="str">
        <f aca="false">IFERROR(INDEX('Cronograma (calculado)'!$C$3:$C$602,MATCH(F$4&amp;"|"&amp;5,'Cronograma (calculado)'!$N$3:$N$602,0)),"")</f>
        <v/>
      </c>
      <c r="G24" s="37" t="str">
        <f aca="false">IFERROR(INDEX('Cronograma (calculado)'!$C$3:$C$602,MATCH(G$4&amp;"|"&amp;5,'Cronograma (calculado)'!$N$3:$N$602,0)),"")</f>
        <v/>
      </c>
      <c r="H24" s="36" t="str">
        <f aca="false">IFERROR(INDEX('Cronograma (calculado)'!$C$3:$C$602,MATCH(H$4&amp;"|"&amp;5,'Cronograma (calculado)'!$N$3:$N$602,0)),"")</f>
        <v/>
      </c>
      <c r="I24" s="37" t="str">
        <f aca="false">IFERROR(INDEX('Cronograma (calculado)'!$C$3:$C$602,MATCH(I$4&amp;"|"&amp;5,'Cronograma (calculado)'!$N$3:$N$602,0)),"")</f>
        <v/>
      </c>
      <c r="J24" s="36" t="str">
        <f aca="false">IFERROR(INDEX('Cronograma (calculado)'!$C$3:$C$602,MATCH(J$4&amp;"|"&amp;5,'Cronograma (calculado)'!$N$3:$N$602,0)),"")</f>
        <v/>
      </c>
      <c r="K24" s="37" t="str">
        <f aca="false">IFERROR(INDEX('Cronograma (calculado)'!$C$3:$C$602,MATCH(K$4&amp;"|"&amp;5,'Cronograma (calculado)'!$N$3:$N$602,0)),"")</f>
        <v/>
      </c>
      <c r="L24" s="36" t="str">
        <f aca="false">IFERROR(INDEX('Cronograma (calculado)'!$C$3:$C$602,MATCH(L$4&amp;"|"&amp;5,'Cronograma (calculado)'!$N$3:$N$602,0)),"")</f>
        <v/>
      </c>
      <c r="M24" s="37" t="str">
        <f aca="false">IFERROR(INDEX('Cronograma (calculado)'!$C$3:$C$602,MATCH(M$4&amp;"|"&amp;5,'Cronograma (calculado)'!$N$3:$N$602,0)),"")</f>
        <v/>
      </c>
      <c r="N24" s="36" t="str">
        <f aca="false">IFERROR(INDEX('Cronograma (calculado)'!$C$3:$C$602,MATCH(N$4&amp;"|"&amp;5,'Cronograma (calculado)'!$N$3:$N$602,0)),"")</f>
        <v/>
      </c>
      <c r="O24" s="37" t="str">
        <f aca="false">IFERROR(INDEX('Cronograma (calculado)'!$C$3:$C$602,MATCH(O$4&amp;"|"&amp;5,'Cronograma (calculado)'!$N$3:$N$602,0)),"")</f>
        <v/>
      </c>
      <c r="P24" s="36" t="str">
        <f aca="false">IFERROR(INDEX('Cronograma (calculado)'!$C$3:$C$602,MATCH(P$4&amp;"|"&amp;5,'Cronograma (calculado)'!$N$3:$N$602,0)),"")</f>
        <v/>
      </c>
      <c r="Q24" s="37" t="str">
        <f aca="false">IFERROR(INDEX('Cronograma (calculado)'!$C$3:$C$602,MATCH(Q$4&amp;"|"&amp;5,'Cronograma (calculado)'!$N$3:$N$602,0)),"")</f>
        <v/>
      </c>
      <c r="R24" s="36" t="str">
        <f aca="false">IFERROR(INDEX('Cronograma (calculado)'!$C$3:$C$602,MATCH(R$4&amp;"|"&amp;5,'Cronograma (calculado)'!$N$3:$N$602,0)),"")</f>
        <v/>
      </c>
      <c r="S24" s="37" t="str">
        <f aca="false">IFERROR(INDEX('Cronograma (calculado)'!$C$3:$C$602,MATCH(S$4&amp;"|"&amp;5,'Cronograma (calculado)'!$N$3:$N$602,0)),"")</f>
        <v/>
      </c>
      <c r="T24" s="36" t="str">
        <f aca="false">IFERROR(INDEX('Cronograma (calculado)'!$C$3:$C$602,MATCH(T$4&amp;"|"&amp;5,'Cronograma (calculado)'!$N$3:$N$602,0)),"")</f>
        <v/>
      </c>
      <c r="U24" s="37" t="str">
        <f aca="false">IFERROR(INDEX('Cronograma (calculado)'!$C$3:$C$602,MATCH(U$4&amp;"|"&amp;5,'Cronograma (calculado)'!$N$3:$N$602,0)),"")</f>
        <v/>
      </c>
      <c r="V24" s="36" t="str">
        <f aca="false">IFERROR(INDEX('Cronograma (calculado)'!$C$3:$C$602,MATCH(V$4&amp;"|"&amp;5,'Cronograma (calculado)'!$N$3:$N$602,0)),"")</f>
        <v/>
      </c>
      <c r="W24" s="37" t="str">
        <f aca="false">IFERROR(INDEX('Cronograma (calculado)'!$C$3:$C$602,MATCH(W$4&amp;"|"&amp;5,'Cronograma (calculado)'!$N$3:$N$602,0)),"")</f>
        <v/>
      </c>
      <c r="X24" s="36" t="str">
        <f aca="false">IFERROR(INDEX('Cronograma (calculado)'!$C$3:$C$602,MATCH(X$4&amp;"|"&amp;5,'Cronograma (calculado)'!$N$3:$N$602,0)),"")</f>
        <v/>
      </c>
      <c r="Y24" s="37" t="str">
        <f aca="false">IFERROR(INDEX('Cronograma (calculado)'!$C$3:$C$602,MATCH(Y$4&amp;"|"&amp;5,'Cronograma (calculado)'!$N$3:$N$602,0)),"")</f>
        <v/>
      </c>
      <c r="Z24" s="36" t="str">
        <f aca="false">IFERROR(INDEX('Cronograma (calculado)'!$C$3:$C$602,MATCH(Z$4&amp;"|"&amp;5,'Cronograma (calculado)'!$N$3:$N$602,0)),"")</f>
        <v/>
      </c>
      <c r="AA24" s="37" t="str">
        <f aca="false">IFERROR(INDEX('Cronograma (calculado)'!$C$3:$C$602,MATCH(AA$4&amp;"|"&amp;5,'Cronograma (calculado)'!$N$3:$N$602,0)),"")</f>
        <v/>
      </c>
      <c r="AB24" s="36" t="str">
        <f aca="false">IFERROR(INDEX('Cronograma (calculado)'!$C$3:$C$602,MATCH(AB$4&amp;"|"&amp;5,'Cronograma (calculado)'!$N$3:$N$602,0)),"")</f>
        <v/>
      </c>
      <c r="AC24" s="37" t="str">
        <f aca="false">IFERROR(INDEX('Cronograma (calculado)'!$C$3:$C$602,MATCH(AC$4&amp;"|"&amp;5,'Cronograma (calculado)'!$N$3:$N$602,0)),"")</f>
        <v/>
      </c>
    </row>
    <row r="25" customFormat="false" ht="25.5" hidden="false" customHeight="true" outlineLevel="0" collapsed="false">
      <c r="B25" s="38" t="str">
        <f aca="false">IFERROR(INDEX('Cronograma (calculado)'!$E$3:$E$602,MATCH(B$4&amp;"|"&amp;5,'Cronograma (calculado)'!$N$3:$N$602,0)),"")</f>
        <v/>
      </c>
      <c r="C25" s="39" t="str">
        <f aca="false">IFERROR(INDEX('Cronograma (calculado)'!$E$3:$E$602,MATCH(C$4&amp;"|"&amp;5,'Cronograma (calculado)'!$N$3:$N$602,0)),"")</f>
        <v/>
      </c>
      <c r="D25" s="38" t="str">
        <f aca="false">IFERROR(INDEX('Cronograma (calculado)'!$E$3:$E$602,MATCH(D$4&amp;"|"&amp;5,'Cronograma (calculado)'!$N$3:$N$602,0)),"")</f>
        <v/>
      </c>
      <c r="E25" s="39" t="str">
        <f aca="false">IFERROR(INDEX('Cronograma (calculado)'!$E$3:$E$602,MATCH(E$4&amp;"|"&amp;5,'Cronograma (calculado)'!$N$3:$N$602,0)),"")</f>
        <v/>
      </c>
      <c r="F25" s="38" t="str">
        <f aca="false">IFERROR(INDEX('Cronograma (calculado)'!$E$3:$E$602,MATCH(F$4&amp;"|"&amp;5,'Cronograma (calculado)'!$N$3:$N$602,0)),"")</f>
        <v/>
      </c>
      <c r="G25" s="39" t="str">
        <f aca="false">IFERROR(INDEX('Cronograma (calculado)'!$E$3:$E$602,MATCH(G$4&amp;"|"&amp;5,'Cronograma (calculado)'!$N$3:$N$602,0)),"")</f>
        <v/>
      </c>
      <c r="H25" s="38" t="str">
        <f aca="false">IFERROR(INDEX('Cronograma (calculado)'!$E$3:$E$602,MATCH(H$4&amp;"|"&amp;5,'Cronograma (calculado)'!$N$3:$N$602,0)),"")</f>
        <v/>
      </c>
      <c r="I25" s="39" t="str">
        <f aca="false">IFERROR(INDEX('Cronograma (calculado)'!$E$3:$E$602,MATCH(I$4&amp;"|"&amp;5,'Cronograma (calculado)'!$N$3:$N$602,0)),"")</f>
        <v/>
      </c>
      <c r="J25" s="38" t="str">
        <f aca="false">IFERROR(INDEX('Cronograma (calculado)'!$E$3:$E$602,MATCH(J$4&amp;"|"&amp;5,'Cronograma (calculado)'!$N$3:$N$602,0)),"")</f>
        <v/>
      </c>
      <c r="K25" s="39" t="str">
        <f aca="false">IFERROR(INDEX('Cronograma (calculado)'!$E$3:$E$602,MATCH(K$4&amp;"|"&amp;5,'Cronograma (calculado)'!$N$3:$N$602,0)),"")</f>
        <v/>
      </c>
      <c r="L25" s="38" t="str">
        <f aca="false">IFERROR(INDEX('Cronograma (calculado)'!$E$3:$E$602,MATCH(L$4&amp;"|"&amp;5,'Cronograma (calculado)'!$N$3:$N$602,0)),"")</f>
        <v/>
      </c>
      <c r="M25" s="39" t="str">
        <f aca="false">IFERROR(INDEX('Cronograma (calculado)'!$E$3:$E$602,MATCH(M$4&amp;"|"&amp;5,'Cronograma (calculado)'!$N$3:$N$602,0)),"")</f>
        <v/>
      </c>
      <c r="N25" s="38" t="str">
        <f aca="false">IFERROR(INDEX('Cronograma (calculado)'!$E$3:$E$602,MATCH(N$4&amp;"|"&amp;5,'Cronograma (calculado)'!$N$3:$N$602,0)),"")</f>
        <v/>
      </c>
      <c r="O25" s="39" t="str">
        <f aca="false">IFERROR(INDEX('Cronograma (calculado)'!$E$3:$E$602,MATCH(O$4&amp;"|"&amp;5,'Cronograma (calculado)'!$N$3:$N$602,0)),"")</f>
        <v/>
      </c>
      <c r="P25" s="38" t="str">
        <f aca="false">IFERROR(INDEX('Cronograma (calculado)'!$E$3:$E$602,MATCH(P$4&amp;"|"&amp;5,'Cronograma (calculado)'!$N$3:$N$602,0)),"")</f>
        <v/>
      </c>
      <c r="Q25" s="39" t="str">
        <f aca="false">IFERROR(INDEX('Cronograma (calculado)'!$E$3:$E$602,MATCH(Q$4&amp;"|"&amp;5,'Cronograma (calculado)'!$N$3:$N$602,0)),"")</f>
        <v/>
      </c>
      <c r="R25" s="38" t="str">
        <f aca="false">IFERROR(INDEX('Cronograma (calculado)'!$E$3:$E$602,MATCH(R$4&amp;"|"&amp;5,'Cronograma (calculado)'!$N$3:$N$602,0)),"")</f>
        <v/>
      </c>
      <c r="S25" s="39" t="str">
        <f aca="false">IFERROR(INDEX('Cronograma (calculado)'!$E$3:$E$602,MATCH(S$4&amp;"|"&amp;5,'Cronograma (calculado)'!$N$3:$N$602,0)),"")</f>
        <v/>
      </c>
      <c r="T25" s="38" t="str">
        <f aca="false">IFERROR(INDEX('Cronograma (calculado)'!$E$3:$E$602,MATCH(T$4&amp;"|"&amp;5,'Cronograma (calculado)'!$N$3:$N$602,0)),"")</f>
        <v/>
      </c>
      <c r="U25" s="39" t="str">
        <f aca="false">IFERROR(INDEX('Cronograma (calculado)'!$E$3:$E$602,MATCH(U$4&amp;"|"&amp;5,'Cronograma (calculado)'!$N$3:$N$602,0)),"")</f>
        <v/>
      </c>
      <c r="V25" s="38" t="str">
        <f aca="false">IFERROR(INDEX('Cronograma (calculado)'!$E$3:$E$602,MATCH(V$4&amp;"|"&amp;5,'Cronograma (calculado)'!$N$3:$N$602,0)),"")</f>
        <v/>
      </c>
      <c r="W25" s="39" t="str">
        <f aca="false">IFERROR(INDEX('Cronograma (calculado)'!$E$3:$E$602,MATCH(W$4&amp;"|"&amp;5,'Cronograma (calculado)'!$N$3:$N$602,0)),"")</f>
        <v/>
      </c>
      <c r="X25" s="38" t="str">
        <f aca="false">IFERROR(INDEX('Cronograma (calculado)'!$E$3:$E$602,MATCH(X$4&amp;"|"&amp;5,'Cronograma (calculado)'!$N$3:$N$602,0)),"")</f>
        <v/>
      </c>
      <c r="Y25" s="39" t="str">
        <f aca="false">IFERROR(INDEX('Cronograma (calculado)'!$E$3:$E$602,MATCH(Y$4&amp;"|"&amp;5,'Cronograma (calculado)'!$N$3:$N$602,0)),"")</f>
        <v/>
      </c>
      <c r="Z25" s="38" t="str">
        <f aca="false">IFERROR(INDEX('Cronograma (calculado)'!$E$3:$E$602,MATCH(Z$4&amp;"|"&amp;5,'Cronograma (calculado)'!$N$3:$N$602,0)),"")</f>
        <v/>
      </c>
      <c r="AA25" s="39" t="str">
        <f aca="false">IFERROR(INDEX('Cronograma (calculado)'!$E$3:$E$602,MATCH(AA$4&amp;"|"&amp;5,'Cronograma (calculado)'!$N$3:$N$602,0)),"")</f>
        <v/>
      </c>
      <c r="AB25" s="38" t="str">
        <f aca="false">IFERROR(INDEX('Cronograma (calculado)'!$E$3:$E$602,MATCH(AB$4&amp;"|"&amp;5,'Cronograma (calculado)'!$N$3:$N$602,0)),"")</f>
        <v/>
      </c>
      <c r="AC25" s="39" t="str">
        <f aca="false">IFERROR(INDEX('Cronograma (calculado)'!$E$3:$E$602,MATCH(AC$4&amp;"|"&amp;5,'Cronograma (calculado)'!$N$3:$N$602,0)),"")</f>
        <v/>
      </c>
    </row>
    <row r="26" customFormat="false" ht="15" hidden="false" customHeight="true" outlineLevel="0" collapsed="false">
      <c r="B26" s="38" t="str">
        <f aca="false">IFERROR(INDEX('Cronograma (calculado)'!$J$3:$J$602,MATCH(B$4&amp;"|"&amp;5,'Cronograma (calculado)'!$N$3:$N$602,0)),"")</f>
        <v/>
      </c>
      <c r="C26" s="39" t="str">
        <f aca="false">IFERROR(INDEX('Cronograma (calculado)'!$J$3:$J$602,MATCH(C$4&amp;"|"&amp;5,'Cronograma (calculado)'!$N$3:$N$602,0)),"")</f>
        <v/>
      </c>
      <c r="D26" s="38" t="str">
        <f aca="false">IFERROR(INDEX('Cronograma (calculado)'!$J$3:$J$602,MATCH(D$4&amp;"|"&amp;5,'Cronograma (calculado)'!$N$3:$N$602,0)),"")</f>
        <v/>
      </c>
      <c r="E26" s="39" t="str">
        <f aca="false">IFERROR(INDEX('Cronograma (calculado)'!$J$3:$J$602,MATCH(E$4&amp;"|"&amp;5,'Cronograma (calculado)'!$N$3:$N$602,0)),"")</f>
        <v/>
      </c>
      <c r="F26" s="38" t="str">
        <f aca="false">IFERROR(INDEX('Cronograma (calculado)'!$J$3:$J$602,MATCH(F$4&amp;"|"&amp;5,'Cronograma (calculado)'!$N$3:$N$602,0)),"")</f>
        <v/>
      </c>
      <c r="G26" s="39" t="str">
        <f aca="false">IFERROR(INDEX('Cronograma (calculado)'!$J$3:$J$602,MATCH(G$4&amp;"|"&amp;5,'Cronograma (calculado)'!$N$3:$N$602,0)),"")</f>
        <v/>
      </c>
      <c r="H26" s="38" t="str">
        <f aca="false">IFERROR(INDEX('Cronograma (calculado)'!$J$3:$J$602,MATCH(H$4&amp;"|"&amp;5,'Cronograma (calculado)'!$N$3:$N$602,0)),"")</f>
        <v/>
      </c>
      <c r="I26" s="39" t="str">
        <f aca="false">IFERROR(INDEX('Cronograma (calculado)'!$J$3:$J$602,MATCH(I$4&amp;"|"&amp;5,'Cronograma (calculado)'!$N$3:$N$602,0)),"")</f>
        <v/>
      </c>
      <c r="J26" s="38" t="str">
        <f aca="false">IFERROR(INDEX('Cronograma (calculado)'!$J$3:$J$602,MATCH(J$4&amp;"|"&amp;5,'Cronograma (calculado)'!$N$3:$N$602,0)),"")</f>
        <v/>
      </c>
      <c r="K26" s="39" t="str">
        <f aca="false">IFERROR(INDEX('Cronograma (calculado)'!$J$3:$J$602,MATCH(K$4&amp;"|"&amp;5,'Cronograma (calculado)'!$N$3:$N$602,0)),"")</f>
        <v/>
      </c>
      <c r="L26" s="38" t="str">
        <f aca="false">IFERROR(INDEX('Cronograma (calculado)'!$J$3:$J$602,MATCH(L$4&amp;"|"&amp;5,'Cronograma (calculado)'!$N$3:$N$602,0)),"")</f>
        <v/>
      </c>
      <c r="M26" s="39" t="str">
        <f aca="false">IFERROR(INDEX('Cronograma (calculado)'!$J$3:$J$602,MATCH(M$4&amp;"|"&amp;5,'Cronograma (calculado)'!$N$3:$N$602,0)),"")</f>
        <v/>
      </c>
      <c r="N26" s="38" t="str">
        <f aca="false">IFERROR(INDEX('Cronograma (calculado)'!$J$3:$J$602,MATCH(N$4&amp;"|"&amp;5,'Cronograma (calculado)'!$N$3:$N$602,0)),"")</f>
        <v/>
      </c>
      <c r="O26" s="39" t="str">
        <f aca="false">IFERROR(INDEX('Cronograma (calculado)'!$J$3:$J$602,MATCH(O$4&amp;"|"&amp;5,'Cronograma (calculado)'!$N$3:$N$602,0)),"")</f>
        <v/>
      </c>
      <c r="P26" s="38" t="str">
        <f aca="false">IFERROR(INDEX('Cronograma (calculado)'!$J$3:$J$602,MATCH(P$4&amp;"|"&amp;5,'Cronograma (calculado)'!$N$3:$N$602,0)),"")</f>
        <v/>
      </c>
      <c r="Q26" s="39" t="str">
        <f aca="false">IFERROR(INDEX('Cronograma (calculado)'!$J$3:$J$602,MATCH(Q$4&amp;"|"&amp;5,'Cronograma (calculado)'!$N$3:$N$602,0)),"")</f>
        <v/>
      </c>
      <c r="R26" s="38" t="str">
        <f aca="false">IFERROR(INDEX('Cronograma (calculado)'!$J$3:$J$602,MATCH(R$4&amp;"|"&amp;5,'Cronograma (calculado)'!$N$3:$N$602,0)),"")</f>
        <v/>
      </c>
      <c r="S26" s="39" t="str">
        <f aca="false">IFERROR(INDEX('Cronograma (calculado)'!$J$3:$J$602,MATCH(S$4&amp;"|"&amp;5,'Cronograma (calculado)'!$N$3:$N$602,0)),"")</f>
        <v/>
      </c>
      <c r="T26" s="38" t="str">
        <f aca="false">IFERROR(INDEX('Cronograma (calculado)'!$J$3:$J$602,MATCH(T$4&amp;"|"&amp;5,'Cronograma (calculado)'!$N$3:$N$602,0)),"")</f>
        <v/>
      </c>
      <c r="U26" s="39" t="str">
        <f aca="false">IFERROR(INDEX('Cronograma (calculado)'!$J$3:$J$602,MATCH(U$4&amp;"|"&amp;5,'Cronograma (calculado)'!$N$3:$N$602,0)),"")</f>
        <v/>
      </c>
      <c r="V26" s="38" t="str">
        <f aca="false">IFERROR(INDEX('Cronograma (calculado)'!$J$3:$J$602,MATCH(V$4&amp;"|"&amp;5,'Cronograma (calculado)'!$N$3:$N$602,0)),"")</f>
        <v/>
      </c>
      <c r="W26" s="39" t="str">
        <f aca="false">IFERROR(INDEX('Cronograma (calculado)'!$J$3:$J$602,MATCH(W$4&amp;"|"&amp;5,'Cronograma (calculado)'!$N$3:$N$602,0)),"")</f>
        <v/>
      </c>
      <c r="X26" s="38" t="str">
        <f aca="false">IFERROR(INDEX('Cronograma (calculado)'!$J$3:$J$602,MATCH(X$4&amp;"|"&amp;5,'Cronograma (calculado)'!$N$3:$N$602,0)),"")</f>
        <v/>
      </c>
      <c r="Y26" s="39" t="str">
        <f aca="false">IFERROR(INDEX('Cronograma (calculado)'!$J$3:$J$602,MATCH(Y$4&amp;"|"&amp;5,'Cronograma (calculado)'!$N$3:$N$602,0)),"")</f>
        <v/>
      </c>
      <c r="Z26" s="38" t="str">
        <f aca="false">IFERROR(INDEX('Cronograma (calculado)'!$J$3:$J$602,MATCH(Z$4&amp;"|"&amp;5,'Cronograma (calculado)'!$N$3:$N$602,0)),"")</f>
        <v/>
      </c>
      <c r="AA26" s="39" t="str">
        <f aca="false">IFERROR(INDEX('Cronograma (calculado)'!$J$3:$J$602,MATCH(AA$4&amp;"|"&amp;5,'Cronograma (calculado)'!$N$3:$N$602,0)),"")</f>
        <v/>
      </c>
      <c r="AB26" s="38" t="str">
        <f aca="false">IFERROR(INDEX('Cronograma (calculado)'!$J$3:$J$602,MATCH(AB$4&amp;"|"&amp;5,'Cronograma (calculado)'!$N$3:$N$602,0)),"")</f>
        <v/>
      </c>
      <c r="AC26" s="39" t="str">
        <f aca="false">IFERROR(INDEX('Cronograma (calculado)'!$J$3:$J$602,MATCH(AC$4&amp;"|"&amp;5,'Cronograma (calculado)'!$N$3:$N$602,0)),"")</f>
        <v/>
      </c>
    </row>
    <row r="27" customFormat="false" ht="4.5" hidden="false" customHeight="true" outlineLevel="0" collapsed="false"/>
    <row r="28" customFormat="false" ht="15" hidden="false" customHeight="true" outlineLevel="0" collapsed="false">
      <c r="B28" s="37" t="str">
        <f aca="false">IFERROR(INDEX('Cronograma (calculado)'!$C$3:$C$602,MATCH(B$4&amp;"|"&amp;6,'Cronograma (calculado)'!$N$3:$N$602,0)),"")</f>
        <v/>
      </c>
      <c r="C28" s="36" t="str">
        <f aca="false">IFERROR(INDEX('Cronograma (calculado)'!$C$3:$C$602,MATCH(C$4&amp;"|"&amp;6,'Cronograma (calculado)'!$N$3:$N$602,0)),"")</f>
        <v/>
      </c>
      <c r="D28" s="37" t="str">
        <f aca="false">IFERROR(INDEX('Cronograma (calculado)'!$C$3:$C$602,MATCH(D$4&amp;"|"&amp;6,'Cronograma (calculado)'!$N$3:$N$602,0)),"")</f>
        <v/>
      </c>
      <c r="E28" s="36" t="str">
        <f aca="false">IFERROR(INDEX('Cronograma (calculado)'!$C$3:$C$602,MATCH(E$4&amp;"|"&amp;6,'Cronograma (calculado)'!$N$3:$N$602,0)),"")</f>
        <v/>
      </c>
      <c r="F28" s="37" t="str">
        <f aca="false">IFERROR(INDEX('Cronograma (calculado)'!$C$3:$C$602,MATCH(F$4&amp;"|"&amp;6,'Cronograma (calculado)'!$N$3:$N$602,0)),"")</f>
        <v/>
      </c>
      <c r="G28" s="36" t="str">
        <f aca="false">IFERROR(INDEX('Cronograma (calculado)'!$C$3:$C$602,MATCH(G$4&amp;"|"&amp;6,'Cronograma (calculado)'!$N$3:$N$602,0)),"")</f>
        <v/>
      </c>
      <c r="H28" s="37" t="str">
        <f aca="false">IFERROR(INDEX('Cronograma (calculado)'!$C$3:$C$602,MATCH(H$4&amp;"|"&amp;6,'Cronograma (calculado)'!$N$3:$N$602,0)),"")</f>
        <v/>
      </c>
      <c r="I28" s="36" t="str">
        <f aca="false">IFERROR(INDEX('Cronograma (calculado)'!$C$3:$C$602,MATCH(I$4&amp;"|"&amp;6,'Cronograma (calculado)'!$N$3:$N$602,0)),"")</f>
        <v/>
      </c>
      <c r="J28" s="37" t="str">
        <f aca="false">IFERROR(INDEX('Cronograma (calculado)'!$C$3:$C$602,MATCH(J$4&amp;"|"&amp;6,'Cronograma (calculado)'!$N$3:$N$602,0)),"")</f>
        <v/>
      </c>
      <c r="K28" s="36" t="str">
        <f aca="false">IFERROR(INDEX('Cronograma (calculado)'!$C$3:$C$602,MATCH(K$4&amp;"|"&amp;6,'Cronograma (calculado)'!$N$3:$N$602,0)),"")</f>
        <v/>
      </c>
      <c r="L28" s="37" t="str">
        <f aca="false">IFERROR(INDEX('Cronograma (calculado)'!$C$3:$C$602,MATCH(L$4&amp;"|"&amp;6,'Cronograma (calculado)'!$N$3:$N$602,0)),"")</f>
        <v/>
      </c>
      <c r="M28" s="36" t="str">
        <f aca="false">IFERROR(INDEX('Cronograma (calculado)'!$C$3:$C$602,MATCH(M$4&amp;"|"&amp;6,'Cronograma (calculado)'!$N$3:$N$602,0)),"")</f>
        <v/>
      </c>
      <c r="N28" s="37" t="str">
        <f aca="false">IFERROR(INDEX('Cronograma (calculado)'!$C$3:$C$602,MATCH(N$4&amp;"|"&amp;6,'Cronograma (calculado)'!$N$3:$N$602,0)),"")</f>
        <v/>
      </c>
      <c r="O28" s="36" t="str">
        <f aca="false">IFERROR(INDEX('Cronograma (calculado)'!$C$3:$C$602,MATCH(O$4&amp;"|"&amp;6,'Cronograma (calculado)'!$N$3:$N$602,0)),"")</f>
        <v/>
      </c>
      <c r="P28" s="37" t="str">
        <f aca="false">IFERROR(INDEX('Cronograma (calculado)'!$C$3:$C$602,MATCH(P$4&amp;"|"&amp;6,'Cronograma (calculado)'!$N$3:$N$602,0)),"")</f>
        <v/>
      </c>
      <c r="Q28" s="36" t="str">
        <f aca="false">IFERROR(INDEX('Cronograma (calculado)'!$C$3:$C$602,MATCH(Q$4&amp;"|"&amp;6,'Cronograma (calculado)'!$N$3:$N$602,0)),"")</f>
        <v/>
      </c>
      <c r="R28" s="37" t="str">
        <f aca="false">IFERROR(INDEX('Cronograma (calculado)'!$C$3:$C$602,MATCH(R$4&amp;"|"&amp;6,'Cronograma (calculado)'!$N$3:$N$602,0)),"")</f>
        <v/>
      </c>
      <c r="S28" s="36" t="str">
        <f aca="false">IFERROR(INDEX('Cronograma (calculado)'!$C$3:$C$602,MATCH(S$4&amp;"|"&amp;6,'Cronograma (calculado)'!$N$3:$N$602,0)),"")</f>
        <v/>
      </c>
      <c r="T28" s="37" t="str">
        <f aca="false">IFERROR(INDEX('Cronograma (calculado)'!$C$3:$C$602,MATCH(T$4&amp;"|"&amp;6,'Cronograma (calculado)'!$N$3:$N$602,0)),"")</f>
        <v/>
      </c>
      <c r="U28" s="36" t="str">
        <f aca="false">IFERROR(INDEX('Cronograma (calculado)'!$C$3:$C$602,MATCH(U$4&amp;"|"&amp;6,'Cronograma (calculado)'!$N$3:$N$602,0)),"")</f>
        <v/>
      </c>
      <c r="V28" s="37" t="str">
        <f aca="false">IFERROR(INDEX('Cronograma (calculado)'!$C$3:$C$602,MATCH(V$4&amp;"|"&amp;6,'Cronograma (calculado)'!$N$3:$N$602,0)),"")</f>
        <v/>
      </c>
      <c r="W28" s="36" t="str">
        <f aca="false">IFERROR(INDEX('Cronograma (calculado)'!$C$3:$C$602,MATCH(W$4&amp;"|"&amp;6,'Cronograma (calculado)'!$N$3:$N$602,0)),"")</f>
        <v/>
      </c>
      <c r="X28" s="37" t="str">
        <f aca="false">IFERROR(INDEX('Cronograma (calculado)'!$C$3:$C$602,MATCH(X$4&amp;"|"&amp;6,'Cronograma (calculado)'!$N$3:$N$602,0)),"")</f>
        <v/>
      </c>
      <c r="Y28" s="36" t="str">
        <f aca="false">IFERROR(INDEX('Cronograma (calculado)'!$C$3:$C$602,MATCH(Y$4&amp;"|"&amp;6,'Cronograma (calculado)'!$N$3:$N$602,0)),"")</f>
        <v/>
      </c>
      <c r="Z28" s="37" t="str">
        <f aca="false">IFERROR(INDEX('Cronograma (calculado)'!$C$3:$C$602,MATCH(Z$4&amp;"|"&amp;6,'Cronograma (calculado)'!$N$3:$N$602,0)),"")</f>
        <v/>
      </c>
      <c r="AA28" s="36" t="str">
        <f aca="false">IFERROR(INDEX('Cronograma (calculado)'!$C$3:$C$602,MATCH(AA$4&amp;"|"&amp;6,'Cronograma (calculado)'!$N$3:$N$602,0)),"")</f>
        <v/>
      </c>
      <c r="AB28" s="37" t="str">
        <f aca="false">IFERROR(INDEX('Cronograma (calculado)'!$C$3:$C$602,MATCH(AB$4&amp;"|"&amp;6,'Cronograma (calculado)'!$N$3:$N$602,0)),"")</f>
        <v/>
      </c>
      <c r="AC28" s="36" t="str">
        <f aca="false">IFERROR(INDEX('Cronograma (calculado)'!$C$3:$C$602,MATCH(AC$4&amp;"|"&amp;6,'Cronograma (calculado)'!$N$3:$N$602,0)),"")</f>
        <v/>
      </c>
    </row>
    <row r="29" customFormat="false" ht="25.5" hidden="false" customHeight="true" outlineLevel="0" collapsed="false">
      <c r="B29" s="39" t="str">
        <f aca="false">IFERROR(INDEX('Cronograma (calculado)'!$E$3:$E$602,MATCH(B$4&amp;"|"&amp;6,'Cronograma (calculado)'!$N$3:$N$602,0)),"")</f>
        <v/>
      </c>
      <c r="C29" s="38" t="str">
        <f aca="false">IFERROR(INDEX('Cronograma (calculado)'!$E$3:$E$602,MATCH(C$4&amp;"|"&amp;6,'Cronograma (calculado)'!$N$3:$N$602,0)),"")</f>
        <v/>
      </c>
      <c r="D29" s="39" t="str">
        <f aca="false">IFERROR(INDEX('Cronograma (calculado)'!$E$3:$E$602,MATCH(D$4&amp;"|"&amp;6,'Cronograma (calculado)'!$N$3:$N$602,0)),"")</f>
        <v/>
      </c>
      <c r="E29" s="38" t="str">
        <f aca="false">IFERROR(INDEX('Cronograma (calculado)'!$E$3:$E$602,MATCH(E$4&amp;"|"&amp;6,'Cronograma (calculado)'!$N$3:$N$602,0)),"")</f>
        <v/>
      </c>
      <c r="F29" s="39" t="str">
        <f aca="false">IFERROR(INDEX('Cronograma (calculado)'!$E$3:$E$602,MATCH(F$4&amp;"|"&amp;6,'Cronograma (calculado)'!$N$3:$N$602,0)),"")</f>
        <v/>
      </c>
      <c r="G29" s="38" t="str">
        <f aca="false">IFERROR(INDEX('Cronograma (calculado)'!$E$3:$E$602,MATCH(G$4&amp;"|"&amp;6,'Cronograma (calculado)'!$N$3:$N$602,0)),"")</f>
        <v/>
      </c>
      <c r="H29" s="39" t="str">
        <f aca="false">IFERROR(INDEX('Cronograma (calculado)'!$E$3:$E$602,MATCH(H$4&amp;"|"&amp;6,'Cronograma (calculado)'!$N$3:$N$602,0)),"")</f>
        <v/>
      </c>
      <c r="I29" s="38" t="str">
        <f aca="false">IFERROR(INDEX('Cronograma (calculado)'!$E$3:$E$602,MATCH(I$4&amp;"|"&amp;6,'Cronograma (calculado)'!$N$3:$N$602,0)),"")</f>
        <v/>
      </c>
      <c r="J29" s="39" t="str">
        <f aca="false">IFERROR(INDEX('Cronograma (calculado)'!$E$3:$E$602,MATCH(J$4&amp;"|"&amp;6,'Cronograma (calculado)'!$N$3:$N$602,0)),"")</f>
        <v/>
      </c>
      <c r="K29" s="38" t="str">
        <f aca="false">IFERROR(INDEX('Cronograma (calculado)'!$E$3:$E$602,MATCH(K$4&amp;"|"&amp;6,'Cronograma (calculado)'!$N$3:$N$602,0)),"")</f>
        <v/>
      </c>
      <c r="L29" s="39" t="str">
        <f aca="false">IFERROR(INDEX('Cronograma (calculado)'!$E$3:$E$602,MATCH(L$4&amp;"|"&amp;6,'Cronograma (calculado)'!$N$3:$N$602,0)),"")</f>
        <v/>
      </c>
      <c r="M29" s="38" t="str">
        <f aca="false">IFERROR(INDEX('Cronograma (calculado)'!$E$3:$E$602,MATCH(M$4&amp;"|"&amp;6,'Cronograma (calculado)'!$N$3:$N$602,0)),"")</f>
        <v/>
      </c>
      <c r="N29" s="39" t="str">
        <f aca="false">IFERROR(INDEX('Cronograma (calculado)'!$E$3:$E$602,MATCH(N$4&amp;"|"&amp;6,'Cronograma (calculado)'!$N$3:$N$602,0)),"")</f>
        <v/>
      </c>
      <c r="O29" s="38" t="str">
        <f aca="false">IFERROR(INDEX('Cronograma (calculado)'!$E$3:$E$602,MATCH(O$4&amp;"|"&amp;6,'Cronograma (calculado)'!$N$3:$N$602,0)),"")</f>
        <v/>
      </c>
      <c r="P29" s="39" t="str">
        <f aca="false">IFERROR(INDEX('Cronograma (calculado)'!$E$3:$E$602,MATCH(P$4&amp;"|"&amp;6,'Cronograma (calculado)'!$N$3:$N$602,0)),"")</f>
        <v/>
      </c>
      <c r="Q29" s="38" t="str">
        <f aca="false">IFERROR(INDEX('Cronograma (calculado)'!$E$3:$E$602,MATCH(Q$4&amp;"|"&amp;6,'Cronograma (calculado)'!$N$3:$N$602,0)),"")</f>
        <v/>
      </c>
      <c r="R29" s="39" t="str">
        <f aca="false">IFERROR(INDEX('Cronograma (calculado)'!$E$3:$E$602,MATCH(R$4&amp;"|"&amp;6,'Cronograma (calculado)'!$N$3:$N$602,0)),"")</f>
        <v/>
      </c>
      <c r="S29" s="38" t="str">
        <f aca="false">IFERROR(INDEX('Cronograma (calculado)'!$E$3:$E$602,MATCH(S$4&amp;"|"&amp;6,'Cronograma (calculado)'!$N$3:$N$602,0)),"")</f>
        <v/>
      </c>
      <c r="T29" s="39" t="str">
        <f aca="false">IFERROR(INDEX('Cronograma (calculado)'!$E$3:$E$602,MATCH(T$4&amp;"|"&amp;6,'Cronograma (calculado)'!$N$3:$N$602,0)),"")</f>
        <v/>
      </c>
      <c r="U29" s="38" t="str">
        <f aca="false">IFERROR(INDEX('Cronograma (calculado)'!$E$3:$E$602,MATCH(U$4&amp;"|"&amp;6,'Cronograma (calculado)'!$N$3:$N$602,0)),"")</f>
        <v/>
      </c>
      <c r="V29" s="39" t="str">
        <f aca="false">IFERROR(INDEX('Cronograma (calculado)'!$E$3:$E$602,MATCH(V$4&amp;"|"&amp;6,'Cronograma (calculado)'!$N$3:$N$602,0)),"")</f>
        <v/>
      </c>
      <c r="W29" s="38" t="str">
        <f aca="false">IFERROR(INDEX('Cronograma (calculado)'!$E$3:$E$602,MATCH(W$4&amp;"|"&amp;6,'Cronograma (calculado)'!$N$3:$N$602,0)),"")</f>
        <v/>
      </c>
      <c r="X29" s="39" t="str">
        <f aca="false">IFERROR(INDEX('Cronograma (calculado)'!$E$3:$E$602,MATCH(X$4&amp;"|"&amp;6,'Cronograma (calculado)'!$N$3:$N$602,0)),"")</f>
        <v/>
      </c>
      <c r="Y29" s="38" t="str">
        <f aca="false">IFERROR(INDEX('Cronograma (calculado)'!$E$3:$E$602,MATCH(Y$4&amp;"|"&amp;6,'Cronograma (calculado)'!$N$3:$N$602,0)),"")</f>
        <v/>
      </c>
      <c r="Z29" s="39" t="str">
        <f aca="false">IFERROR(INDEX('Cronograma (calculado)'!$E$3:$E$602,MATCH(Z$4&amp;"|"&amp;6,'Cronograma (calculado)'!$N$3:$N$602,0)),"")</f>
        <v/>
      </c>
      <c r="AA29" s="38" t="str">
        <f aca="false">IFERROR(INDEX('Cronograma (calculado)'!$E$3:$E$602,MATCH(AA$4&amp;"|"&amp;6,'Cronograma (calculado)'!$N$3:$N$602,0)),"")</f>
        <v/>
      </c>
      <c r="AB29" s="39" t="str">
        <f aca="false">IFERROR(INDEX('Cronograma (calculado)'!$E$3:$E$602,MATCH(AB$4&amp;"|"&amp;6,'Cronograma (calculado)'!$N$3:$N$602,0)),"")</f>
        <v/>
      </c>
      <c r="AC29" s="38" t="str">
        <f aca="false">IFERROR(INDEX('Cronograma (calculado)'!$E$3:$E$602,MATCH(AC$4&amp;"|"&amp;6,'Cronograma (calculado)'!$N$3:$N$602,0)),"")</f>
        <v/>
      </c>
    </row>
    <row r="30" customFormat="false" ht="15" hidden="false" customHeight="true" outlineLevel="0" collapsed="false">
      <c r="B30" s="39" t="str">
        <f aca="false">IFERROR(INDEX('Cronograma (calculado)'!$J$3:$J$602,MATCH(B$4&amp;"|"&amp;6,'Cronograma (calculado)'!$N$3:$N$602,0)),"")</f>
        <v/>
      </c>
      <c r="C30" s="38" t="str">
        <f aca="false">IFERROR(INDEX('Cronograma (calculado)'!$J$3:$J$602,MATCH(C$4&amp;"|"&amp;6,'Cronograma (calculado)'!$N$3:$N$602,0)),"")</f>
        <v/>
      </c>
      <c r="D30" s="39" t="str">
        <f aca="false">IFERROR(INDEX('Cronograma (calculado)'!$J$3:$J$602,MATCH(D$4&amp;"|"&amp;6,'Cronograma (calculado)'!$N$3:$N$602,0)),"")</f>
        <v/>
      </c>
      <c r="E30" s="38" t="str">
        <f aca="false">IFERROR(INDEX('Cronograma (calculado)'!$J$3:$J$602,MATCH(E$4&amp;"|"&amp;6,'Cronograma (calculado)'!$N$3:$N$602,0)),"")</f>
        <v/>
      </c>
      <c r="F30" s="39" t="str">
        <f aca="false">IFERROR(INDEX('Cronograma (calculado)'!$J$3:$J$602,MATCH(F$4&amp;"|"&amp;6,'Cronograma (calculado)'!$N$3:$N$602,0)),"")</f>
        <v/>
      </c>
      <c r="G30" s="38" t="str">
        <f aca="false">IFERROR(INDEX('Cronograma (calculado)'!$J$3:$J$602,MATCH(G$4&amp;"|"&amp;6,'Cronograma (calculado)'!$N$3:$N$602,0)),"")</f>
        <v/>
      </c>
      <c r="H30" s="39" t="str">
        <f aca="false">IFERROR(INDEX('Cronograma (calculado)'!$J$3:$J$602,MATCH(H$4&amp;"|"&amp;6,'Cronograma (calculado)'!$N$3:$N$602,0)),"")</f>
        <v/>
      </c>
      <c r="I30" s="38" t="str">
        <f aca="false">IFERROR(INDEX('Cronograma (calculado)'!$J$3:$J$602,MATCH(I$4&amp;"|"&amp;6,'Cronograma (calculado)'!$N$3:$N$602,0)),"")</f>
        <v/>
      </c>
      <c r="J30" s="39" t="str">
        <f aca="false">IFERROR(INDEX('Cronograma (calculado)'!$J$3:$J$602,MATCH(J$4&amp;"|"&amp;6,'Cronograma (calculado)'!$N$3:$N$602,0)),"")</f>
        <v/>
      </c>
      <c r="K30" s="38" t="str">
        <f aca="false">IFERROR(INDEX('Cronograma (calculado)'!$J$3:$J$602,MATCH(K$4&amp;"|"&amp;6,'Cronograma (calculado)'!$N$3:$N$602,0)),"")</f>
        <v/>
      </c>
      <c r="L30" s="39" t="str">
        <f aca="false">IFERROR(INDEX('Cronograma (calculado)'!$J$3:$J$602,MATCH(L$4&amp;"|"&amp;6,'Cronograma (calculado)'!$N$3:$N$602,0)),"")</f>
        <v/>
      </c>
      <c r="M30" s="38" t="str">
        <f aca="false">IFERROR(INDEX('Cronograma (calculado)'!$J$3:$J$602,MATCH(M$4&amp;"|"&amp;6,'Cronograma (calculado)'!$N$3:$N$602,0)),"")</f>
        <v/>
      </c>
      <c r="N30" s="39" t="str">
        <f aca="false">IFERROR(INDEX('Cronograma (calculado)'!$J$3:$J$602,MATCH(N$4&amp;"|"&amp;6,'Cronograma (calculado)'!$N$3:$N$602,0)),"")</f>
        <v/>
      </c>
      <c r="O30" s="38" t="str">
        <f aca="false">IFERROR(INDEX('Cronograma (calculado)'!$J$3:$J$602,MATCH(O$4&amp;"|"&amp;6,'Cronograma (calculado)'!$N$3:$N$602,0)),"")</f>
        <v/>
      </c>
      <c r="P30" s="39" t="str">
        <f aca="false">IFERROR(INDEX('Cronograma (calculado)'!$J$3:$J$602,MATCH(P$4&amp;"|"&amp;6,'Cronograma (calculado)'!$N$3:$N$602,0)),"")</f>
        <v/>
      </c>
      <c r="Q30" s="38" t="str">
        <f aca="false">IFERROR(INDEX('Cronograma (calculado)'!$J$3:$J$602,MATCH(Q$4&amp;"|"&amp;6,'Cronograma (calculado)'!$N$3:$N$602,0)),"")</f>
        <v/>
      </c>
      <c r="R30" s="39" t="str">
        <f aca="false">IFERROR(INDEX('Cronograma (calculado)'!$J$3:$J$602,MATCH(R$4&amp;"|"&amp;6,'Cronograma (calculado)'!$N$3:$N$602,0)),"")</f>
        <v/>
      </c>
      <c r="S30" s="38" t="str">
        <f aca="false">IFERROR(INDEX('Cronograma (calculado)'!$J$3:$J$602,MATCH(S$4&amp;"|"&amp;6,'Cronograma (calculado)'!$N$3:$N$602,0)),"")</f>
        <v/>
      </c>
      <c r="T30" s="39" t="str">
        <f aca="false">IFERROR(INDEX('Cronograma (calculado)'!$J$3:$J$602,MATCH(T$4&amp;"|"&amp;6,'Cronograma (calculado)'!$N$3:$N$602,0)),"")</f>
        <v/>
      </c>
      <c r="U30" s="38" t="str">
        <f aca="false">IFERROR(INDEX('Cronograma (calculado)'!$J$3:$J$602,MATCH(U$4&amp;"|"&amp;6,'Cronograma (calculado)'!$N$3:$N$602,0)),"")</f>
        <v/>
      </c>
      <c r="V30" s="39" t="str">
        <f aca="false">IFERROR(INDEX('Cronograma (calculado)'!$J$3:$J$602,MATCH(V$4&amp;"|"&amp;6,'Cronograma (calculado)'!$N$3:$N$602,0)),"")</f>
        <v/>
      </c>
      <c r="W30" s="38" t="str">
        <f aca="false">IFERROR(INDEX('Cronograma (calculado)'!$J$3:$J$602,MATCH(W$4&amp;"|"&amp;6,'Cronograma (calculado)'!$N$3:$N$602,0)),"")</f>
        <v/>
      </c>
      <c r="X30" s="39" t="str">
        <f aca="false">IFERROR(INDEX('Cronograma (calculado)'!$J$3:$J$602,MATCH(X$4&amp;"|"&amp;6,'Cronograma (calculado)'!$N$3:$N$602,0)),"")</f>
        <v/>
      </c>
      <c r="Y30" s="38" t="str">
        <f aca="false">IFERROR(INDEX('Cronograma (calculado)'!$J$3:$J$602,MATCH(Y$4&amp;"|"&amp;6,'Cronograma (calculado)'!$N$3:$N$602,0)),"")</f>
        <v/>
      </c>
      <c r="Z30" s="39" t="str">
        <f aca="false">IFERROR(INDEX('Cronograma (calculado)'!$J$3:$J$602,MATCH(Z$4&amp;"|"&amp;6,'Cronograma (calculado)'!$N$3:$N$602,0)),"")</f>
        <v/>
      </c>
      <c r="AA30" s="38" t="str">
        <f aca="false">IFERROR(INDEX('Cronograma (calculado)'!$J$3:$J$602,MATCH(AA$4&amp;"|"&amp;6,'Cronograma (calculado)'!$N$3:$N$602,0)),"")</f>
        <v/>
      </c>
      <c r="AB30" s="39" t="str">
        <f aca="false">IFERROR(INDEX('Cronograma (calculado)'!$J$3:$J$602,MATCH(AB$4&amp;"|"&amp;6,'Cronograma (calculado)'!$N$3:$N$602,0)),"")</f>
        <v/>
      </c>
      <c r="AC30" s="38" t="str">
        <f aca="false">IFERROR(INDEX('Cronograma (calculado)'!$J$3:$J$602,MATCH(AC$4&amp;"|"&amp;6,'Cronograma (calculado)'!$N$3:$N$602,0)),"")</f>
        <v/>
      </c>
    </row>
    <row r="31" customFormat="false" ht="4.5" hidden="false" customHeight="true" outlineLevel="0" collapsed="false"/>
    <row r="32" customFormat="false" ht="15" hidden="false" customHeight="true" outlineLevel="0" collapsed="false">
      <c r="B32" s="36" t="str">
        <f aca="false">IFERROR(INDEX('Cronograma (calculado)'!$C$3:$C$602,MATCH(B$4&amp;"|"&amp;7,'Cronograma (calculado)'!$N$3:$N$602,0)),"")</f>
        <v/>
      </c>
      <c r="C32" s="37" t="str">
        <f aca="false">IFERROR(INDEX('Cronograma (calculado)'!$C$3:$C$602,MATCH(C$4&amp;"|"&amp;7,'Cronograma (calculado)'!$N$3:$N$602,0)),"")</f>
        <v/>
      </c>
      <c r="D32" s="36" t="str">
        <f aca="false">IFERROR(INDEX('Cronograma (calculado)'!$C$3:$C$602,MATCH(D$4&amp;"|"&amp;7,'Cronograma (calculado)'!$N$3:$N$602,0)),"")</f>
        <v/>
      </c>
      <c r="E32" s="37" t="str">
        <f aca="false">IFERROR(INDEX('Cronograma (calculado)'!$C$3:$C$602,MATCH(E$4&amp;"|"&amp;7,'Cronograma (calculado)'!$N$3:$N$602,0)),"")</f>
        <v/>
      </c>
      <c r="F32" s="36" t="str">
        <f aca="false">IFERROR(INDEX('Cronograma (calculado)'!$C$3:$C$602,MATCH(F$4&amp;"|"&amp;7,'Cronograma (calculado)'!$N$3:$N$602,0)),"")</f>
        <v/>
      </c>
      <c r="G32" s="37" t="str">
        <f aca="false">IFERROR(INDEX('Cronograma (calculado)'!$C$3:$C$602,MATCH(G$4&amp;"|"&amp;7,'Cronograma (calculado)'!$N$3:$N$602,0)),"")</f>
        <v/>
      </c>
      <c r="H32" s="36" t="str">
        <f aca="false">IFERROR(INDEX('Cronograma (calculado)'!$C$3:$C$602,MATCH(H$4&amp;"|"&amp;7,'Cronograma (calculado)'!$N$3:$N$602,0)),"")</f>
        <v/>
      </c>
      <c r="I32" s="37" t="str">
        <f aca="false">IFERROR(INDEX('Cronograma (calculado)'!$C$3:$C$602,MATCH(I$4&amp;"|"&amp;7,'Cronograma (calculado)'!$N$3:$N$602,0)),"")</f>
        <v/>
      </c>
      <c r="J32" s="36" t="str">
        <f aca="false">IFERROR(INDEX('Cronograma (calculado)'!$C$3:$C$602,MATCH(J$4&amp;"|"&amp;7,'Cronograma (calculado)'!$N$3:$N$602,0)),"")</f>
        <v/>
      </c>
      <c r="K32" s="37" t="str">
        <f aca="false">IFERROR(INDEX('Cronograma (calculado)'!$C$3:$C$602,MATCH(K$4&amp;"|"&amp;7,'Cronograma (calculado)'!$N$3:$N$602,0)),"")</f>
        <v/>
      </c>
      <c r="L32" s="36" t="str">
        <f aca="false">IFERROR(INDEX('Cronograma (calculado)'!$C$3:$C$602,MATCH(L$4&amp;"|"&amp;7,'Cronograma (calculado)'!$N$3:$N$602,0)),"")</f>
        <v/>
      </c>
      <c r="M32" s="37" t="str">
        <f aca="false">IFERROR(INDEX('Cronograma (calculado)'!$C$3:$C$602,MATCH(M$4&amp;"|"&amp;7,'Cronograma (calculado)'!$N$3:$N$602,0)),"")</f>
        <v/>
      </c>
      <c r="N32" s="36" t="str">
        <f aca="false">IFERROR(INDEX('Cronograma (calculado)'!$C$3:$C$602,MATCH(N$4&amp;"|"&amp;7,'Cronograma (calculado)'!$N$3:$N$602,0)),"")</f>
        <v/>
      </c>
      <c r="O32" s="37" t="str">
        <f aca="false">IFERROR(INDEX('Cronograma (calculado)'!$C$3:$C$602,MATCH(O$4&amp;"|"&amp;7,'Cronograma (calculado)'!$N$3:$N$602,0)),"")</f>
        <v/>
      </c>
      <c r="P32" s="36" t="str">
        <f aca="false">IFERROR(INDEX('Cronograma (calculado)'!$C$3:$C$602,MATCH(P$4&amp;"|"&amp;7,'Cronograma (calculado)'!$N$3:$N$602,0)),"")</f>
        <v/>
      </c>
      <c r="Q32" s="37" t="str">
        <f aca="false">IFERROR(INDEX('Cronograma (calculado)'!$C$3:$C$602,MATCH(Q$4&amp;"|"&amp;7,'Cronograma (calculado)'!$N$3:$N$602,0)),"")</f>
        <v/>
      </c>
      <c r="R32" s="36" t="str">
        <f aca="false">IFERROR(INDEX('Cronograma (calculado)'!$C$3:$C$602,MATCH(R$4&amp;"|"&amp;7,'Cronograma (calculado)'!$N$3:$N$602,0)),"")</f>
        <v/>
      </c>
      <c r="S32" s="37" t="str">
        <f aca="false">IFERROR(INDEX('Cronograma (calculado)'!$C$3:$C$602,MATCH(S$4&amp;"|"&amp;7,'Cronograma (calculado)'!$N$3:$N$602,0)),"")</f>
        <v/>
      </c>
      <c r="T32" s="36" t="str">
        <f aca="false">IFERROR(INDEX('Cronograma (calculado)'!$C$3:$C$602,MATCH(T$4&amp;"|"&amp;7,'Cronograma (calculado)'!$N$3:$N$602,0)),"")</f>
        <v/>
      </c>
      <c r="U32" s="37" t="str">
        <f aca="false">IFERROR(INDEX('Cronograma (calculado)'!$C$3:$C$602,MATCH(U$4&amp;"|"&amp;7,'Cronograma (calculado)'!$N$3:$N$602,0)),"")</f>
        <v/>
      </c>
      <c r="V32" s="36" t="str">
        <f aca="false">IFERROR(INDEX('Cronograma (calculado)'!$C$3:$C$602,MATCH(V$4&amp;"|"&amp;7,'Cronograma (calculado)'!$N$3:$N$602,0)),"")</f>
        <v/>
      </c>
      <c r="W32" s="37" t="str">
        <f aca="false">IFERROR(INDEX('Cronograma (calculado)'!$C$3:$C$602,MATCH(W$4&amp;"|"&amp;7,'Cronograma (calculado)'!$N$3:$N$602,0)),"")</f>
        <v/>
      </c>
      <c r="X32" s="36" t="str">
        <f aca="false">IFERROR(INDEX('Cronograma (calculado)'!$C$3:$C$602,MATCH(X$4&amp;"|"&amp;7,'Cronograma (calculado)'!$N$3:$N$602,0)),"")</f>
        <v/>
      </c>
      <c r="Y32" s="37" t="str">
        <f aca="false">IFERROR(INDEX('Cronograma (calculado)'!$C$3:$C$602,MATCH(Y$4&amp;"|"&amp;7,'Cronograma (calculado)'!$N$3:$N$602,0)),"")</f>
        <v/>
      </c>
      <c r="Z32" s="36" t="str">
        <f aca="false">IFERROR(INDEX('Cronograma (calculado)'!$C$3:$C$602,MATCH(Z$4&amp;"|"&amp;7,'Cronograma (calculado)'!$N$3:$N$602,0)),"")</f>
        <v/>
      </c>
      <c r="AA32" s="37" t="str">
        <f aca="false">IFERROR(INDEX('Cronograma (calculado)'!$C$3:$C$602,MATCH(AA$4&amp;"|"&amp;7,'Cronograma (calculado)'!$N$3:$N$602,0)),"")</f>
        <v/>
      </c>
      <c r="AB32" s="36" t="str">
        <f aca="false">IFERROR(INDEX('Cronograma (calculado)'!$C$3:$C$602,MATCH(AB$4&amp;"|"&amp;7,'Cronograma (calculado)'!$N$3:$N$602,0)),"")</f>
        <v/>
      </c>
      <c r="AC32" s="37" t="str">
        <f aca="false">IFERROR(INDEX('Cronograma (calculado)'!$C$3:$C$602,MATCH(AC$4&amp;"|"&amp;7,'Cronograma (calculado)'!$N$3:$N$602,0)),"")</f>
        <v/>
      </c>
    </row>
    <row r="33" customFormat="false" ht="25.5" hidden="false" customHeight="true" outlineLevel="0" collapsed="false">
      <c r="B33" s="38" t="str">
        <f aca="false">IFERROR(INDEX('Cronograma (calculado)'!$E$3:$E$602,MATCH(B$4&amp;"|"&amp;7,'Cronograma (calculado)'!$N$3:$N$602,0)),"")</f>
        <v/>
      </c>
      <c r="C33" s="39" t="str">
        <f aca="false">IFERROR(INDEX('Cronograma (calculado)'!$E$3:$E$602,MATCH(C$4&amp;"|"&amp;7,'Cronograma (calculado)'!$N$3:$N$602,0)),"")</f>
        <v/>
      </c>
      <c r="D33" s="38" t="str">
        <f aca="false">IFERROR(INDEX('Cronograma (calculado)'!$E$3:$E$602,MATCH(D$4&amp;"|"&amp;7,'Cronograma (calculado)'!$N$3:$N$602,0)),"")</f>
        <v/>
      </c>
      <c r="E33" s="39" t="str">
        <f aca="false">IFERROR(INDEX('Cronograma (calculado)'!$E$3:$E$602,MATCH(E$4&amp;"|"&amp;7,'Cronograma (calculado)'!$N$3:$N$602,0)),"")</f>
        <v/>
      </c>
      <c r="F33" s="38" t="str">
        <f aca="false">IFERROR(INDEX('Cronograma (calculado)'!$E$3:$E$602,MATCH(F$4&amp;"|"&amp;7,'Cronograma (calculado)'!$N$3:$N$602,0)),"")</f>
        <v/>
      </c>
      <c r="G33" s="39" t="str">
        <f aca="false">IFERROR(INDEX('Cronograma (calculado)'!$E$3:$E$602,MATCH(G$4&amp;"|"&amp;7,'Cronograma (calculado)'!$N$3:$N$602,0)),"")</f>
        <v/>
      </c>
      <c r="H33" s="38" t="str">
        <f aca="false">IFERROR(INDEX('Cronograma (calculado)'!$E$3:$E$602,MATCH(H$4&amp;"|"&amp;7,'Cronograma (calculado)'!$N$3:$N$602,0)),"")</f>
        <v/>
      </c>
      <c r="I33" s="39" t="str">
        <f aca="false">IFERROR(INDEX('Cronograma (calculado)'!$E$3:$E$602,MATCH(I$4&amp;"|"&amp;7,'Cronograma (calculado)'!$N$3:$N$602,0)),"")</f>
        <v/>
      </c>
      <c r="J33" s="38" t="str">
        <f aca="false">IFERROR(INDEX('Cronograma (calculado)'!$E$3:$E$602,MATCH(J$4&amp;"|"&amp;7,'Cronograma (calculado)'!$N$3:$N$602,0)),"")</f>
        <v/>
      </c>
      <c r="K33" s="39" t="str">
        <f aca="false">IFERROR(INDEX('Cronograma (calculado)'!$E$3:$E$602,MATCH(K$4&amp;"|"&amp;7,'Cronograma (calculado)'!$N$3:$N$602,0)),"")</f>
        <v/>
      </c>
      <c r="L33" s="38" t="str">
        <f aca="false">IFERROR(INDEX('Cronograma (calculado)'!$E$3:$E$602,MATCH(L$4&amp;"|"&amp;7,'Cronograma (calculado)'!$N$3:$N$602,0)),"")</f>
        <v/>
      </c>
      <c r="M33" s="39" t="str">
        <f aca="false">IFERROR(INDEX('Cronograma (calculado)'!$E$3:$E$602,MATCH(M$4&amp;"|"&amp;7,'Cronograma (calculado)'!$N$3:$N$602,0)),"")</f>
        <v/>
      </c>
      <c r="N33" s="38" t="str">
        <f aca="false">IFERROR(INDEX('Cronograma (calculado)'!$E$3:$E$602,MATCH(N$4&amp;"|"&amp;7,'Cronograma (calculado)'!$N$3:$N$602,0)),"")</f>
        <v/>
      </c>
      <c r="O33" s="39" t="str">
        <f aca="false">IFERROR(INDEX('Cronograma (calculado)'!$E$3:$E$602,MATCH(O$4&amp;"|"&amp;7,'Cronograma (calculado)'!$N$3:$N$602,0)),"")</f>
        <v/>
      </c>
      <c r="P33" s="38" t="str">
        <f aca="false">IFERROR(INDEX('Cronograma (calculado)'!$E$3:$E$602,MATCH(P$4&amp;"|"&amp;7,'Cronograma (calculado)'!$N$3:$N$602,0)),"")</f>
        <v/>
      </c>
      <c r="Q33" s="39" t="str">
        <f aca="false">IFERROR(INDEX('Cronograma (calculado)'!$E$3:$E$602,MATCH(Q$4&amp;"|"&amp;7,'Cronograma (calculado)'!$N$3:$N$602,0)),"")</f>
        <v/>
      </c>
      <c r="R33" s="38" t="str">
        <f aca="false">IFERROR(INDEX('Cronograma (calculado)'!$E$3:$E$602,MATCH(R$4&amp;"|"&amp;7,'Cronograma (calculado)'!$N$3:$N$602,0)),"")</f>
        <v/>
      </c>
      <c r="S33" s="39" t="str">
        <f aca="false">IFERROR(INDEX('Cronograma (calculado)'!$E$3:$E$602,MATCH(S$4&amp;"|"&amp;7,'Cronograma (calculado)'!$N$3:$N$602,0)),"")</f>
        <v/>
      </c>
      <c r="T33" s="38" t="str">
        <f aca="false">IFERROR(INDEX('Cronograma (calculado)'!$E$3:$E$602,MATCH(T$4&amp;"|"&amp;7,'Cronograma (calculado)'!$N$3:$N$602,0)),"")</f>
        <v/>
      </c>
      <c r="U33" s="39" t="str">
        <f aca="false">IFERROR(INDEX('Cronograma (calculado)'!$E$3:$E$602,MATCH(U$4&amp;"|"&amp;7,'Cronograma (calculado)'!$N$3:$N$602,0)),"")</f>
        <v/>
      </c>
      <c r="V33" s="38" t="str">
        <f aca="false">IFERROR(INDEX('Cronograma (calculado)'!$E$3:$E$602,MATCH(V$4&amp;"|"&amp;7,'Cronograma (calculado)'!$N$3:$N$602,0)),"")</f>
        <v/>
      </c>
      <c r="W33" s="39" t="str">
        <f aca="false">IFERROR(INDEX('Cronograma (calculado)'!$E$3:$E$602,MATCH(W$4&amp;"|"&amp;7,'Cronograma (calculado)'!$N$3:$N$602,0)),"")</f>
        <v/>
      </c>
      <c r="X33" s="38" t="str">
        <f aca="false">IFERROR(INDEX('Cronograma (calculado)'!$E$3:$E$602,MATCH(X$4&amp;"|"&amp;7,'Cronograma (calculado)'!$N$3:$N$602,0)),"")</f>
        <v/>
      </c>
      <c r="Y33" s="39" t="str">
        <f aca="false">IFERROR(INDEX('Cronograma (calculado)'!$E$3:$E$602,MATCH(Y$4&amp;"|"&amp;7,'Cronograma (calculado)'!$N$3:$N$602,0)),"")</f>
        <v/>
      </c>
      <c r="Z33" s="38" t="str">
        <f aca="false">IFERROR(INDEX('Cronograma (calculado)'!$E$3:$E$602,MATCH(Z$4&amp;"|"&amp;7,'Cronograma (calculado)'!$N$3:$N$602,0)),"")</f>
        <v/>
      </c>
      <c r="AA33" s="39" t="str">
        <f aca="false">IFERROR(INDEX('Cronograma (calculado)'!$E$3:$E$602,MATCH(AA$4&amp;"|"&amp;7,'Cronograma (calculado)'!$N$3:$N$602,0)),"")</f>
        <v/>
      </c>
      <c r="AB33" s="38" t="str">
        <f aca="false">IFERROR(INDEX('Cronograma (calculado)'!$E$3:$E$602,MATCH(AB$4&amp;"|"&amp;7,'Cronograma (calculado)'!$N$3:$N$602,0)),"")</f>
        <v/>
      </c>
      <c r="AC33" s="39" t="str">
        <f aca="false">IFERROR(INDEX('Cronograma (calculado)'!$E$3:$E$602,MATCH(AC$4&amp;"|"&amp;7,'Cronograma (calculado)'!$N$3:$N$602,0)),"")</f>
        <v/>
      </c>
    </row>
    <row r="34" customFormat="false" ht="15" hidden="false" customHeight="true" outlineLevel="0" collapsed="false">
      <c r="B34" s="38" t="str">
        <f aca="false">IFERROR(INDEX('Cronograma (calculado)'!$J$3:$J$602,MATCH(B$4&amp;"|"&amp;7,'Cronograma (calculado)'!$N$3:$N$602,0)),"")</f>
        <v/>
      </c>
      <c r="C34" s="39" t="str">
        <f aca="false">IFERROR(INDEX('Cronograma (calculado)'!$J$3:$J$602,MATCH(C$4&amp;"|"&amp;7,'Cronograma (calculado)'!$N$3:$N$602,0)),"")</f>
        <v/>
      </c>
      <c r="D34" s="38" t="str">
        <f aca="false">IFERROR(INDEX('Cronograma (calculado)'!$J$3:$J$602,MATCH(D$4&amp;"|"&amp;7,'Cronograma (calculado)'!$N$3:$N$602,0)),"")</f>
        <v/>
      </c>
      <c r="E34" s="39" t="str">
        <f aca="false">IFERROR(INDEX('Cronograma (calculado)'!$J$3:$J$602,MATCH(E$4&amp;"|"&amp;7,'Cronograma (calculado)'!$N$3:$N$602,0)),"")</f>
        <v/>
      </c>
      <c r="F34" s="38" t="str">
        <f aca="false">IFERROR(INDEX('Cronograma (calculado)'!$J$3:$J$602,MATCH(F$4&amp;"|"&amp;7,'Cronograma (calculado)'!$N$3:$N$602,0)),"")</f>
        <v/>
      </c>
      <c r="G34" s="39" t="str">
        <f aca="false">IFERROR(INDEX('Cronograma (calculado)'!$J$3:$J$602,MATCH(G$4&amp;"|"&amp;7,'Cronograma (calculado)'!$N$3:$N$602,0)),"")</f>
        <v/>
      </c>
      <c r="H34" s="38" t="str">
        <f aca="false">IFERROR(INDEX('Cronograma (calculado)'!$J$3:$J$602,MATCH(H$4&amp;"|"&amp;7,'Cronograma (calculado)'!$N$3:$N$602,0)),"")</f>
        <v/>
      </c>
      <c r="I34" s="39" t="str">
        <f aca="false">IFERROR(INDEX('Cronograma (calculado)'!$J$3:$J$602,MATCH(I$4&amp;"|"&amp;7,'Cronograma (calculado)'!$N$3:$N$602,0)),"")</f>
        <v/>
      </c>
      <c r="J34" s="38" t="str">
        <f aca="false">IFERROR(INDEX('Cronograma (calculado)'!$J$3:$J$602,MATCH(J$4&amp;"|"&amp;7,'Cronograma (calculado)'!$N$3:$N$602,0)),"")</f>
        <v/>
      </c>
      <c r="K34" s="39" t="str">
        <f aca="false">IFERROR(INDEX('Cronograma (calculado)'!$J$3:$J$602,MATCH(K$4&amp;"|"&amp;7,'Cronograma (calculado)'!$N$3:$N$602,0)),"")</f>
        <v/>
      </c>
      <c r="L34" s="38" t="str">
        <f aca="false">IFERROR(INDEX('Cronograma (calculado)'!$J$3:$J$602,MATCH(L$4&amp;"|"&amp;7,'Cronograma (calculado)'!$N$3:$N$602,0)),"")</f>
        <v/>
      </c>
      <c r="M34" s="39" t="str">
        <f aca="false">IFERROR(INDEX('Cronograma (calculado)'!$J$3:$J$602,MATCH(M$4&amp;"|"&amp;7,'Cronograma (calculado)'!$N$3:$N$602,0)),"")</f>
        <v/>
      </c>
      <c r="N34" s="38" t="str">
        <f aca="false">IFERROR(INDEX('Cronograma (calculado)'!$J$3:$J$602,MATCH(N$4&amp;"|"&amp;7,'Cronograma (calculado)'!$N$3:$N$602,0)),"")</f>
        <v/>
      </c>
      <c r="O34" s="39" t="str">
        <f aca="false">IFERROR(INDEX('Cronograma (calculado)'!$J$3:$J$602,MATCH(O$4&amp;"|"&amp;7,'Cronograma (calculado)'!$N$3:$N$602,0)),"")</f>
        <v/>
      </c>
      <c r="P34" s="38" t="str">
        <f aca="false">IFERROR(INDEX('Cronograma (calculado)'!$J$3:$J$602,MATCH(P$4&amp;"|"&amp;7,'Cronograma (calculado)'!$N$3:$N$602,0)),"")</f>
        <v/>
      </c>
      <c r="Q34" s="39" t="str">
        <f aca="false">IFERROR(INDEX('Cronograma (calculado)'!$J$3:$J$602,MATCH(Q$4&amp;"|"&amp;7,'Cronograma (calculado)'!$N$3:$N$602,0)),"")</f>
        <v/>
      </c>
      <c r="R34" s="38" t="str">
        <f aca="false">IFERROR(INDEX('Cronograma (calculado)'!$J$3:$J$602,MATCH(R$4&amp;"|"&amp;7,'Cronograma (calculado)'!$N$3:$N$602,0)),"")</f>
        <v/>
      </c>
      <c r="S34" s="39" t="str">
        <f aca="false">IFERROR(INDEX('Cronograma (calculado)'!$J$3:$J$602,MATCH(S$4&amp;"|"&amp;7,'Cronograma (calculado)'!$N$3:$N$602,0)),"")</f>
        <v/>
      </c>
      <c r="T34" s="38" t="str">
        <f aca="false">IFERROR(INDEX('Cronograma (calculado)'!$J$3:$J$602,MATCH(T$4&amp;"|"&amp;7,'Cronograma (calculado)'!$N$3:$N$602,0)),"")</f>
        <v/>
      </c>
      <c r="U34" s="39" t="str">
        <f aca="false">IFERROR(INDEX('Cronograma (calculado)'!$J$3:$J$602,MATCH(U$4&amp;"|"&amp;7,'Cronograma (calculado)'!$N$3:$N$602,0)),"")</f>
        <v/>
      </c>
      <c r="V34" s="38" t="str">
        <f aca="false">IFERROR(INDEX('Cronograma (calculado)'!$J$3:$J$602,MATCH(V$4&amp;"|"&amp;7,'Cronograma (calculado)'!$N$3:$N$602,0)),"")</f>
        <v/>
      </c>
      <c r="W34" s="39" t="str">
        <f aca="false">IFERROR(INDEX('Cronograma (calculado)'!$J$3:$J$602,MATCH(W$4&amp;"|"&amp;7,'Cronograma (calculado)'!$N$3:$N$602,0)),"")</f>
        <v/>
      </c>
      <c r="X34" s="38" t="str">
        <f aca="false">IFERROR(INDEX('Cronograma (calculado)'!$J$3:$J$602,MATCH(X$4&amp;"|"&amp;7,'Cronograma (calculado)'!$N$3:$N$602,0)),"")</f>
        <v/>
      </c>
      <c r="Y34" s="39" t="str">
        <f aca="false">IFERROR(INDEX('Cronograma (calculado)'!$J$3:$J$602,MATCH(Y$4&amp;"|"&amp;7,'Cronograma (calculado)'!$N$3:$N$602,0)),"")</f>
        <v/>
      </c>
      <c r="Z34" s="38" t="str">
        <f aca="false">IFERROR(INDEX('Cronograma (calculado)'!$J$3:$J$602,MATCH(Z$4&amp;"|"&amp;7,'Cronograma (calculado)'!$N$3:$N$602,0)),"")</f>
        <v/>
      </c>
      <c r="AA34" s="39" t="str">
        <f aca="false">IFERROR(INDEX('Cronograma (calculado)'!$J$3:$J$602,MATCH(AA$4&amp;"|"&amp;7,'Cronograma (calculado)'!$N$3:$N$602,0)),"")</f>
        <v/>
      </c>
      <c r="AB34" s="38" t="str">
        <f aca="false">IFERROR(INDEX('Cronograma (calculado)'!$J$3:$J$602,MATCH(AB$4&amp;"|"&amp;7,'Cronograma (calculado)'!$N$3:$N$602,0)),"")</f>
        <v/>
      </c>
      <c r="AC34" s="39" t="str">
        <f aca="false">IFERROR(INDEX('Cronograma (calculado)'!$J$3:$J$602,MATCH(AC$4&amp;"|"&amp;7,'Cronograma (calculado)'!$N$3:$N$602,0)),"")</f>
        <v/>
      </c>
    </row>
    <row r="35" customFormat="false" ht="4.5" hidden="false" customHeight="true" outlineLevel="0" collapsed="false"/>
    <row r="36" customFormat="false" ht="15" hidden="false" customHeight="true" outlineLevel="0" collapsed="false">
      <c r="B36" s="37" t="str">
        <f aca="false">IFERROR(INDEX('Cronograma (calculado)'!$C$3:$C$602,MATCH(B$4&amp;"|"&amp;8,'Cronograma (calculado)'!$N$3:$N$602,0)),"")</f>
        <v/>
      </c>
      <c r="C36" s="36" t="str">
        <f aca="false">IFERROR(INDEX('Cronograma (calculado)'!$C$3:$C$602,MATCH(C$4&amp;"|"&amp;8,'Cronograma (calculado)'!$N$3:$N$602,0)),"")</f>
        <v/>
      </c>
      <c r="D36" s="37" t="str">
        <f aca="false">IFERROR(INDEX('Cronograma (calculado)'!$C$3:$C$602,MATCH(D$4&amp;"|"&amp;8,'Cronograma (calculado)'!$N$3:$N$602,0)),"")</f>
        <v/>
      </c>
      <c r="E36" s="36" t="str">
        <f aca="false">IFERROR(INDEX('Cronograma (calculado)'!$C$3:$C$602,MATCH(E$4&amp;"|"&amp;8,'Cronograma (calculado)'!$N$3:$N$602,0)),"")</f>
        <v/>
      </c>
      <c r="F36" s="37" t="str">
        <f aca="false">IFERROR(INDEX('Cronograma (calculado)'!$C$3:$C$602,MATCH(F$4&amp;"|"&amp;8,'Cronograma (calculado)'!$N$3:$N$602,0)),"")</f>
        <v/>
      </c>
      <c r="G36" s="36" t="str">
        <f aca="false">IFERROR(INDEX('Cronograma (calculado)'!$C$3:$C$602,MATCH(G$4&amp;"|"&amp;8,'Cronograma (calculado)'!$N$3:$N$602,0)),"")</f>
        <v/>
      </c>
      <c r="H36" s="37" t="str">
        <f aca="false">IFERROR(INDEX('Cronograma (calculado)'!$C$3:$C$602,MATCH(H$4&amp;"|"&amp;8,'Cronograma (calculado)'!$N$3:$N$602,0)),"")</f>
        <v/>
      </c>
      <c r="I36" s="36" t="str">
        <f aca="false">IFERROR(INDEX('Cronograma (calculado)'!$C$3:$C$602,MATCH(I$4&amp;"|"&amp;8,'Cronograma (calculado)'!$N$3:$N$602,0)),"")</f>
        <v/>
      </c>
      <c r="J36" s="37" t="str">
        <f aca="false">IFERROR(INDEX('Cronograma (calculado)'!$C$3:$C$602,MATCH(J$4&amp;"|"&amp;8,'Cronograma (calculado)'!$N$3:$N$602,0)),"")</f>
        <v/>
      </c>
      <c r="K36" s="36" t="str">
        <f aca="false">IFERROR(INDEX('Cronograma (calculado)'!$C$3:$C$602,MATCH(K$4&amp;"|"&amp;8,'Cronograma (calculado)'!$N$3:$N$602,0)),"")</f>
        <v/>
      </c>
      <c r="L36" s="37" t="str">
        <f aca="false">IFERROR(INDEX('Cronograma (calculado)'!$C$3:$C$602,MATCH(L$4&amp;"|"&amp;8,'Cronograma (calculado)'!$N$3:$N$602,0)),"")</f>
        <v/>
      </c>
      <c r="M36" s="36" t="str">
        <f aca="false">IFERROR(INDEX('Cronograma (calculado)'!$C$3:$C$602,MATCH(M$4&amp;"|"&amp;8,'Cronograma (calculado)'!$N$3:$N$602,0)),"")</f>
        <v/>
      </c>
      <c r="N36" s="37" t="str">
        <f aca="false">IFERROR(INDEX('Cronograma (calculado)'!$C$3:$C$602,MATCH(N$4&amp;"|"&amp;8,'Cronograma (calculado)'!$N$3:$N$602,0)),"")</f>
        <v/>
      </c>
      <c r="O36" s="36" t="str">
        <f aca="false">IFERROR(INDEX('Cronograma (calculado)'!$C$3:$C$602,MATCH(O$4&amp;"|"&amp;8,'Cronograma (calculado)'!$N$3:$N$602,0)),"")</f>
        <v/>
      </c>
      <c r="P36" s="37" t="str">
        <f aca="false">IFERROR(INDEX('Cronograma (calculado)'!$C$3:$C$602,MATCH(P$4&amp;"|"&amp;8,'Cronograma (calculado)'!$N$3:$N$602,0)),"")</f>
        <v/>
      </c>
      <c r="Q36" s="36" t="str">
        <f aca="false">IFERROR(INDEX('Cronograma (calculado)'!$C$3:$C$602,MATCH(Q$4&amp;"|"&amp;8,'Cronograma (calculado)'!$N$3:$N$602,0)),"")</f>
        <v/>
      </c>
      <c r="R36" s="37" t="str">
        <f aca="false">IFERROR(INDEX('Cronograma (calculado)'!$C$3:$C$602,MATCH(R$4&amp;"|"&amp;8,'Cronograma (calculado)'!$N$3:$N$602,0)),"")</f>
        <v/>
      </c>
      <c r="S36" s="36" t="str">
        <f aca="false">IFERROR(INDEX('Cronograma (calculado)'!$C$3:$C$602,MATCH(S$4&amp;"|"&amp;8,'Cronograma (calculado)'!$N$3:$N$602,0)),"")</f>
        <v/>
      </c>
      <c r="T36" s="37" t="str">
        <f aca="false">IFERROR(INDEX('Cronograma (calculado)'!$C$3:$C$602,MATCH(T$4&amp;"|"&amp;8,'Cronograma (calculado)'!$N$3:$N$602,0)),"")</f>
        <v/>
      </c>
      <c r="U36" s="36" t="str">
        <f aca="false">IFERROR(INDEX('Cronograma (calculado)'!$C$3:$C$602,MATCH(U$4&amp;"|"&amp;8,'Cronograma (calculado)'!$N$3:$N$602,0)),"")</f>
        <v/>
      </c>
      <c r="V36" s="37" t="str">
        <f aca="false">IFERROR(INDEX('Cronograma (calculado)'!$C$3:$C$602,MATCH(V$4&amp;"|"&amp;8,'Cronograma (calculado)'!$N$3:$N$602,0)),"")</f>
        <v/>
      </c>
      <c r="W36" s="36" t="str">
        <f aca="false">IFERROR(INDEX('Cronograma (calculado)'!$C$3:$C$602,MATCH(W$4&amp;"|"&amp;8,'Cronograma (calculado)'!$N$3:$N$602,0)),"")</f>
        <v/>
      </c>
      <c r="X36" s="37" t="str">
        <f aca="false">IFERROR(INDEX('Cronograma (calculado)'!$C$3:$C$602,MATCH(X$4&amp;"|"&amp;8,'Cronograma (calculado)'!$N$3:$N$602,0)),"")</f>
        <v/>
      </c>
      <c r="Y36" s="36" t="str">
        <f aca="false">IFERROR(INDEX('Cronograma (calculado)'!$C$3:$C$602,MATCH(Y$4&amp;"|"&amp;8,'Cronograma (calculado)'!$N$3:$N$602,0)),"")</f>
        <v/>
      </c>
      <c r="Z36" s="37" t="str">
        <f aca="false">IFERROR(INDEX('Cronograma (calculado)'!$C$3:$C$602,MATCH(Z$4&amp;"|"&amp;8,'Cronograma (calculado)'!$N$3:$N$602,0)),"")</f>
        <v/>
      </c>
      <c r="AA36" s="36" t="str">
        <f aca="false">IFERROR(INDEX('Cronograma (calculado)'!$C$3:$C$602,MATCH(AA$4&amp;"|"&amp;8,'Cronograma (calculado)'!$N$3:$N$602,0)),"")</f>
        <v/>
      </c>
      <c r="AB36" s="37" t="str">
        <f aca="false">IFERROR(INDEX('Cronograma (calculado)'!$C$3:$C$602,MATCH(AB$4&amp;"|"&amp;8,'Cronograma (calculado)'!$N$3:$N$602,0)),"")</f>
        <v/>
      </c>
      <c r="AC36" s="36" t="str">
        <f aca="false">IFERROR(INDEX('Cronograma (calculado)'!$C$3:$C$602,MATCH(AC$4&amp;"|"&amp;8,'Cronograma (calculado)'!$N$3:$N$602,0)),"")</f>
        <v/>
      </c>
    </row>
    <row r="37" customFormat="false" ht="25.5" hidden="false" customHeight="true" outlineLevel="0" collapsed="false">
      <c r="B37" s="39" t="str">
        <f aca="false">IFERROR(INDEX('Cronograma (calculado)'!$E$3:$E$602,MATCH(B$4&amp;"|"&amp;8,'Cronograma (calculado)'!$N$3:$N$602,0)),"")</f>
        <v/>
      </c>
      <c r="C37" s="38" t="str">
        <f aca="false">IFERROR(INDEX('Cronograma (calculado)'!$E$3:$E$602,MATCH(C$4&amp;"|"&amp;8,'Cronograma (calculado)'!$N$3:$N$602,0)),"")</f>
        <v/>
      </c>
      <c r="D37" s="39" t="str">
        <f aca="false">IFERROR(INDEX('Cronograma (calculado)'!$E$3:$E$602,MATCH(D$4&amp;"|"&amp;8,'Cronograma (calculado)'!$N$3:$N$602,0)),"")</f>
        <v/>
      </c>
      <c r="E37" s="38" t="str">
        <f aca="false">IFERROR(INDEX('Cronograma (calculado)'!$E$3:$E$602,MATCH(E$4&amp;"|"&amp;8,'Cronograma (calculado)'!$N$3:$N$602,0)),"")</f>
        <v/>
      </c>
      <c r="F37" s="39" t="str">
        <f aca="false">IFERROR(INDEX('Cronograma (calculado)'!$E$3:$E$602,MATCH(F$4&amp;"|"&amp;8,'Cronograma (calculado)'!$N$3:$N$602,0)),"")</f>
        <v/>
      </c>
      <c r="G37" s="38" t="str">
        <f aca="false">IFERROR(INDEX('Cronograma (calculado)'!$E$3:$E$602,MATCH(G$4&amp;"|"&amp;8,'Cronograma (calculado)'!$N$3:$N$602,0)),"")</f>
        <v/>
      </c>
      <c r="H37" s="39" t="str">
        <f aca="false">IFERROR(INDEX('Cronograma (calculado)'!$E$3:$E$602,MATCH(H$4&amp;"|"&amp;8,'Cronograma (calculado)'!$N$3:$N$602,0)),"")</f>
        <v/>
      </c>
      <c r="I37" s="38" t="str">
        <f aca="false">IFERROR(INDEX('Cronograma (calculado)'!$E$3:$E$602,MATCH(I$4&amp;"|"&amp;8,'Cronograma (calculado)'!$N$3:$N$602,0)),"")</f>
        <v/>
      </c>
      <c r="J37" s="39" t="str">
        <f aca="false">IFERROR(INDEX('Cronograma (calculado)'!$E$3:$E$602,MATCH(J$4&amp;"|"&amp;8,'Cronograma (calculado)'!$N$3:$N$602,0)),"")</f>
        <v/>
      </c>
      <c r="K37" s="38" t="str">
        <f aca="false">IFERROR(INDEX('Cronograma (calculado)'!$E$3:$E$602,MATCH(K$4&amp;"|"&amp;8,'Cronograma (calculado)'!$N$3:$N$602,0)),"")</f>
        <v/>
      </c>
      <c r="L37" s="39" t="str">
        <f aca="false">IFERROR(INDEX('Cronograma (calculado)'!$E$3:$E$602,MATCH(L$4&amp;"|"&amp;8,'Cronograma (calculado)'!$N$3:$N$602,0)),"")</f>
        <v/>
      </c>
      <c r="M37" s="38" t="str">
        <f aca="false">IFERROR(INDEX('Cronograma (calculado)'!$E$3:$E$602,MATCH(M$4&amp;"|"&amp;8,'Cronograma (calculado)'!$N$3:$N$602,0)),"")</f>
        <v/>
      </c>
      <c r="N37" s="39" t="str">
        <f aca="false">IFERROR(INDEX('Cronograma (calculado)'!$E$3:$E$602,MATCH(N$4&amp;"|"&amp;8,'Cronograma (calculado)'!$N$3:$N$602,0)),"")</f>
        <v/>
      </c>
      <c r="O37" s="38" t="str">
        <f aca="false">IFERROR(INDEX('Cronograma (calculado)'!$E$3:$E$602,MATCH(O$4&amp;"|"&amp;8,'Cronograma (calculado)'!$N$3:$N$602,0)),"")</f>
        <v/>
      </c>
      <c r="P37" s="39" t="str">
        <f aca="false">IFERROR(INDEX('Cronograma (calculado)'!$E$3:$E$602,MATCH(P$4&amp;"|"&amp;8,'Cronograma (calculado)'!$N$3:$N$602,0)),"")</f>
        <v/>
      </c>
      <c r="Q37" s="38" t="str">
        <f aca="false">IFERROR(INDEX('Cronograma (calculado)'!$E$3:$E$602,MATCH(Q$4&amp;"|"&amp;8,'Cronograma (calculado)'!$N$3:$N$602,0)),"")</f>
        <v/>
      </c>
      <c r="R37" s="39" t="str">
        <f aca="false">IFERROR(INDEX('Cronograma (calculado)'!$E$3:$E$602,MATCH(R$4&amp;"|"&amp;8,'Cronograma (calculado)'!$N$3:$N$602,0)),"")</f>
        <v/>
      </c>
      <c r="S37" s="38" t="str">
        <f aca="false">IFERROR(INDEX('Cronograma (calculado)'!$E$3:$E$602,MATCH(S$4&amp;"|"&amp;8,'Cronograma (calculado)'!$N$3:$N$602,0)),"")</f>
        <v/>
      </c>
      <c r="T37" s="39" t="str">
        <f aca="false">IFERROR(INDEX('Cronograma (calculado)'!$E$3:$E$602,MATCH(T$4&amp;"|"&amp;8,'Cronograma (calculado)'!$N$3:$N$602,0)),"")</f>
        <v/>
      </c>
      <c r="U37" s="38" t="str">
        <f aca="false">IFERROR(INDEX('Cronograma (calculado)'!$E$3:$E$602,MATCH(U$4&amp;"|"&amp;8,'Cronograma (calculado)'!$N$3:$N$602,0)),"")</f>
        <v/>
      </c>
      <c r="V37" s="39" t="str">
        <f aca="false">IFERROR(INDEX('Cronograma (calculado)'!$E$3:$E$602,MATCH(V$4&amp;"|"&amp;8,'Cronograma (calculado)'!$N$3:$N$602,0)),"")</f>
        <v/>
      </c>
      <c r="W37" s="38" t="str">
        <f aca="false">IFERROR(INDEX('Cronograma (calculado)'!$E$3:$E$602,MATCH(W$4&amp;"|"&amp;8,'Cronograma (calculado)'!$N$3:$N$602,0)),"")</f>
        <v/>
      </c>
      <c r="X37" s="39" t="str">
        <f aca="false">IFERROR(INDEX('Cronograma (calculado)'!$E$3:$E$602,MATCH(X$4&amp;"|"&amp;8,'Cronograma (calculado)'!$N$3:$N$602,0)),"")</f>
        <v/>
      </c>
      <c r="Y37" s="38" t="str">
        <f aca="false">IFERROR(INDEX('Cronograma (calculado)'!$E$3:$E$602,MATCH(Y$4&amp;"|"&amp;8,'Cronograma (calculado)'!$N$3:$N$602,0)),"")</f>
        <v/>
      </c>
      <c r="Z37" s="39" t="str">
        <f aca="false">IFERROR(INDEX('Cronograma (calculado)'!$E$3:$E$602,MATCH(Z$4&amp;"|"&amp;8,'Cronograma (calculado)'!$N$3:$N$602,0)),"")</f>
        <v/>
      </c>
      <c r="AA37" s="38" t="str">
        <f aca="false">IFERROR(INDEX('Cronograma (calculado)'!$E$3:$E$602,MATCH(AA$4&amp;"|"&amp;8,'Cronograma (calculado)'!$N$3:$N$602,0)),"")</f>
        <v/>
      </c>
      <c r="AB37" s="39" t="str">
        <f aca="false">IFERROR(INDEX('Cronograma (calculado)'!$E$3:$E$602,MATCH(AB$4&amp;"|"&amp;8,'Cronograma (calculado)'!$N$3:$N$602,0)),"")</f>
        <v/>
      </c>
      <c r="AC37" s="38" t="str">
        <f aca="false">IFERROR(INDEX('Cronograma (calculado)'!$E$3:$E$602,MATCH(AC$4&amp;"|"&amp;8,'Cronograma (calculado)'!$N$3:$N$602,0)),"")</f>
        <v/>
      </c>
    </row>
    <row r="38" customFormat="false" ht="15" hidden="false" customHeight="true" outlineLevel="0" collapsed="false">
      <c r="B38" s="39" t="str">
        <f aca="false">IFERROR(INDEX('Cronograma (calculado)'!$J$3:$J$602,MATCH(B$4&amp;"|"&amp;8,'Cronograma (calculado)'!$N$3:$N$602,0)),"")</f>
        <v/>
      </c>
      <c r="C38" s="38" t="str">
        <f aca="false">IFERROR(INDEX('Cronograma (calculado)'!$J$3:$J$602,MATCH(C$4&amp;"|"&amp;8,'Cronograma (calculado)'!$N$3:$N$602,0)),"")</f>
        <v/>
      </c>
      <c r="D38" s="39" t="str">
        <f aca="false">IFERROR(INDEX('Cronograma (calculado)'!$J$3:$J$602,MATCH(D$4&amp;"|"&amp;8,'Cronograma (calculado)'!$N$3:$N$602,0)),"")</f>
        <v/>
      </c>
      <c r="E38" s="38" t="str">
        <f aca="false">IFERROR(INDEX('Cronograma (calculado)'!$J$3:$J$602,MATCH(E$4&amp;"|"&amp;8,'Cronograma (calculado)'!$N$3:$N$602,0)),"")</f>
        <v/>
      </c>
      <c r="F38" s="39" t="str">
        <f aca="false">IFERROR(INDEX('Cronograma (calculado)'!$J$3:$J$602,MATCH(F$4&amp;"|"&amp;8,'Cronograma (calculado)'!$N$3:$N$602,0)),"")</f>
        <v/>
      </c>
      <c r="G38" s="38" t="str">
        <f aca="false">IFERROR(INDEX('Cronograma (calculado)'!$J$3:$J$602,MATCH(G$4&amp;"|"&amp;8,'Cronograma (calculado)'!$N$3:$N$602,0)),"")</f>
        <v/>
      </c>
      <c r="H38" s="39" t="str">
        <f aca="false">IFERROR(INDEX('Cronograma (calculado)'!$J$3:$J$602,MATCH(H$4&amp;"|"&amp;8,'Cronograma (calculado)'!$N$3:$N$602,0)),"")</f>
        <v/>
      </c>
      <c r="I38" s="38" t="str">
        <f aca="false">IFERROR(INDEX('Cronograma (calculado)'!$J$3:$J$602,MATCH(I$4&amp;"|"&amp;8,'Cronograma (calculado)'!$N$3:$N$602,0)),"")</f>
        <v/>
      </c>
      <c r="J38" s="39" t="str">
        <f aca="false">IFERROR(INDEX('Cronograma (calculado)'!$J$3:$J$602,MATCH(J$4&amp;"|"&amp;8,'Cronograma (calculado)'!$N$3:$N$602,0)),"")</f>
        <v/>
      </c>
      <c r="K38" s="38" t="str">
        <f aca="false">IFERROR(INDEX('Cronograma (calculado)'!$J$3:$J$602,MATCH(K$4&amp;"|"&amp;8,'Cronograma (calculado)'!$N$3:$N$602,0)),"")</f>
        <v/>
      </c>
      <c r="L38" s="39" t="str">
        <f aca="false">IFERROR(INDEX('Cronograma (calculado)'!$J$3:$J$602,MATCH(L$4&amp;"|"&amp;8,'Cronograma (calculado)'!$N$3:$N$602,0)),"")</f>
        <v/>
      </c>
      <c r="M38" s="38" t="str">
        <f aca="false">IFERROR(INDEX('Cronograma (calculado)'!$J$3:$J$602,MATCH(M$4&amp;"|"&amp;8,'Cronograma (calculado)'!$N$3:$N$602,0)),"")</f>
        <v/>
      </c>
      <c r="N38" s="39" t="str">
        <f aca="false">IFERROR(INDEX('Cronograma (calculado)'!$J$3:$J$602,MATCH(N$4&amp;"|"&amp;8,'Cronograma (calculado)'!$N$3:$N$602,0)),"")</f>
        <v/>
      </c>
      <c r="O38" s="38" t="str">
        <f aca="false">IFERROR(INDEX('Cronograma (calculado)'!$J$3:$J$602,MATCH(O$4&amp;"|"&amp;8,'Cronograma (calculado)'!$N$3:$N$602,0)),"")</f>
        <v/>
      </c>
      <c r="P38" s="39" t="str">
        <f aca="false">IFERROR(INDEX('Cronograma (calculado)'!$J$3:$J$602,MATCH(P$4&amp;"|"&amp;8,'Cronograma (calculado)'!$N$3:$N$602,0)),"")</f>
        <v/>
      </c>
      <c r="Q38" s="38" t="str">
        <f aca="false">IFERROR(INDEX('Cronograma (calculado)'!$J$3:$J$602,MATCH(Q$4&amp;"|"&amp;8,'Cronograma (calculado)'!$N$3:$N$602,0)),"")</f>
        <v/>
      </c>
      <c r="R38" s="39" t="str">
        <f aca="false">IFERROR(INDEX('Cronograma (calculado)'!$J$3:$J$602,MATCH(R$4&amp;"|"&amp;8,'Cronograma (calculado)'!$N$3:$N$602,0)),"")</f>
        <v/>
      </c>
      <c r="S38" s="38" t="str">
        <f aca="false">IFERROR(INDEX('Cronograma (calculado)'!$J$3:$J$602,MATCH(S$4&amp;"|"&amp;8,'Cronograma (calculado)'!$N$3:$N$602,0)),"")</f>
        <v/>
      </c>
      <c r="T38" s="39" t="str">
        <f aca="false">IFERROR(INDEX('Cronograma (calculado)'!$J$3:$J$602,MATCH(T$4&amp;"|"&amp;8,'Cronograma (calculado)'!$N$3:$N$602,0)),"")</f>
        <v/>
      </c>
      <c r="U38" s="38" t="str">
        <f aca="false">IFERROR(INDEX('Cronograma (calculado)'!$J$3:$J$602,MATCH(U$4&amp;"|"&amp;8,'Cronograma (calculado)'!$N$3:$N$602,0)),"")</f>
        <v/>
      </c>
      <c r="V38" s="39" t="str">
        <f aca="false">IFERROR(INDEX('Cronograma (calculado)'!$J$3:$J$602,MATCH(V$4&amp;"|"&amp;8,'Cronograma (calculado)'!$N$3:$N$602,0)),"")</f>
        <v/>
      </c>
      <c r="W38" s="38" t="str">
        <f aca="false">IFERROR(INDEX('Cronograma (calculado)'!$J$3:$J$602,MATCH(W$4&amp;"|"&amp;8,'Cronograma (calculado)'!$N$3:$N$602,0)),"")</f>
        <v/>
      </c>
      <c r="X38" s="39" t="str">
        <f aca="false">IFERROR(INDEX('Cronograma (calculado)'!$J$3:$J$602,MATCH(X$4&amp;"|"&amp;8,'Cronograma (calculado)'!$N$3:$N$602,0)),"")</f>
        <v/>
      </c>
      <c r="Y38" s="38" t="str">
        <f aca="false">IFERROR(INDEX('Cronograma (calculado)'!$J$3:$J$602,MATCH(Y$4&amp;"|"&amp;8,'Cronograma (calculado)'!$N$3:$N$602,0)),"")</f>
        <v/>
      </c>
      <c r="Z38" s="39" t="str">
        <f aca="false">IFERROR(INDEX('Cronograma (calculado)'!$J$3:$J$602,MATCH(Z$4&amp;"|"&amp;8,'Cronograma (calculado)'!$N$3:$N$602,0)),"")</f>
        <v/>
      </c>
      <c r="AA38" s="38" t="str">
        <f aca="false">IFERROR(INDEX('Cronograma (calculado)'!$J$3:$J$602,MATCH(AA$4&amp;"|"&amp;8,'Cronograma (calculado)'!$N$3:$N$602,0)),"")</f>
        <v/>
      </c>
      <c r="AB38" s="39" t="str">
        <f aca="false">IFERROR(INDEX('Cronograma (calculado)'!$J$3:$J$602,MATCH(AB$4&amp;"|"&amp;8,'Cronograma (calculado)'!$N$3:$N$602,0)),"")</f>
        <v/>
      </c>
      <c r="AC38" s="38" t="str">
        <f aca="false">IFERROR(INDEX('Cronograma (calculado)'!$J$3:$J$602,MATCH(AC$4&amp;"|"&amp;8,'Cronograma (calculado)'!$N$3:$N$602,0)),"")</f>
        <v/>
      </c>
    </row>
    <row r="39" customFormat="false" ht="4.5" hidden="false" customHeight="true" outlineLevel="0" collapsed="false"/>
  </sheetData>
  <sheetProtection sheet="true"/>
  <conditionalFormatting sqref="B8:AC8">
    <cfRule type="expression" priority="2" aboveAverage="0" equalAverage="0" bottom="0" percent="0" rank="0" text="" dxfId="0">
      <formula>B$8&lt;&gt;""</formula>
    </cfRule>
  </conditionalFormatting>
  <conditionalFormatting sqref="B9:AC9">
    <cfRule type="expression" priority="3" aboveAverage="0" equalAverage="0" bottom="0" percent="0" rank="0" text="" dxfId="1">
      <formula>B$8&lt;&gt;""</formula>
    </cfRule>
  </conditionalFormatting>
  <conditionalFormatting sqref="B12:AC12">
    <cfRule type="expression" priority="4" aboveAverage="0" equalAverage="0" bottom="0" percent="0" rank="0" text="" dxfId="0">
      <formula>B$12&lt;&gt;""</formula>
    </cfRule>
  </conditionalFormatting>
  <conditionalFormatting sqref="B13:AC13">
    <cfRule type="expression" priority="5" aboveAverage="0" equalAverage="0" bottom="0" percent="0" rank="0" text="" dxfId="1">
      <formula>B$12&lt;&gt;""</formula>
    </cfRule>
  </conditionalFormatting>
  <conditionalFormatting sqref="B16:AC16">
    <cfRule type="expression" priority="6" aboveAverage="0" equalAverage="0" bottom="0" percent="0" rank="0" text="" dxfId="0">
      <formula>B$16&lt;&gt;""</formula>
    </cfRule>
  </conditionalFormatting>
  <conditionalFormatting sqref="B17:AC17">
    <cfRule type="expression" priority="7" aboveAverage="0" equalAverage="0" bottom="0" percent="0" rank="0" text="" dxfId="1">
      <formula>B$16&lt;&gt;""</formula>
    </cfRule>
  </conditionalFormatting>
  <conditionalFormatting sqref="B20:AC20">
    <cfRule type="expression" priority="8" aboveAverage="0" equalAverage="0" bottom="0" percent="0" rank="0" text="" dxfId="0">
      <formula>B$20&lt;&gt;""</formula>
    </cfRule>
  </conditionalFormatting>
  <conditionalFormatting sqref="B21:AC21">
    <cfRule type="expression" priority="9" aboveAverage="0" equalAverage="0" bottom="0" percent="0" rank="0" text="" dxfId="1">
      <formula>B$20&lt;&gt;""</formula>
    </cfRule>
  </conditionalFormatting>
  <conditionalFormatting sqref="B24:AC24">
    <cfRule type="expression" priority="10" aboveAverage="0" equalAverage="0" bottom="0" percent="0" rank="0" text="" dxfId="0">
      <formula>B$24&lt;&gt;""</formula>
    </cfRule>
  </conditionalFormatting>
  <conditionalFormatting sqref="B25:AC25">
    <cfRule type="expression" priority="11" aboveAverage="0" equalAverage="0" bottom="0" percent="0" rank="0" text="" dxfId="1">
      <formula>B$24&lt;&gt;""</formula>
    </cfRule>
  </conditionalFormatting>
  <conditionalFormatting sqref="B28:AC28">
    <cfRule type="expression" priority="12" aboveAverage="0" equalAverage="0" bottom="0" percent="0" rank="0" text="" dxfId="0">
      <formula>B$28&lt;&gt;""</formula>
    </cfRule>
  </conditionalFormatting>
  <conditionalFormatting sqref="B29:AC29">
    <cfRule type="expression" priority="13" aboveAverage="0" equalAverage="0" bottom="0" percent="0" rank="0" text="" dxfId="1">
      <formula>B$28&lt;&gt;""</formula>
    </cfRule>
  </conditionalFormatting>
  <conditionalFormatting sqref="B32:AC32">
    <cfRule type="expression" priority="14" aboveAverage="0" equalAverage="0" bottom="0" percent="0" rank="0" text="" dxfId="0">
      <formula>B$32&lt;&gt;""</formula>
    </cfRule>
  </conditionalFormatting>
  <conditionalFormatting sqref="B33:AC33">
    <cfRule type="expression" priority="15" aboveAverage="0" equalAverage="0" bottom="0" percent="0" rank="0" text="" dxfId="1">
      <formula>B$32&lt;&gt;""</formula>
    </cfRule>
  </conditionalFormatting>
  <conditionalFormatting sqref="B36:AC36">
    <cfRule type="expression" priority="16" aboveAverage="0" equalAverage="0" bottom="0" percent="0" rank="0" text="" dxfId="0">
      <formula>B$36&lt;&gt;""</formula>
    </cfRule>
  </conditionalFormatting>
  <conditionalFormatting sqref="B37:AC37">
    <cfRule type="expression" priority="17" aboveAverage="0" equalAverage="0" bottom="0" percent="0" rank="0" text="" dxfId="1">
      <formula>B$36&lt;&gt;""</formula>
    </cfRule>
  </conditionalFormatting>
  <conditionalFormatting sqref="B10:AC10">
    <cfRule type="cellIs" priority="18" operator="equal" aboveAverage="0" equalAverage="0" bottom="0" percent="0" rank="0" text="" dxfId="2">
      <formula>"Realizada"</formula>
    </cfRule>
    <cfRule type="cellIs" priority="19" operator="equal" aboveAverage="0" equalAverage="0" bottom="0" percent="0" rank="0" text="" dxfId="3">
      <formula>"Atrasada"</formula>
    </cfRule>
    <cfRule type="cellIs" priority="20" operator="equal" aboveAverage="0" equalAverage="0" bottom="0" percent="0" rank="0" text="" dxfId="4">
      <formula>"Agendada"</formula>
    </cfRule>
  </conditionalFormatting>
  <conditionalFormatting sqref="B14:AC14">
    <cfRule type="cellIs" priority="21" operator="equal" aboveAverage="0" equalAverage="0" bottom="0" percent="0" rank="0" text="" dxfId="2">
      <formula>"Realizada"</formula>
    </cfRule>
    <cfRule type="cellIs" priority="22" operator="equal" aboveAverage="0" equalAverage="0" bottom="0" percent="0" rank="0" text="" dxfId="3">
      <formula>"Atrasada"</formula>
    </cfRule>
    <cfRule type="cellIs" priority="23" operator="equal" aboveAverage="0" equalAverage="0" bottom="0" percent="0" rank="0" text="" dxfId="4">
      <formula>"Agendada"</formula>
    </cfRule>
  </conditionalFormatting>
  <conditionalFormatting sqref="B18:AC18">
    <cfRule type="cellIs" priority="24" operator="equal" aboveAverage="0" equalAverage="0" bottom="0" percent="0" rank="0" text="" dxfId="2">
      <formula>"Realizada"</formula>
    </cfRule>
    <cfRule type="cellIs" priority="25" operator="equal" aboveAverage="0" equalAverage="0" bottom="0" percent="0" rank="0" text="" dxfId="3">
      <formula>"Atrasada"</formula>
    </cfRule>
    <cfRule type="cellIs" priority="26" operator="equal" aboveAverage="0" equalAverage="0" bottom="0" percent="0" rank="0" text="" dxfId="4">
      <formula>"Agendada"</formula>
    </cfRule>
  </conditionalFormatting>
  <conditionalFormatting sqref="B22:AC22">
    <cfRule type="cellIs" priority="27" operator="equal" aboveAverage="0" equalAverage="0" bottom="0" percent="0" rank="0" text="" dxfId="2">
      <formula>"Realizada"</formula>
    </cfRule>
    <cfRule type="cellIs" priority="28" operator="equal" aboveAverage="0" equalAverage="0" bottom="0" percent="0" rank="0" text="" dxfId="3">
      <formula>"Atrasada"</formula>
    </cfRule>
    <cfRule type="cellIs" priority="29" operator="equal" aboveAverage="0" equalAverage="0" bottom="0" percent="0" rank="0" text="" dxfId="4">
      <formula>"Agendada"</formula>
    </cfRule>
  </conditionalFormatting>
  <conditionalFormatting sqref="B26:AC26">
    <cfRule type="cellIs" priority="30" operator="equal" aboveAverage="0" equalAverage="0" bottom="0" percent="0" rank="0" text="" dxfId="2">
      <formula>"Realizada"</formula>
    </cfRule>
    <cfRule type="cellIs" priority="31" operator="equal" aboveAverage="0" equalAverage="0" bottom="0" percent="0" rank="0" text="" dxfId="3">
      <formula>"Atrasada"</formula>
    </cfRule>
    <cfRule type="cellIs" priority="32" operator="equal" aboveAverage="0" equalAverage="0" bottom="0" percent="0" rank="0" text="" dxfId="4">
      <formula>"Agendada"</formula>
    </cfRule>
  </conditionalFormatting>
  <conditionalFormatting sqref="B30:AC30">
    <cfRule type="cellIs" priority="33" operator="equal" aboveAverage="0" equalAverage="0" bottom="0" percent="0" rank="0" text="" dxfId="2">
      <formula>"Realizada"</formula>
    </cfRule>
    <cfRule type="cellIs" priority="34" operator="equal" aboveAverage="0" equalAverage="0" bottom="0" percent="0" rank="0" text="" dxfId="3">
      <formula>"Atrasada"</formula>
    </cfRule>
    <cfRule type="cellIs" priority="35" operator="equal" aboveAverage="0" equalAverage="0" bottom="0" percent="0" rank="0" text="" dxfId="4">
      <formula>"Agendada"</formula>
    </cfRule>
  </conditionalFormatting>
  <conditionalFormatting sqref="B34:AC34">
    <cfRule type="cellIs" priority="36" operator="equal" aboveAverage="0" equalAverage="0" bottom="0" percent="0" rank="0" text="" dxfId="2">
      <formula>"Realizada"</formula>
    </cfRule>
    <cfRule type="cellIs" priority="37" operator="equal" aboveAverage="0" equalAverage="0" bottom="0" percent="0" rank="0" text="" dxfId="3">
      <formula>"Atrasada"</formula>
    </cfRule>
    <cfRule type="cellIs" priority="38" operator="equal" aboveAverage="0" equalAverage="0" bottom="0" percent="0" rank="0" text="" dxfId="4">
      <formula>"Agendada"</formula>
    </cfRule>
  </conditionalFormatting>
  <conditionalFormatting sqref="B38:AC38">
    <cfRule type="cellIs" priority="39" operator="equal" aboveAverage="0" equalAverage="0" bottom="0" percent="0" rank="0" text="" dxfId="2">
      <formula>"Realizada"</formula>
    </cfRule>
    <cfRule type="cellIs" priority="40" operator="equal" aboveAverage="0" equalAverage="0" bottom="0" percent="0" rank="0" text="" dxfId="3">
      <formula>"Atrasada"</formula>
    </cfRule>
    <cfRule type="cellIs" priority="41" operator="equal" aboveAverage="0" equalAverage="0" bottom="0" percent="0" rank="0" text="" dxfId="4">
      <formula>"Agendada"</formula>
    </cfRule>
  </conditionalFormatting>
  <printOptions headings="false" gridLines="false" gridLinesSet="true" horizontalCentered="true" verticalCentered="false"/>
  <pageMargins left="0.75" right="0.75" top="1" bottom="1" header="0.511811023622047" footer="0.5"/>
  <pageSetup paperSize="9" scale="7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&amp;L&amp;8 Cronograma de Manutenção Preventiva · Andonize&amp;R&amp;8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2B42"/>
    <pageSetUpPr fitToPage="true"/>
  </sheetPr>
  <dimension ref="A1:N60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2" topLeftCell="C3" activePane="bottomRight" state="frozen"/>
      <selection pane="topLeft" activeCell="A1" activeCellId="0" sqref="A1"/>
      <selection pane="topRight" activeCell="C1" activeCellId="0" sqref="C1"/>
      <selection pane="bottomLeft" activeCell="A3" activeCellId="0" sqref="A3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9"/>
    <col collapsed="false" customWidth="true" hidden="false" outlineLevel="0" max="3" min="3" style="0" width="13"/>
    <col collapsed="false" customWidth="true" hidden="false" outlineLevel="0" max="5" min="4" style="0" width="34"/>
    <col collapsed="false" customWidth="true" hidden="false" outlineLevel="0" max="6" min="6" style="0" width="28"/>
    <col collapsed="false" customWidth="true" hidden="false" outlineLevel="0" max="7" min="7" style="0" width="15"/>
    <col collapsed="false" customWidth="true" hidden="false" outlineLevel="0" max="8" min="8" style="0" width="22"/>
    <col collapsed="false" customWidth="true" hidden="false" outlineLevel="0" max="9" min="9" style="0" width="15"/>
    <col collapsed="false" customWidth="true" hidden="false" outlineLevel="0" max="10" min="10" style="0" width="14"/>
    <col collapsed="false" customWidth="true" hidden="false" outlineLevel="0" max="11" min="11" style="0" width="12"/>
    <col collapsed="false" customWidth="true" hidden="false" outlineLevel="0" max="12" min="12" style="0" width="16"/>
    <col collapsed="false" customWidth="true" hidden="true" outlineLevel="0" max="14" min="13" style="0" width="13"/>
  </cols>
  <sheetData>
    <row r="1" customFormat="false" ht="17.35" hidden="false" customHeight="false" outlineLevel="0" collapsed="false">
      <c r="A1" s="13" t="s">
        <v>118</v>
      </c>
      <c r="D1" s="21" t="s">
        <v>119</v>
      </c>
    </row>
    <row r="2" customFormat="false" ht="30" hidden="false" customHeight="true" outlineLevel="0" collapsed="false">
      <c r="A2" s="22" t="s">
        <v>92</v>
      </c>
      <c r="B2" s="22" t="s">
        <v>120</v>
      </c>
      <c r="C2" s="22" t="s">
        <v>121</v>
      </c>
      <c r="D2" s="22" t="s">
        <v>122</v>
      </c>
      <c r="E2" s="22" t="s">
        <v>123</v>
      </c>
      <c r="F2" s="22" t="s">
        <v>53</v>
      </c>
      <c r="G2" s="22" t="s">
        <v>124</v>
      </c>
      <c r="H2" s="22" t="s">
        <v>98</v>
      </c>
      <c r="I2" s="22" t="s">
        <v>125</v>
      </c>
      <c r="J2" s="22" t="s">
        <v>22</v>
      </c>
      <c r="K2" s="22" t="s">
        <v>126</v>
      </c>
      <c r="L2" s="22" t="s">
        <v>127</v>
      </c>
      <c r="M2" s="22" t="s">
        <v>128</v>
      </c>
      <c r="N2" s="22" t="s">
        <v>129</v>
      </c>
    </row>
    <row r="3" customFormat="false" ht="18" hidden="false" customHeight="true" outlineLevel="0" collapsed="false">
      <c r="A3" s="26" t="n">
        <v>1</v>
      </c>
      <c r="B3" s="26" t="n">
        <v>1</v>
      </c>
      <c r="C3" s="26" t="str">
        <f aca="false">IF(INDEX(Planos!$B$3:$B$27,1)="","",IF(1&gt;INDEX(Planos!$G$3:$G$27,1),"",INDEX(Planos!$B$3:$B$27,1)))</f>
        <v>TM-001</v>
      </c>
      <c r="D3" s="40" t="str">
        <f aca="false">IF($C3="","",IFERROR(INDEX(Ativos!$B$3:$B$42,MATCH($C3,Ativos!$A$3:$A$42,0)),""))</f>
        <v>Torno mecânico universal 1.000 mm</v>
      </c>
      <c r="E3" s="40" t="str">
        <f aca="false">IF($C3="","",INDEX(Planos!$C$3:$C$27,1))</f>
        <v>Preventiva mensal — inspeção geral</v>
      </c>
      <c r="F3" s="40" t="str">
        <f aca="false">IF($C3="","",INDEX(Planos!$D$3:$D$27,1))</f>
        <v>Manutenção preventiva</v>
      </c>
      <c r="G3" s="41" t="n">
        <f aca="false">IF($C3="",0,INDEX(Planos!$F$3:$F$27,1)+(1-1)*INDEX(Planos!$E$3:$E$27,1))</f>
        <v>46086</v>
      </c>
      <c r="H3" s="40" t="str">
        <f aca="false">IF($C3="","",INDEX(Planos!$H$3:$H$27,1))</f>
        <v>Carlos Menezes</v>
      </c>
      <c r="I3" s="41" t="n">
        <f aca="false">IF($C3="","",IF(INDEX(Planos!$J$3:$AG$27,$A3,$B3)=0,"",INDEX(Planos!$J$3:$AG$27,$A3,$B3)))</f>
        <v>46086</v>
      </c>
      <c r="J3" s="26" t="str">
        <f aca="false">IF($C3="","",IF($I3&lt;&gt;"","Realizada",IF($G3&lt;INT(Parâmetros!$C$4),"Atrasada","Agendada")))</f>
        <v>Realizada</v>
      </c>
      <c r="K3" s="42" t="n">
        <f aca="false">IF($C3="","",IF($I3&lt;&gt;"",$I3-$G3,IF($J3="Atrasada",INT(Parâmetros!$C$4)-$G3,"")))</f>
        <v>0</v>
      </c>
      <c r="L3" s="26" t="str">
        <f aca="false">IF($J3&lt;&gt;"Realizada","",IF($K3&lt;=0,"No prazo",IF($K3&lt;=7,"Até 7 dias",IF($K3&lt;=30,"Até 30 dias","Acima de 30"))))</f>
        <v>No prazo</v>
      </c>
      <c r="M3" s="26" t="n">
        <f aca="false">IF($C3="","",COUNTIFS($G$3:$G3,$G3))</f>
        <v>1</v>
      </c>
      <c r="N3" s="26" t="str">
        <f aca="false">IF($C3="","",$G3&amp;"|"&amp;$M3)</f>
        <v>46086|1</v>
      </c>
    </row>
    <row r="4" customFormat="false" ht="18" hidden="false" customHeight="true" outlineLevel="0" collapsed="false">
      <c r="A4" s="26" t="n">
        <v>1</v>
      </c>
      <c r="B4" s="26" t="n">
        <v>2</v>
      </c>
      <c r="C4" s="26" t="str">
        <f aca="false">IF(INDEX(Planos!$B$3:$B$27,1)="","",IF(2&gt;INDEX(Planos!$G$3:$G$27,1),"",INDEX(Planos!$B$3:$B$27,1)))</f>
        <v>TM-001</v>
      </c>
      <c r="D4" s="40" t="str">
        <f aca="false">IF($C4="","",IFERROR(INDEX(Ativos!$B$3:$B$42,MATCH($C4,Ativos!$A$3:$A$42,0)),""))</f>
        <v>Torno mecânico universal 1.000 mm</v>
      </c>
      <c r="E4" s="40" t="str">
        <f aca="false">IF($C4="","",INDEX(Planos!$C$3:$C$27,1))</f>
        <v>Preventiva mensal — inspeção geral</v>
      </c>
      <c r="F4" s="40" t="str">
        <f aca="false">IF($C4="","",INDEX(Planos!$D$3:$D$27,1))</f>
        <v>Manutenção preventiva</v>
      </c>
      <c r="G4" s="41" t="n">
        <f aca="false">IF($C4="",0,INDEX(Planos!$F$3:$F$27,1)+(2-1)*INDEX(Planos!$E$3:$E$27,1))</f>
        <v>46116</v>
      </c>
      <c r="H4" s="40" t="str">
        <f aca="false">IF($C4="","",INDEX(Planos!$H$3:$H$27,1))</f>
        <v>Carlos Menezes</v>
      </c>
      <c r="I4" s="41" t="n">
        <f aca="false">IF($C4="","",IF(INDEX(Planos!$J$3:$AG$27,$A4,$B4)=0,"",INDEX(Planos!$J$3:$AG$27,$A4,$B4)))</f>
        <v>46116</v>
      </c>
      <c r="J4" s="26" t="str">
        <f aca="false">IF($C4="","",IF($I4&lt;&gt;"","Realizada",IF($G4&lt;INT(Parâmetros!$C$4),"Atrasada","Agendada")))</f>
        <v>Realizada</v>
      </c>
      <c r="K4" s="42" t="n">
        <f aca="false">IF($C4="","",IF($I4&lt;&gt;"",$I4-$G4,IF($J4="Atrasada",INT(Parâmetros!$C$4)-$G4,"")))</f>
        <v>0</v>
      </c>
      <c r="L4" s="26" t="str">
        <f aca="false">IF($J4&lt;&gt;"Realizada","",IF($K4&lt;=0,"No prazo",IF($K4&lt;=7,"Até 7 dias",IF($K4&lt;=30,"Até 30 dias","Acima de 30"))))</f>
        <v>No prazo</v>
      </c>
      <c r="M4" s="26" t="n">
        <f aca="false">IF($C4="","",COUNTIFS($G$3:$G4,$G4))</f>
        <v>1</v>
      </c>
      <c r="N4" s="26" t="str">
        <f aca="false">IF($C4="","",$G4&amp;"|"&amp;$M4)</f>
        <v>46116|1</v>
      </c>
    </row>
    <row r="5" customFormat="false" ht="18" hidden="false" customHeight="true" outlineLevel="0" collapsed="false">
      <c r="A5" s="26" t="n">
        <v>1</v>
      </c>
      <c r="B5" s="26" t="n">
        <v>3</v>
      </c>
      <c r="C5" s="26" t="str">
        <f aca="false">IF(INDEX(Planos!$B$3:$B$27,1)="","",IF(3&gt;INDEX(Planos!$G$3:$G$27,1),"",INDEX(Planos!$B$3:$B$27,1)))</f>
        <v>TM-001</v>
      </c>
      <c r="D5" s="40" t="str">
        <f aca="false">IF($C5="","",IFERROR(INDEX(Ativos!$B$3:$B$42,MATCH($C5,Ativos!$A$3:$A$42,0)),""))</f>
        <v>Torno mecânico universal 1.000 mm</v>
      </c>
      <c r="E5" s="40" t="str">
        <f aca="false">IF($C5="","",INDEX(Planos!$C$3:$C$27,1))</f>
        <v>Preventiva mensal — inspeção geral</v>
      </c>
      <c r="F5" s="40" t="str">
        <f aca="false">IF($C5="","",INDEX(Planos!$D$3:$D$27,1))</f>
        <v>Manutenção preventiva</v>
      </c>
      <c r="G5" s="41" t="n">
        <f aca="false">IF($C5="",0,INDEX(Planos!$F$3:$F$27,1)+(3-1)*INDEX(Planos!$E$3:$E$27,1))</f>
        <v>46146</v>
      </c>
      <c r="H5" s="40" t="str">
        <f aca="false">IF($C5="","",INDEX(Planos!$H$3:$H$27,1))</f>
        <v>Carlos Menezes</v>
      </c>
      <c r="I5" s="41" t="n">
        <f aca="false">IF($C5="","",IF(INDEX(Planos!$J$3:$AG$27,$A5,$B5)=0,"",INDEX(Planos!$J$3:$AG$27,$A5,$B5)))</f>
        <v>46148</v>
      </c>
      <c r="J5" s="26" t="str">
        <f aca="false">IF($C5="","",IF($I5&lt;&gt;"","Realizada",IF($G5&lt;INT(Parâmetros!$C$4),"Atrasada","Agendada")))</f>
        <v>Realizada</v>
      </c>
      <c r="K5" s="42" t="n">
        <f aca="false">IF($C5="","",IF($I5&lt;&gt;"",$I5-$G5,IF($J5="Atrasada",INT(Parâmetros!$C$4)-$G5,"")))</f>
        <v>2</v>
      </c>
      <c r="L5" s="26" t="str">
        <f aca="false">IF($J5&lt;&gt;"Realizada","",IF($K5&lt;=0,"No prazo",IF($K5&lt;=7,"Até 7 dias",IF($K5&lt;=30,"Até 30 dias","Acima de 30"))))</f>
        <v>Até 7 dias</v>
      </c>
      <c r="M5" s="26" t="n">
        <f aca="false">IF($C5="","",COUNTIFS($G$3:$G5,$G5))</f>
        <v>1</v>
      </c>
      <c r="N5" s="26" t="str">
        <f aca="false">IF($C5="","",$G5&amp;"|"&amp;$M5)</f>
        <v>46146|1</v>
      </c>
    </row>
    <row r="6" customFormat="false" ht="18" hidden="false" customHeight="true" outlineLevel="0" collapsed="false">
      <c r="A6" s="26" t="n">
        <v>1</v>
      </c>
      <c r="B6" s="26" t="n">
        <v>4</v>
      </c>
      <c r="C6" s="26" t="str">
        <f aca="false">IF(INDEX(Planos!$B$3:$B$27,1)="","",IF(4&gt;INDEX(Planos!$G$3:$G$27,1),"",INDEX(Planos!$B$3:$B$27,1)))</f>
        <v>TM-001</v>
      </c>
      <c r="D6" s="40" t="str">
        <f aca="false">IF($C6="","",IFERROR(INDEX(Ativos!$B$3:$B$42,MATCH($C6,Ativos!$A$3:$A$42,0)),""))</f>
        <v>Torno mecânico universal 1.000 mm</v>
      </c>
      <c r="E6" s="40" t="str">
        <f aca="false">IF($C6="","",INDEX(Planos!$C$3:$C$27,1))</f>
        <v>Preventiva mensal — inspeção geral</v>
      </c>
      <c r="F6" s="40" t="str">
        <f aca="false">IF($C6="","",INDEX(Planos!$D$3:$D$27,1))</f>
        <v>Manutenção preventiva</v>
      </c>
      <c r="G6" s="41" t="n">
        <f aca="false">IF($C6="",0,INDEX(Planos!$F$3:$F$27,1)+(4-1)*INDEX(Planos!$E$3:$E$27,1))</f>
        <v>46176</v>
      </c>
      <c r="H6" s="40" t="str">
        <f aca="false">IF($C6="","",INDEX(Planos!$H$3:$H$27,1))</f>
        <v>Carlos Menezes</v>
      </c>
      <c r="I6" s="41" t="n">
        <f aca="false">IF($C6="","",IF(INDEX(Planos!$J$3:$AG$27,$A6,$B6)=0,"",INDEX(Planos!$J$3:$AG$27,$A6,$B6)))</f>
        <v>46176</v>
      </c>
      <c r="J6" s="26" t="str">
        <f aca="false">IF($C6="","",IF($I6&lt;&gt;"","Realizada",IF($G6&lt;INT(Parâmetros!$C$4),"Atrasada","Agendada")))</f>
        <v>Realizada</v>
      </c>
      <c r="K6" s="42" t="n">
        <f aca="false">IF($C6="","",IF($I6&lt;&gt;"",$I6-$G6,IF($J6="Atrasada",INT(Parâmetros!$C$4)-$G6,"")))</f>
        <v>0</v>
      </c>
      <c r="L6" s="26" t="str">
        <f aca="false">IF($J6&lt;&gt;"Realizada","",IF($K6&lt;=0,"No prazo",IF($K6&lt;=7,"Até 7 dias",IF($K6&lt;=30,"Até 30 dias","Acima de 30"))))</f>
        <v>No prazo</v>
      </c>
      <c r="M6" s="26" t="n">
        <f aca="false">IF($C6="","",COUNTIFS($G$3:$G6,$G6))</f>
        <v>1</v>
      </c>
      <c r="N6" s="26" t="str">
        <f aca="false">IF($C6="","",$G6&amp;"|"&amp;$M6)</f>
        <v>46176|1</v>
      </c>
    </row>
    <row r="7" customFormat="false" ht="18" hidden="false" customHeight="true" outlineLevel="0" collapsed="false">
      <c r="A7" s="26" t="n">
        <v>1</v>
      </c>
      <c r="B7" s="26" t="n">
        <v>5</v>
      </c>
      <c r="C7" s="26" t="str">
        <f aca="false">IF(INDEX(Planos!$B$3:$B$27,1)="","",IF(5&gt;INDEX(Planos!$G$3:$G$27,1),"",INDEX(Planos!$B$3:$B$27,1)))</f>
        <v>TM-001</v>
      </c>
      <c r="D7" s="40" t="str">
        <f aca="false">IF($C7="","",IFERROR(INDEX(Ativos!$B$3:$B$42,MATCH($C7,Ativos!$A$3:$A$42,0)),""))</f>
        <v>Torno mecânico universal 1.000 mm</v>
      </c>
      <c r="E7" s="40" t="str">
        <f aca="false">IF($C7="","",INDEX(Planos!$C$3:$C$27,1))</f>
        <v>Preventiva mensal — inspeção geral</v>
      </c>
      <c r="F7" s="40" t="str">
        <f aca="false">IF($C7="","",INDEX(Planos!$D$3:$D$27,1))</f>
        <v>Manutenção preventiva</v>
      </c>
      <c r="G7" s="41" t="n">
        <f aca="false">IF($C7="",0,INDEX(Planos!$F$3:$F$27,1)+(5-1)*INDEX(Planos!$E$3:$E$27,1))</f>
        <v>46206</v>
      </c>
      <c r="H7" s="40" t="str">
        <f aca="false">IF($C7="","",INDEX(Planos!$H$3:$H$27,1))</f>
        <v>Carlos Menezes</v>
      </c>
      <c r="I7" s="41" t="str">
        <f aca="false">IF($C7="","",IF(INDEX(Planos!$J$3:$AG$27,$A7,$B7)=0,"",INDEX(Planos!$J$3:$AG$27,$A7,$B7)))</f>
        <v/>
      </c>
      <c r="J7" s="26" t="str">
        <f aca="false">IF($C7="","",IF($I7&lt;&gt;"","Realizada",IF($G7&lt;INT(Parâmetros!$C$4),"Atrasada","Agendada")))</f>
        <v>Atrasada</v>
      </c>
      <c r="K7" s="42" t="n">
        <f aca="false">IF($C7="","",IF($I7&lt;&gt;"",$I7-$G7,IF($J7="Atrasada",INT(Parâmetros!$C$4)-$G7,"")))</f>
        <v>27</v>
      </c>
      <c r="L7" s="26" t="str">
        <f aca="false">IF($J7&lt;&gt;"Realizada","",IF($K7&lt;=0,"No prazo",IF($K7&lt;=7,"Até 7 dias",IF($K7&lt;=30,"Até 30 dias","Acima de 30"))))</f>
        <v/>
      </c>
      <c r="M7" s="26" t="n">
        <f aca="false">IF($C7="","",COUNTIFS($G$3:$G7,$G7))</f>
        <v>1</v>
      </c>
      <c r="N7" s="26" t="str">
        <f aca="false">IF($C7="","",$G7&amp;"|"&amp;$M7)</f>
        <v>46206|1</v>
      </c>
    </row>
    <row r="8" customFormat="false" ht="18" hidden="false" customHeight="true" outlineLevel="0" collapsed="false">
      <c r="A8" s="26" t="n">
        <v>1</v>
      </c>
      <c r="B8" s="26" t="n">
        <v>6</v>
      </c>
      <c r="C8" s="26" t="str">
        <f aca="false">IF(INDEX(Planos!$B$3:$B$27,1)="","",IF(6&gt;INDEX(Planos!$G$3:$G$27,1),"",INDEX(Planos!$B$3:$B$27,1)))</f>
        <v>TM-001</v>
      </c>
      <c r="D8" s="40" t="str">
        <f aca="false">IF($C8="","",IFERROR(INDEX(Ativos!$B$3:$B$42,MATCH($C8,Ativos!$A$3:$A$42,0)),""))</f>
        <v>Torno mecânico universal 1.000 mm</v>
      </c>
      <c r="E8" s="40" t="str">
        <f aca="false">IF($C8="","",INDEX(Planos!$C$3:$C$27,1))</f>
        <v>Preventiva mensal — inspeção geral</v>
      </c>
      <c r="F8" s="40" t="str">
        <f aca="false">IF($C8="","",INDEX(Planos!$D$3:$D$27,1))</f>
        <v>Manutenção preventiva</v>
      </c>
      <c r="G8" s="41" t="n">
        <f aca="false">IF($C8="",0,INDEX(Planos!$F$3:$F$27,1)+(6-1)*INDEX(Planos!$E$3:$E$27,1))</f>
        <v>46236</v>
      </c>
      <c r="H8" s="40" t="str">
        <f aca="false">IF($C8="","",INDEX(Planos!$H$3:$H$27,1))</f>
        <v>Carlos Menezes</v>
      </c>
      <c r="I8" s="41" t="str">
        <f aca="false">IF($C8="","",IF(INDEX(Planos!$J$3:$AG$27,$A8,$B8)=0,"",INDEX(Planos!$J$3:$AG$27,$A8,$B8)))</f>
        <v/>
      </c>
      <c r="J8" s="26" t="str">
        <f aca="false">IF($C8="","",IF($I8&lt;&gt;"","Realizada",IF($G8&lt;INT(Parâmetros!$C$4),"Atrasada","Agendada")))</f>
        <v>Agendada</v>
      </c>
      <c r="K8" s="42" t="str">
        <f aca="false">IF($C8="","",IF($I8&lt;&gt;"",$I8-$G8,IF($J8="Atrasada",INT(Parâmetros!$C$4)-$G8,"")))</f>
        <v/>
      </c>
      <c r="L8" s="26" t="str">
        <f aca="false">IF($J8&lt;&gt;"Realizada","",IF($K8&lt;=0,"No prazo",IF($K8&lt;=7,"Até 7 dias",IF($K8&lt;=30,"Até 30 dias","Acima de 30"))))</f>
        <v/>
      </c>
      <c r="M8" s="26" t="n">
        <f aca="false">IF($C8="","",COUNTIFS($G$3:$G8,$G8))</f>
        <v>1</v>
      </c>
      <c r="N8" s="26" t="str">
        <f aca="false">IF($C8="","",$G8&amp;"|"&amp;$M8)</f>
        <v>46236|1</v>
      </c>
    </row>
    <row r="9" customFormat="false" ht="18" hidden="false" customHeight="true" outlineLevel="0" collapsed="false">
      <c r="A9" s="26" t="n">
        <v>1</v>
      </c>
      <c r="B9" s="26" t="n">
        <v>7</v>
      </c>
      <c r="C9" s="26" t="str">
        <f aca="false">IF(INDEX(Planos!$B$3:$B$27,1)="","",IF(7&gt;INDEX(Planos!$G$3:$G$27,1),"",INDEX(Planos!$B$3:$B$27,1)))</f>
        <v>TM-001</v>
      </c>
      <c r="D9" s="40" t="str">
        <f aca="false">IF($C9="","",IFERROR(INDEX(Ativos!$B$3:$B$42,MATCH($C9,Ativos!$A$3:$A$42,0)),""))</f>
        <v>Torno mecânico universal 1.000 mm</v>
      </c>
      <c r="E9" s="40" t="str">
        <f aca="false">IF($C9="","",INDEX(Planos!$C$3:$C$27,1))</f>
        <v>Preventiva mensal — inspeção geral</v>
      </c>
      <c r="F9" s="40" t="str">
        <f aca="false">IF($C9="","",INDEX(Planos!$D$3:$D$27,1))</f>
        <v>Manutenção preventiva</v>
      </c>
      <c r="G9" s="41" t="n">
        <f aca="false">IF($C9="",0,INDEX(Planos!$F$3:$F$27,1)+(7-1)*INDEX(Planos!$E$3:$E$27,1))</f>
        <v>46266</v>
      </c>
      <c r="H9" s="40" t="str">
        <f aca="false">IF($C9="","",INDEX(Planos!$H$3:$H$27,1))</f>
        <v>Carlos Menezes</v>
      </c>
      <c r="I9" s="41" t="str">
        <f aca="false">IF($C9="","",IF(INDEX(Planos!$J$3:$AG$27,$A9,$B9)=0,"",INDEX(Planos!$J$3:$AG$27,$A9,$B9)))</f>
        <v/>
      </c>
      <c r="J9" s="26" t="str">
        <f aca="false">IF($C9="","",IF($I9&lt;&gt;"","Realizada",IF($G9&lt;INT(Parâmetros!$C$4),"Atrasada","Agendada")))</f>
        <v>Agendada</v>
      </c>
      <c r="K9" s="42" t="str">
        <f aca="false">IF($C9="","",IF($I9&lt;&gt;"",$I9-$G9,IF($J9="Atrasada",INT(Parâmetros!$C$4)-$G9,"")))</f>
        <v/>
      </c>
      <c r="L9" s="26" t="str">
        <f aca="false">IF($J9&lt;&gt;"Realizada","",IF($K9&lt;=0,"No prazo",IF($K9&lt;=7,"Até 7 dias",IF($K9&lt;=30,"Até 30 dias","Acima de 30"))))</f>
        <v/>
      </c>
      <c r="M9" s="26" t="n">
        <f aca="false">IF($C9="","",COUNTIFS($G$3:$G9,$G9))</f>
        <v>1</v>
      </c>
      <c r="N9" s="26" t="str">
        <f aca="false">IF($C9="","",$G9&amp;"|"&amp;$M9)</f>
        <v>46266|1</v>
      </c>
    </row>
    <row r="10" customFormat="false" ht="18" hidden="false" customHeight="true" outlineLevel="0" collapsed="false">
      <c r="A10" s="26" t="n">
        <v>1</v>
      </c>
      <c r="B10" s="26" t="n">
        <v>8</v>
      </c>
      <c r="C10" s="26" t="str">
        <f aca="false">IF(INDEX(Planos!$B$3:$B$27,1)="","",IF(8&gt;INDEX(Planos!$G$3:$G$27,1),"",INDEX(Planos!$B$3:$B$27,1)))</f>
        <v>TM-001</v>
      </c>
      <c r="D10" s="40" t="str">
        <f aca="false">IF($C10="","",IFERROR(INDEX(Ativos!$B$3:$B$42,MATCH($C10,Ativos!$A$3:$A$42,0)),""))</f>
        <v>Torno mecânico universal 1.000 mm</v>
      </c>
      <c r="E10" s="40" t="str">
        <f aca="false">IF($C10="","",INDEX(Planos!$C$3:$C$27,1))</f>
        <v>Preventiva mensal — inspeção geral</v>
      </c>
      <c r="F10" s="40" t="str">
        <f aca="false">IF($C10="","",INDEX(Planos!$D$3:$D$27,1))</f>
        <v>Manutenção preventiva</v>
      </c>
      <c r="G10" s="41" t="n">
        <f aca="false">IF($C10="",0,INDEX(Planos!$F$3:$F$27,1)+(8-1)*INDEX(Planos!$E$3:$E$27,1))</f>
        <v>46296</v>
      </c>
      <c r="H10" s="40" t="str">
        <f aca="false">IF($C10="","",INDEX(Planos!$H$3:$H$27,1))</f>
        <v>Carlos Menezes</v>
      </c>
      <c r="I10" s="41" t="str">
        <f aca="false">IF($C10="","",IF(INDEX(Planos!$J$3:$AG$27,$A10,$B10)=0,"",INDEX(Planos!$J$3:$AG$27,$A10,$B10)))</f>
        <v/>
      </c>
      <c r="J10" s="26" t="str">
        <f aca="false">IF($C10="","",IF($I10&lt;&gt;"","Realizada",IF($G10&lt;INT(Parâmetros!$C$4),"Atrasada","Agendada")))</f>
        <v>Agendada</v>
      </c>
      <c r="K10" s="42" t="str">
        <f aca="false">IF($C10="","",IF($I10&lt;&gt;"",$I10-$G10,IF($J10="Atrasada",INT(Parâmetros!$C$4)-$G10,"")))</f>
        <v/>
      </c>
      <c r="L10" s="26" t="str">
        <f aca="false">IF($J10&lt;&gt;"Realizada","",IF($K10&lt;=0,"No prazo",IF($K10&lt;=7,"Até 7 dias",IF($K10&lt;=30,"Até 30 dias","Acima de 30"))))</f>
        <v/>
      </c>
      <c r="M10" s="26" t="n">
        <f aca="false">IF($C10="","",COUNTIFS($G$3:$G10,$G10))</f>
        <v>1</v>
      </c>
      <c r="N10" s="26" t="str">
        <f aca="false">IF($C10="","",$G10&amp;"|"&amp;$M10)</f>
        <v>46296|1</v>
      </c>
    </row>
    <row r="11" customFormat="false" ht="18" hidden="false" customHeight="true" outlineLevel="0" collapsed="false">
      <c r="A11" s="26" t="n">
        <v>1</v>
      </c>
      <c r="B11" s="26" t="n">
        <v>9</v>
      </c>
      <c r="C11" s="26" t="str">
        <f aca="false">IF(INDEX(Planos!$B$3:$B$27,1)="","",IF(9&gt;INDEX(Planos!$G$3:$G$27,1),"",INDEX(Planos!$B$3:$B$27,1)))</f>
        <v>TM-001</v>
      </c>
      <c r="D11" s="40" t="str">
        <f aca="false">IF($C11="","",IFERROR(INDEX(Ativos!$B$3:$B$42,MATCH($C11,Ativos!$A$3:$A$42,0)),""))</f>
        <v>Torno mecânico universal 1.000 mm</v>
      </c>
      <c r="E11" s="40" t="str">
        <f aca="false">IF($C11="","",INDEX(Planos!$C$3:$C$27,1))</f>
        <v>Preventiva mensal — inspeção geral</v>
      </c>
      <c r="F11" s="40" t="str">
        <f aca="false">IF($C11="","",INDEX(Planos!$D$3:$D$27,1))</f>
        <v>Manutenção preventiva</v>
      </c>
      <c r="G11" s="41" t="n">
        <f aca="false">IF($C11="",0,INDEX(Planos!$F$3:$F$27,1)+(9-1)*INDEX(Planos!$E$3:$E$27,1))</f>
        <v>46326</v>
      </c>
      <c r="H11" s="40" t="str">
        <f aca="false">IF($C11="","",INDEX(Planos!$H$3:$H$27,1))</f>
        <v>Carlos Menezes</v>
      </c>
      <c r="I11" s="41" t="str">
        <f aca="false">IF($C11="","",IF(INDEX(Planos!$J$3:$AG$27,$A11,$B11)=0,"",INDEX(Planos!$J$3:$AG$27,$A11,$B11)))</f>
        <v/>
      </c>
      <c r="J11" s="26" t="str">
        <f aca="false">IF($C11="","",IF($I11&lt;&gt;"","Realizada",IF($G11&lt;INT(Parâmetros!$C$4),"Atrasada","Agendada")))</f>
        <v>Agendada</v>
      </c>
      <c r="K11" s="42" t="str">
        <f aca="false">IF($C11="","",IF($I11&lt;&gt;"",$I11-$G11,IF($J11="Atrasada",INT(Parâmetros!$C$4)-$G11,"")))</f>
        <v/>
      </c>
      <c r="L11" s="26" t="str">
        <f aca="false">IF($J11&lt;&gt;"Realizada","",IF($K11&lt;=0,"No prazo",IF($K11&lt;=7,"Até 7 dias",IF($K11&lt;=30,"Até 30 dias","Acima de 30"))))</f>
        <v/>
      </c>
      <c r="M11" s="26" t="n">
        <f aca="false">IF($C11="","",COUNTIFS($G$3:$G11,$G11))</f>
        <v>1</v>
      </c>
      <c r="N11" s="26" t="str">
        <f aca="false">IF($C11="","",$G11&amp;"|"&amp;$M11)</f>
        <v>46326|1</v>
      </c>
    </row>
    <row r="12" customFormat="false" ht="18" hidden="false" customHeight="true" outlineLevel="0" collapsed="false">
      <c r="A12" s="26" t="n">
        <v>1</v>
      </c>
      <c r="B12" s="26" t="n">
        <v>10</v>
      </c>
      <c r="C12" s="26" t="str">
        <f aca="false">IF(INDEX(Planos!$B$3:$B$27,1)="","",IF(10&gt;INDEX(Planos!$G$3:$G$27,1),"",INDEX(Planos!$B$3:$B$27,1)))</f>
        <v>TM-001</v>
      </c>
      <c r="D12" s="40" t="str">
        <f aca="false">IF($C12="","",IFERROR(INDEX(Ativos!$B$3:$B$42,MATCH($C12,Ativos!$A$3:$A$42,0)),""))</f>
        <v>Torno mecânico universal 1.000 mm</v>
      </c>
      <c r="E12" s="40" t="str">
        <f aca="false">IF($C12="","",INDEX(Planos!$C$3:$C$27,1))</f>
        <v>Preventiva mensal — inspeção geral</v>
      </c>
      <c r="F12" s="40" t="str">
        <f aca="false">IF($C12="","",INDEX(Planos!$D$3:$D$27,1))</f>
        <v>Manutenção preventiva</v>
      </c>
      <c r="G12" s="41" t="n">
        <f aca="false">IF($C12="",0,INDEX(Planos!$F$3:$F$27,1)+(10-1)*INDEX(Planos!$E$3:$E$27,1))</f>
        <v>46356</v>
      </c>
      <c r="H12" s="40" t="str">
        <f aca="false">IF($C12="","",INDEX(Planos!$H$3:$H$27,1))</f>
        <v>Carlos Menezes</v>
      </c>
      <c r="I12" s="41" t="str">
        <f aca="false">IF($C12="","",IF(INDEX(Planos!$J$3:$AG$27,$A12,$B12)=0,"",INDEX(Planos!$J$3:$AG$27,$A12,$B12)))</f>
        <v/>
      </c>
      <c r="J12" s="26" t="str">
        <f aca="false">IF($C12="","",IF($I12&lt;&gt;"","Realizada",IF($G12&lt;INT(Parâmetros!$C$4),"Atrasada","Agendada")))</f>
        <v>Agendada</v>
      </c>
      <c r="K12" s="42" t="str">
        <f aca="false">IF($C12="","",IF($I12&lt;&gt;"",$I12-$G12,IF($J12="Atrasada",INT(Parâmetros!$C$4)-$G12,"")))</f>
        <v/>
      </c>
      <c r="L12" s="26" t="str">
        <f aca="false">IF($J12&lt;&gt;"Realizada","",IF($K12&lt;=0,"No prazo",IF($K12&lt;=7,"Até 7 dias",IF($K12&lt;=30,"Até 30 dias","Acima de 30"))))</f>
        <v/>
      </c>
      <c r="M12" s="26" t="n">
        <f aca="false">IF($C12="","",COUNTIFS($G$3:$G12,$G12))</f>
        <v>1</v>
      </c>
      <c r="N12" s="26" t="str">
        <f aca="false">IF($C12="","",$G12&amp;"|"&amp;$M12)</f>
        <v>46356|1</v>
      </c>
    </row>
    <row r="13" customFormat="false" ht="18" hidden="false" customHeight="true" outlineLevel="0" collapsed="false">
      <c r="A13" s="26" t="n">
        <v>1</v>
      </c>
      <c r="B13" s="26" t="n">
        <v>11</v>
      </c>
      <c r="C13" s="26" t="str">
        <f aca="false">IF(INDEX(Planos!$B$3:$B$27,1)="","",IF(11&gt;INDEX(Planos!$G$3:$G$27,1),"",INDEX(Planos!$B$3:$B$27,1)))</f>
        <v>TM-001</v>
      </c>
      <c r="D13" s="40" t="str">
        <f aca="false">IF($C13="","",IFERROR(INDEX(Ativos!$B$3:$B$42,MATCH($C13,Ativos!$A$3:$A$42,0)),""))</f>
        <v>Torno mecânico universal 1.000 mm</v>
      </c>
      <c r="E13" s="40" t="str">
        <f aca="false">IF($C13="","",INDEX(Planos!$C$3:$C$27,1))</f>
        <v>Preventiva mensal — inspeção geral</v>
      </c>
      <c r="F13" s="40" t="str">
        <f aca="false">IF($C13="","",INDEX(Planos!$D$3:$D$27,1))</f>
        <v>Manutenção preventiva</v>
      </c>
      <c r="G13" s="41" t="n">
        <f aca="false">IF($C13="",0,INDEX(Planos!$F$3:$F$27,1)+(11-1)*INDEX(Planos!$E$3:$E$27,1))</f>
        <v>46386</v>
      </c>
      <c r="H13" s="40" t="str">
        <f aca="false">IF($C13="","",INDEX(Planos!$H$3:$H$27,1))</f>
        <v>Carlos Menezes</v>
      </c>
      <c r="I13" s="41" t="str">
        <f aca="false">IF($C13="","",IF(INDEX(Planos!$J$3:$AG$27,$A13,$B13)=0,"",INDEX(Planos!$J$3:$AG$27,$A13,$B13)))</f>
        <v/>
      </c>
      <c r="J13" s="26" t="str">
        <f aca="false">IF($C13="","",IF($I13&lt;&gt;"","Realizada",IF($G13&lt;INT(Parâmetros!$C$4),"Atrasada","Agendada")))</f>
        <v>Agendada</v>
      </c>
      <c r="K13" s="42" t="str">
        <f aca="false">IF($C13="","",IF($I13&lt;&gt;"",$I13-$G13,IF($J13="Atrasada",INT(Parâmetros!$C$4)-$G13,"")))</f>
        <v/>
      </c>
      <c r="L13" s="26" t="str">
        <f aca="false">IF($J13&lt;&gt;"Realizada","",IF($K13&lt;=0,"No prazo",IF($K13&lt;=7,"Até 7 dias",IF($K13&lt;=30,"Até 30 dias","Acima de 30"))))</f>
        <v/>
      </c>
      <c r="M13" s="26" t="n">
        <f aca="false">IF($C13="","",COUNTIFS($G$3:$G13,$G13))</f>
        <v>1</v>
      </c>
      <c r="N13" s="26" t="str">
        <f aca="false">IF($C13="","",$G13&amp;"|"&amp;$M13)</f>
        <v>46386|1</v>
      </c>
    </row>
    <row r="14" customFormat="false" ht="18" hidden="false" customHeight="true" outlineLevel="0" collapsed="false">
      <c r="A14" s="26" t="n">
        <v>1</v>
      </c>
      <c r="B14" s="26" t="n">
        <v>12</v>
      </c>
      <c r="C14" s="26" t="str">
        <f aca="false">IF(INDEX(Planos!$B$3:$B$27,1)="","",IF(12&gt;INDEX(Planos!$G$3:$G$27,1),"",INDEX(Planos!$B$3:$B$27,1)))</f>
        <v>TM-001</v>
      </c>
      <c r="D14" s="40" t="str">
        <f aca="false">IF($C14="","",IFERROR(INDEX(Ativos!$B$3:$B$42,MATCH($C14,Ativos!$A$3:$A$42,0)),""))</f>
        <v>Torno mecânico universal 1.000 mm</v>
      </c>
      <c r="E14" s="40" t="str">
        <f aca="false">IF($C14="","",INDEX(Planos!$C$3:$C$27,1))</f>
        <v>Preventiva mensal — inspeção geral</v>
      </c>
      <c r="F14" s="40" t="str">
        <f aca="false">IF($C14="","",INDEX(Planos!$D$3:$D$27,1))</f>
        <v>Manutenção preventiva</v>
      </c>
      <c r="G14" s="41" t="n">
        <f aca="false">IF($C14="",0,INDEX(Planos!$F$3:$F$27,1)+(12-1)*INDEX(Planos!$E$3:$E$27,1))</f>
        <v>46416</v>
      </c>
      <c r="H14" s="40" t="str">
        <f aca="false">IF($C14="","",INDEX(Planos!$H$3:$H$27,1))</f>
        <v>Carlos Menezes</v>
      </c>
      <c r="I14" s="41" t="str">
        <f aca="false">IF($C14="","",IF(INDEX(Planos!$J$3:$AG$27,$A14,$B14)=0,"",INDEX(Planos!$J$3:$AG$27,$A14,$B14)))</f>
        <v/>
      </c>
      <c r="J14" s="26" t="str">
        <f aca="false">IF($C14="","",IF($I14&lt;&gt;"","Realizada",IF($G14&lt;INT(Parâmetros!$C$4),"Atrasada","Agendada")))</f>
        <v>Agendada</v>
      </c>
      <c r="K14" s="42" t="str">
        <f aca="false">IF($C14="","",IF($I14&lt;&gt;"",$I14-$G14,IF($J14="Atrasada",INT(Parâmetros!$C$4)-$G14,"")))</f>
        <v/>
      </c>
      <c r="L14" s="26" t="str">
        <f aca="false">IF($J14&lt;&gt;"Realizada","",IF($K14&lt;=0,"No prazo",IF($K14&lt;=7,"Até 7 dias",IF($K14&lt;=30,"Até 30 dias","Acima de 30"))))</f>
        <v/>
      </c>
      <c r="M14" s="26" t="n">
        <f aca="false">IF($C14="","",COUNTIFS($G$3:$G14,$G14))</f>
        <v>1</v>
      </c>
      <c r="N14" s="26" t="str">
        <f aca="false">IF($C14="","",$G14&amp;"|"&amp;$M14)</f>
        <v>46416|1</v>
      </c>
    </row>
    <row r="15" customFormat="false" ht="18" hidden="false" customHeight="true" outlineLevel="0" collapsed="false">
      <c r="A15" s="26" t="n">
        <v>1</v>
      </c>
      <c r="B15" s="26" t="n">
        <v>13</v>
      </c>
      <c r="C15" s="26" t="str">
        <f aca="false">IF(INDEX(Planos!$B$3:$B$27,1)="","",IF(13&gt;INDEX(Planos!$G$3:$G$27,1),"",INDEX(Planos!$B$3:$B$27,1)))</f>
        <v>TM-001</v>
      </c>
      <c r="D15" s="40" t="str">
        <f aca="false">IF($C15="","",IFERROR(INDEX(Ativos!$B$3:$B$42,MATCH($C15,Ativos!$A$3:$A$42,0)),""))</f>
        <v>Torno mecânico universal 1.000 mm</v>
      </c>
      <c r="E15" s="40" t="str">
        <f aca="false">IF($C15="","",INDEX(Planos!$C$3:$C$27,1))</f>
        <v>Preventiva mensal — inspeção geral</v>
      </c>
      <c r="F15" s="40" t="str">
        <f aca="false">IF($C15="","",INDEX(Planos!$D$3:$D$27,1))</f>
        <v>Manutenção preventiva</v>
      </c>
      <c r="G15" s="41" t="n">
        <f aca="false">IF($C15="",0,INDEX(Planos!$F$3:$F$27,1)+(13-1)*INDEX(Planos!$E$3:$E$27,1))</f>
        <v>46446</v>
      </c>
      <c r="H15" s="40" t="str">
        <f aca="false">IF($C15="","",INDEX(Planos!$H$3:$H$27,1))</f>
        <v>Carlos Menezes</v>
      </c>
      <c r="I15" s="41" t="str">
        <f aca="false">IF($C15="","",IF(INDEX(Planos!$J$3:$AG$27,$A15,$B15)=0,"",INDEX(Planos!$J$3:$AG$27,$A15,$B15)))</f>
        <v/>
      </c>
      <c r="J15" s="26" t="str">
        <f aca="false">IF($C15="","",IF($I15&lt;&gt;"","Realizada",IF($G15&lt;INT(Parâmetros!$C$4),"Atrasada","Agendada")))</f>
        <v>Agendada</v>
      </c>
      <c r="K15" s="42" t="str">
        <f aca="false">IF($C15="","",IF($I15&lt;&gt;"",$I15-$G15,IF($J15="Atrasada",INT(Parâmetros!$C$4)-$G15,"")))</f>
        <v/>
      </c>
      <c r="L15" s="26" t="str">
        <f aca="false">IF($J15&lt;&gt;"Realizada","",IF($K15&lt;=0,"No prazo",IF($K15&lt;=7,"Até 7 dias",IF($K15&lt;=30,"Até 30 dias","Acima de 30"))))</f>
        <v/>
      </c>
      <c r="M15" s="26" t="n">
        <f aca="false">IF($C15="","",COUNTIFS($G$3:$G15,$G15))</f>
        <v>1</v>
      </c>
      <c r="N15" s="26" t="str">
        <f aca="false">IF($C15="","",$G15&amp;"|"&amp;$M15)</f>
        <v>46446|1</v>
      </c>
    </row>
    <row r="16" customFormat="false" ht="18" hidden="false" customHeight="true" outlineLevel="0" collapsed="false">
      <c r="A16" s="26" t="n">
        <v>1</v>
      </c>
      <c r="B16" s="26" t="n">
        <v>14</v>
      </c>
      <c r="C16" s="26" t="str">
        <f aca="false">IF(INDEX(Planos!$B$3:$B$27,1)="","",IF(14&gt;INDEX(Planos!$G$3:$G$27,1),"",INDEX(Planos!$B$3:$B$27,1)))</f>
        <v>TM-001</v>
      </c>
      <c r="D16" s="40" t="str">
        <f aca="false">IF($C16="","",IFERROR(INDEX(Ativos!$B$3:$B$42,MATCH($C16,Ativos!$A$3:$A$42,0)),""))</f>
        <v>Torno mecânico universal 1.000 mm</v>
      </c>
      <c r="E16" s="40" t="str">
        <f aca="false">IF($C16="","",INDEX(Planos!$C$3:$C$27,1))</f>
        <v>Preventiva mensal — inspeção geral</v>
      </c>
      <c r="F16" s="40" t="str">
        <f aca="false">IF($C16="","",INDEX(Planos!$D$3:$D$27,1))</f>
        <v>Manutenção preventiva</v>
      </c>
      <c r="G16" s="41" t="n">
        <f aca="false">IF($C16="",0,INDEX(Planos!$F$3:$F$27,1)+(14-1)*INDEX(Planos!$E$3:$E$27,1))</f>
        <v>46476</v>
      </c>
      <c r="H16" s="40" t="str">
        <f aca="false">IF($C16="","",INDEX(Planos!$H$3:$H$27,1))</f>
        <v>Carlos Menezes</v>
      </c>
      <c r="I16" s="41" t="str">
        <f aca="false">IF($C16="","",IF(INDEX(Planos!$J$3:$AG$27,$A16,$B16)=0,"",INDEX(Planos!$J$3:$AG$27,$A16,$B16)))</f>
        <v/>
      </c>
      <c r="J16" s="26" t="str">
        <f aca="false">IF($C16="","",IF($I16&lt;&gt;"","Realizada",IF($G16&lt;INT(Parâmetros!$C$4),"Atrasada","Agendada")))</f>
        <v>Agendada</v>
      </c>
      <c r="K16" s="42" t="str">
        <f aca="false">IF($C16="","",IF($I16&lt;&gt;"",$I16-$G16,IF($J16="Atrasada",INT(Parâmetros!$C$4)-$G16,"")))</f>
        <v/>
      </c>
      <c r="L16" s="26" t="str">
        <f aca="false">IF($J16&lt;&gt;"Realizada","",IF($K16&lt;=0,"No prazo",IF($K16&lt;=7,"Até 7 dias",IF($K16&lt;=30,"Até 30 dias","Acima de 30"))))</f>
        <v/>
      </c>
      <c r="M16" s="26" t="n">
        <f aca="false">IF($C16="","",COUNTIFS($G$3:$G16,$G16))</f>
        <v>1</v>
      </c>
      <c r="N16" s="26" t="str">
        <f aca="false">IF($C16="","",$G16&amp;"|"&amp;$M16)</f>
        <v>46476|1</v>
      </c>
    </row>
    <row r="17" customFormat="false" ht="18" hidden="false" customHeight="true" outlineLevel="0" collapsed="false">
      <c r="A17" s="26" t="n">
        <v>1</v>
      </c>
      <c r="B17" s="26" t="n">
        <v>15</v>
      </c>
      <c r="C17" s="26" t="str">
        <f aca="false">IF(INDEX(Planos!$B$3:$B$27,1)="","",IF(15&gt;INDEX(Planos!$G$3:$G$27,1),"",INDEX(Planos!$B$3:$B$27,1)))</f>
        <v>TM-001</v>
      </c>
      <c r="D17" s="40" t="str">
        <f aca="false">IF($C17="","",IFERROR(INDEX(Ativos!$B$3:$B$42,MATCH($C17,Ativos!$A$3:$A$42,0)),""))</f>
        <v>Torno mecânico universal 1.000 mm</v>
      </c>
      <c r="E17" s="40" t="str">
        <f aca="false">IF($C17="","",INDEX(Planos!$C$3:$C$27,1))</f>
        <v>Preventiva mensal — inspeção geral</v>
      </c>
      <c r="F17" s="40" t="str">
        <f aca="false">IF($C17="","",INDEX(Planos!$D$3:$D$27,1))</f>
        <v>Manutenção preventiva</v>
      </c>
      <c r="G17" s="41" t="n">
        <f aca="false">IF($C17="",0,INDEX(Planos!$F$3:$F$27,1)+(15-1)*INDEX(Planos!$E$3:$E$27,1))</f>
        <v>46506</v>
      </c>
      <c r="H17" s="40" t="str">
        <f aca="false">IF($C17="","",INDEX(Planos!$H$3:$H$27,1))</f>
        <v>Carlos Menezes</v>
      </c>
      <c r="I17" s="41" t="str">
        <f aca="false">IF($C17="","",IF(INDEX(Planos!$J$3:$AG$27,$A17,$B17)=0,"",INDEX(Planos!$J$3:$AG$27,$A17,$B17)))</f>
        <v/>
      </c>
      <c r="J17" s="26" t="str">
        <f aca="false">IF($C17="","",IF($I17&lt;&gt;"","Realizada",IF($G17&lt;INT(Parâmetros!$C$4),"Atrasada","Agendada")))</f>
        <v>Agendada</v>
      </c>
      <c r="K17" s="42" t="str">
        <f aca="false">IF($C17="","",IF($I17&lt;&gt;"",$I17-$G17,IF($J17="Atrasada",INT(Parâmetros!$C$4)-$G17,"")))</f>
        <v/>
      </c>
      <c r="L17" s="26" t="str">
        <f aca="false">IF($J17&lt;&gt;"Realizada","",IF($K17&lt;=0,"No prazo",IF($K17&lt;=7,"Até 7 dias",IF($K17&lt;=30,"Até 30 dias","Acima de 30"))))</f>
        <v/>
      </c>
      <c r="M17" s="26" t="n">
        <f aca="false">IF($C17="","",COUNTIFS($G$3:$G17,$G17))</f>
        <v>1</v>
      </c>
      <c r="N17" s="26" t="str">
        <f aca="false">IF($C17="","",$G17&amp;"|"&amp;$M17)</f>
        <v>46506|1</v>
      </c>
    </row>
    <row r="18" customFormat="false" ht="18" hidden="false" customHeight="true" outlineLevel="0" collapsed="false">
      <c r="A18" s="26" t="n">
        <v>1</v>
      </c>
      <c r="B18" s="26" t="n">
        <v>16</v>
      </c>
      <c r="C18" s="26" t="str">
        <f aca="false">IF(INDEX(Planos!$B$3:$B$27,1)="","",IF(16&gt;INDEX(Planos!$G$3:$G$27,1),"",INDEX(Planos!$B$3:$B$27,1)))</f>
        <v>TM-001</v>
      </c>
      <c r="D18" s="40" t="str">
        <f aca="false">IF($C18="","",IFERROR(INDEX(Ativos!$B$3:$B$42,MATCH($C18,Ativos!$A$3:$A$42,0)),""))</f>
        <v>Torno mecânico universal 1.000 mm</v>
      </c>
      <c r="E18" s="40" t="str">
        <f aca="false">IF($C18="","",INDEX(Planos!$C$3:$C$27,1))</f>
        <v>Preventiva mensal — inspeção geral</v>
      </c>
      <c r="F18" s="40" t="str">
        <f aca="false">IF($C18="","",INDEX(Planos!$D$3:$D$27,1))</f>
        <v>Manutenção preventiva</v>
      </c>
      <c r="G18" s="41" t="n">
        <f aca="false">IF($C18="",0,INDEX(Planos!$F$3:$F$27,1)+(16-1)*INDEX(Planos!$E$3:$E$27,1))</f>
        <v>46536</v>
      </c>
      <c r="H18" s="40" t="str">
        <f aca="false">IF($C18="","",INDEX(Planos!$H$3:$H$27,1))</f>
        <v>Carlos Menezes</v>
      </c>
      <c r="I18" s="41" t="str">
        <f aca="false">IF($C18="","",IF(INDEX(Planos!$J$3:$AG$27,$A18,$B18)=0,"",INDEX(Planos!$J$3:$AG$27,$A18,$B18)))</f>
        <v/>
      </c>
      <c r="J18" s="26" t="str">
        <f aca="false">IF($C18="","",IF($I18&lt;&gt;"","Realizada",IF($G18&lt;INT(Parâmetros!$C$4),"Atrasada","Agendada")))</f>
        <v>Agendada</v>
      </c>
      <c r="K18" s="42" t="str">
        <f aca="false">IF($C18="","",IF($I18&lt;&gt;"",$I18-$G18,IF($J18="Atrasada",INT(Parâmetros!$C$4)-$G18,"")))</f>
        <v/>
      </c>
      <c r="L18" s="26" t="str">
        <f aca="false">IF($J18&lt;&gt;"Realizada","",IF($K18&lt;=0,"No prazo",IF($K18&lt;=7,"Até 7 dias",IF($K18&lt;=30,"Até 30 dias","Acima de 30"))))</f>
        <v/>
      </c>
      <c r="M18" s="26" t="n">
        <f aca="false">IF($C18="","",COUNTIFS($G$3:$G18,$G18))</f>
        <v>1</v>
      </c>
      <c r="N18" s="26" t="str">
        <f aca="false">IF($C18="","",$G18&amp;"|"&amp;$M18)</f>
        <v>46536|1</v>
      </c>
    </row>
    <row r="19" customFormat="false" ht="18" hidden="false" customHeight="true" outlineLevel="0" collapsed="false">
      <c r="A19" s="26" t="n">
        <v>1</v>
      </c>
      <c r="B19" s="26" t="n">
        <v>17</v>
      </c>
      <c r="C19" s="26" t="str">
        <f aca="false">IF(INDEX(Planos!$B$3:$B$27,1)="","",IF(17&gt;INDEX(Planos!$G$3:$G$27,1),"",INDEX(Planos!$B$3:$B$27,1)))</f>
        <v>TM-001</v>
      </c>
      <c r="D19" s="40" t="str">
        <f aca="false">IF($C19="","",IFERROR(INDEX(Ativos!$B$3:$B$42,MATCH($C19,Ativos!$A$3:$A$42,0)),""))</f>
        <v>Torno mecânico universal 1.000 mm</v>
      </c>
      <c r="E19" s="40" t="str">
        <f aca="false">IF($C19="","",INDEX(Planos!$C$3:$C$27,1))</f>
        <v>Preventiva mensal — inspeção geral</v>
      </c>
      <c r="F19" s="40" t="str">
        <f aca="false">IF($C19="","",INDEX(Planos!$D$3:$D$27,1))</f>
        <v>Manutenção preventiva</v>
      </c>
      <c r="G19" s="41" t="n">
        <f aca="false">IF($C19="",0,INDEX(Planos!$F$3:$F$27,1)+(17-1)*INDEX(Planos!$E$3:$E$27,1))</f>
        <v>46566</v>
      </c>
      <c r="H19" s="40" t="str">
        <f aca="false">IF($C19="","",INDEX(Planos!$H$3:$H$27,1))</f>
        <v>Carlos Menezes</v>
      </c>
      <c r="I19" s="41" t="str">
        <f aca="false">IF($C19="","",IF(INDEX(Planos!$J$3:$AG$27,$A19,$B19)=0,"",INDEX(Planos!$J$3:$AG$27,$A19,$B19)))</f>
        <v/>
      </c>
      <c r="J19" s="26" t="str">
        <f aca="false">IF($C19="","",IF($I19&lt;&gt;"","Realizada",IF($G19&lt;INT(Parâmetros!$C$4),"Atrasada","Agendada")))</f>
        <v>Agendada</v>
      </c>
      <c r="K19" s="42" t="str">
        <f aca="false">IF($C19="","",IF($I19&lt;&gt;"",$I19-$G19,IF($J19="Atrasada",INT(Parâmetros!$C$4)-$G19,"")))</f>
        <v/>
      </c>
      <c r="L19" s="26" t="str">
        <f aca="false">IF($J19&lt;&gt;"Realizada","",IF($K19&lt;=0,"No prazo",IF($K19&lt;=7,"Até 7 dias",IF($K19&lt;=30,"Até 30 dias","Acima de 30"))))</f>
        <v/>
      </c>
      <c r="M19" s="26" t="n">
        <f aca="false">IF($C19="","",COUNTIFS($G$3:$G19,$G19))</f>
        <v>1</v>
      </c>
      <c r="N19" s="26" t="str">
        <f aca="false">IF($C19="","",$G19&amp;"|"&amp;$M19)</f>
        <v>46566|1</v>
      </c>
    </row>
    <row r="20" customFormat="false" ht="18" hidden="false" customHeight="true" outlineLevel="0" collapsed="false">
      <c r="A20" s="26" t="n">
        <v>1</v>
      </c>
      <c r="B20" s="26" t="n">
        <v>18</v>
      </c>
      <c r="C20" s="26" t="str">
        <f aca="false">IF(INDEX(Planos!$B$3:$B$27,1)="","",IF(18&gt;INDEX(Planos!$G$3:$G$27,1),"",INDEX(Planos!$B$3:$B$27,1)))</f>
        <v>TM-001</v>
      </c>
      <c r="D20" s="40" t="str">
        <f aca="false">IF($C20="","",IFERROR(INDEX(Ativos!$B$3:$B$42,MATCH($C20,Ativos!$A$3:$A$42,0)),""))</f>
        <v>Torno mecânico universal 1.000 mm</v>
      </c>
      <c r="E20" s="40" t="str">
        <f aca="false">IF($C20="","",INDEX(Planos!$C$3:$C$27,1))</f>
        <v>Preventiva mensal — inspeção geral</v>
      </c>
      <c r="F20" s="40" t="str">
        <f aca="false">IF($C20="","",INDEX(Planos!$D$3:$D$27,1))</f>
        <v>Manutenção preventiva</v>
      </c>
      <c r="G20" s="41" t="n">
        <f aca="false">IF($C20="",0,INDEX(Planos!$F$3:$F$27,1)+(18-1)*INDEX(Planos!$E$3:$E$27,1))</f>
        <v>46596</v>
      </c>
      <c r="H20" s="40" t="str">
        <f aca="false">IF($C20="","",INDEX(Planos!$H$3:$H$27,1))</f>
        <v>Carlos Menezes</v>
      </c>
      <c r="I20" s="41" t="str">
        <f aca="false">IF($C20="","",IF(INDEX(Planos!$J$3:$AG$27,$A20,$B20)=0,"",INDEX(Planos!$J$3:$AG$27,$A20,$B20)))</f>
        <v/>
      </c>
      <c r="J20" s="26" t="str">
        <f aca="false">IF($C20="","",IF($I20&lt;&gt;"","Realizada",IF($G20&lt;INT(Parâmetros!$C$4),"Atrasada","Agendada")))</f>
        <v>Agendada</v>
      </c>
      <c r="K20" s="42" t="str">
        <f aca="false">IF($C20="","",IF($I20&lt;&gt;"",$I20-$G20,IF($J20="Atrasada",INT(Parâmetros!$C$4)-$G20,"")))</f>
        <v/>
      </c>
      <c r="L20" s="26" t="str">
        <f aca="false">IF($J20&lt;&gt;"Realizada","",IF($K20&lt;=0,"No prazo",IF($K20&lt;=7,"Até 7 dias",IF($K20&lt;=30,"Até 30 dias","Acima de 30"))))</f>
        <v/>
      </c>
      <c r="M20" s="26" t="n">
        <f aca="false">IF($C20="","",COUNTIFS($G$3:$G20,$G20))</f>
        <v>1</v>
      </c>
      <c r="N20" s="26" t="str">
        <f aca="false">IF($C20="","",$G20&amp;"|"&amp;$M20)</f>
        <v>46596|1</v>
      </c>
    </row>
    <row r="21" customFormat="false" ht="18" hidden="false" customHeight="true" outlineLevel="0" collapsed="false">
      <c r="A21" s="26" t="n">
        <v>1</v>
      </c>
      <c r="B21" s="26" t="n">
        <v>19</v>
      </c>
      <c r="C21" s="26" t="str">
        <f aca="false">IF(INDEX(Planos!$B$3:$B$27,1)="","",IF(19&gt;INDEX(Planos!$G$3:$G$27,1),"",INDEX(Planos!$B$3:$B$27,1)))</f>
        <v>TM-001</v>
      </c>
      <c r="D21" s="40" t="str">
        <f aca="false">IF($C21="","",IFERROR(INDEX(Ativos!$B$3:$B$42,MATCH($C21,Ativos!$A$3:$A$42,0)),""))</f>
        <v>Torno mecânico universal 1.000 mm</v>
      </c>
      <c r="E21" s="40" t="str">
        <f aca="false">IF($C21="","",INDEX(Planos!$C$3:$C$27,1))</f>
        <v>Preventiva mensal — inspeção geral</v>
      </c>
      <c r="F21" s="40" t="str">
        <f aca="false">IF($C21="","",INDEX(Planos!$D$3:$D$27,1))</f>
        <v>Manutenção preventiva</v>
      </c>
      <c r="G21" s="41" t="n">
        <f aca="false">IF($C21="",0,INDEX(Planos!$F$3:$F$27,1)+(19-1)*INDEX(Planos!$E$3:$E$27,1))</f>
        <v>46626</v>
      </c>
      <c r="H21" s="40" t="str">
        <f aca="false">IF($C21="","",INDEX(Planos!$H$3:$H$27,1))</f>
        <v>Carlos Menezes</v>
      </c>
      <c r="I21" s="41" t="str">
        <f aca="false">IF($C21="","",IF(INDEX(Planos!$J$3:$AG$27,$A21,$B21)=0,"",INDEX(Planos!$J$3:$AG$27,$A21,$B21)))</f>
        <v/>
      </c>
      <c r="J21" s="26" t="str">
        <f aca="false">IF($C21="","",IF($I21&lt;&gt;"","Realizada",IF($G21&lt;INT(Parâmetros!$C$4),"Atrasada","Agendada")))</f>
        <v>Agendada</v>
      </c>
      <c r="K21" s="42" t="str">
        <f aca="false">IF($C21="","",IF($I21&lt;&gt;"",$I21-$G21,IF($J21="Atrasada",INT(Parâmetros!$C$4)-$G21,"")))</f>
        <v/>
      </c>
      <c r="L21" s="26" t="str">
        <f aca="false">IF($J21&lt;&gt;"Realizada","",IF($K21&lt;=0,"No prazo",IF($K21&lt;=7,"Até 7 dias",IF($K21&lt;=30,"Até 30 dias","Acima de 30"))))</f>
        <v/>
      </c>
      <c r="M21" s="26" t="n">
        <f aca="false">IF($C21="","",COUNTIFS($G$3:$G21,$G21))</f>
        <v>1</v>
      </c>
      <c r="N21" s="26" t="str">
        <f aca="false">IF($C21="","",$G21&amp;"|"&amp;$M21)</f>
        <v>46626|1</v>
      </c>
    </row>
    <row r="22" customFormat="false" ht="18" hidden="false" customHeight="true" outlineLevel="0" collapsed="false">
      <c r="A22" s="26" t="n">
        <v>1</v>
      </c>
      <c r="B22" s="26" t="n">
        <v>20</v>
      </c>
      <c r="C22" s="26" t="str">
        <f aca="false">IF(INDEX(Planos!$B$3:$B$27,1)="","",IF(20&gt;INDEX(Planos!$G$3:$G$27,1),"",INDEX(Planos!$B$3:$B$27,1)))</f>
        <v>TM-001</v>
      </c>
      <c r="D22" s="40" t="str">
        <f aca="false">IF($C22="","",IFERROR(INDEX(Ativos!$B$3:$B$42,MATCH($C22,Ativos!$A$3:$A$42,0)),""))</f>
        <v>Torno mecânico universal 1.000 mm</v>
      </c>
      <c r="E22" s="40" t="str">
        <f aca="false">IF($C22="","",INDEX(Planos!$C$3:$C$27,1))</f>
        <v>Preventiva mensal — inspeção geral</v>
      </c>
      <c r="F22" s="40" t="str">
        <f aca="false">IF($C22="","",INDEX(Planos!$D$3:$D$27,1))</f>
        <v>Manutenção preventiva</v>
      </c>
      <c r="G22" s="41" t="n">
        <f aca="false">IF($C22="",0,INDEX(Planos!$F$3:$F$27,1)+(20-1)*INDEX(Planos!$E$3:$E$27,1))</f>
        <v>46656</v>
      </c>
      <c r="H22" s="40" t="str">
        <f aca="false">IF($C22="","",INDEX(Planos!$H$3:$H$27,1))</f>
        <v>Carlos Menezes</v>
      </c>
      <c r="I22" s="41" t="str">
        <f aca="false">IF($C22="","",IF(INDEX(Planos!$J$3:$AG$27,$A22,$B22)=0,"",INDEX(Planos!$J$3:$AG$27,$A22,$B22)))</f>
        <v/>
      </c>
      <c r="J22" s="26" t="str">
        <f aca="false">IF($C22="","",IF($I22&lt;&gt;"","Realizada",IF($G22&lt;INT(Parâmetros!$C$4),"Atrasada","Agendada")))</f>
        <v>Agendada</v>
      </c>
      <c r="K22" s="42" t="str">
        <f aca="false">IF($C22="","",IF($I22&lt;&gt;"",$I22-$G22,IF($J22="Atrasada",INT(Parâmetros!$C$4)-$G22,"")))</f>
        <v/>
      </c>
      <c r="L22" s="26" t="str">
        <f aca="false">IF($J22&lt;&gt;"Realizada","",IF($K22&lt;=0,"No prazo",IF($K22&lt;=7,"Até 7 dias",IF($K22&lt;=30,"Até 30 dias","Acima de 30"))))</f>
        <v/>
      </c>
      <c r="M22" s="26" t="n">
        <f aca="false">IF($C22="","",COUNTIFS($G$3:$G22,$G22))</f>
        <v>1</v>
      </c>
      <c r="N22" s="26" t="str">
        <f aca="false">IF($C22="","",$G22&amp;"|"&amp;$M22)</f>
        <v>46656|1</v>
      </c>
    </row>
    <row r="23" customFormat="false" ht="18" hidden="false" customHeight="true" outlineLevel="0" collapsed="false">
      <c r="A23" s="26" t="n">
        <v>1</v>
      </c>
      <c r="B23" s="26" t="n">
        <v>21</v>
      </c>
      <c r="C23" s="26" t="str">
        <f aca="false">IF(INDEX(Planos!$B$3:$B$27,1)="","",IF(21&gt;INDEX(Planos!$G$3:$G$27,1),"",INDEX(Planos!$B$3:$B$27,1)))</f>
        <v>TM-001</v>
      </c>
      <c r="D23" s="40" t="str">
        <f aca="false">IF($C23="","",IFERROR(INDEX(Ativos!$B$3:$B$42,MATCH($C23,Ativos!$A$3:$A$42,0)),""))</f>
        <v>Torno mecânico universal 1.000 mm</v>
      </c>
      <c r="E23" s="40" t="str">
        <f aca="false">IF($C23="","",INDEX(Planos!$C$3:$C$27,1))</f>
        <v>Preventiva mensal — inspeção geral</v>
      </c>
      <c r="F23" s="40" t="str">
        <f aca="false">IF($C23="","",INDEX(Planos!$D$3:$D$27,1))</f>
        <v>Manutenção preventiva</v>
      </c>
      <c r="G23" s="41" t="n">
        <f aca="false">IF($C23="",0,INDEX(Planos!$F$3:$F$27,1)+(21-1)*INDEX(Planos!$E$3:$E$27,1))</f>
        <v>46686</v>
      </c>
      <c r="H23" s="40" t="str">
        <f aca="false">IF($C23="","",INDEX(Planos!$H$3:$H$27,1))</f>
        <v>Carlos Menezes</v>
      </c>
      <c r="I23" s="41" t="str">
        <f aca="false">IF($C23="","",IF(INDEX(Planos!$J$3:$AG$27,$A23,$B23)=0,"",INDEX(Planos!$J$3:$AG$27,$A23,$B23)))</f>
        <v/>
      </c>
      <c r="J23" s="26" t="str">
        <f aca="false">IF($C23="","",IF($I23&lt;&gt;"","Realizada",IF($G23&lt;INT(Parâmetros!$C$4),"Atrasada","Agendada")))</f>
        <v>Agendada</v>
      </c>
      <c r="K23" s="42" t="str">
        <f aca="false">IF($C23="","",IF($I23&lt;&gt;"",$I23-$G23,IF($J23="Atrasada",INT(Parâmetros!$C$4)-$G23,"")))</f>
        <v/>
      </c>
      <c r="L23" s="26" t="str">
        <f aca="false">IF($J23&lt;&gt;"Realizada","",IF($K23&lt;=0,"No prazo",IF($K23&lt;=7,"Até 7 dias",IF($K23&lt;=30,"Até 30 dias","Acima de 30"))))</f>
        <v/>
      </c>
      <c r="M23" s="26" t="n">
        <f aca="false">IF($C23="","",COUNTIFS($G$3:$G23,$G23))</f>
        <v>1</v>
      </c>
      <c r="N23" s="26" t="str">
        <f aca="false">IF($C23="","",$G23&amp;"|"&amp;$M23)</f>
        <v>46686|1</v>
      </c>
    </row>
    <row r="24" customFormat="false" ht="18" hidden="false" customHeight="true" outlineLevel="0" collapsed="false">
      <c r="A24" s="26" t="n">
        <v>1</v>
      </c>
      <c r="B24" s="26" t="n">
        <v>22</v>
      </c>
      <c r="C24" s="26" t="str">
        <f aca="false">IF(INDEX(Planos!$B$3:$B$27,1)="","",IF(22&gt;INDEX(Planos!$G$3:$G$27,1),"",INDEX(Planos!$B$3:$B$27,1)))</f>
        <v>TM-001</v>
      </c>
      <c r="D24" s="40" t="str">
        <f aca="false">IF($C24="","",IFERROR(INDEX(Ativos!$B$3:$B$42,MATCH($C24,Ativos!$A$3:$A$42,0)),""))</f>
        <v>Torno mecânico universal 1.000 mm</v>
      </c>
      <c r="E24" s="40" t="str">
        <f aca="false">IF($C24="","",INDEX(Planos!$C$3:$C$27,1))</f>
        <v>Preventiva mensal — inspeção geral</v>
      </c>
      <c r="F24" s="40" t="str">
        <f aca="false">IF($C24="","",INDEX(Planos!$D$3:$D$27,1))</f>
        <v>Manutenção preventiva</v>
      </c>
      <c r="G24" s="41" t="n">
        <f aca="false">IF($C24="",0,INDEX(Planos!$F$3:$F$27,1)+(22-1)*INDEX(Planos!$E$3:$E$27,1))</f>
        <v>46716</v>
      </c>
      <c r="H24" s="40" t="str">
        <f aca="false">IF($C24="","",INDEX(Planos!$H$3:$H$27,1))</f>
        <v>Carlos Menezes</v>
      </c>
      <c r="I24" s="41" t="str">
        <f aca="false">IF($C24="","",IF(INDEX(Planos!$J$3:$AG$27,$A24,$B24)=0,"",INDEX(Planos!$J$3:$AG$27,$A24,$B24)))</f>
        <v/>
      </c>
      <c r="J24" s="26" t="str">
        <f aca="false">IF($C24="","",IF($I24&lt;&gt;"","Realizada",IF($G24&lt;INT(Parâmetros!$C$4),"Atrasada","Agendada")))</f>
        <v>Agendada</v>
      </c>
      <c r="K24" s="42" t="str">
        <f aca="false">IF($C24="","",IF($I24&lt;&gt;"",$I24-$G24,IF($J24="Atrasada",INT(Parâmetros!$C$4)-$G24,"")))</f>
        <v/>
      </c>
      <c r="L24" s="26" t="str">
        <f aca="false">IF($J24&lt;&gt;"Realizada","",IF($K24&lt;=0,"No prazo",IF($K24&lt;=7,"Até 7 dias",IF($K24&lt;=30,"Até 30 dias","Acima de 30"))))</f>
        <v/>
      </c>
      <c r="M24" s="26" t="n">
        <f aca="false">IF($C24="","",COUNTIFS($G$3:$G24,$G24))</f>
        <v>1</v>
      </c>
      <c r="N24" s="26" t="str">
        <f aca="false">IF($C24="","",$G24&amp;"|"&amp;$M24)</f>
        <v>46716|1</v>
      </c>
    </row>
    <row r="25" customFormat="false" ht="18" hidden="false" customHeight="true" outlineLevel="0" collapsed="false">
      <c r="A25" s="26" t="n">
        <v>1</v>
      </c>
      <c r="B25" s="26" t="n">
        <v>23</v>
      </c>
      <c r="C25" s="26" t="str">
        <f aca="false">IF(INDEX(Planos!$B$3:$B$27,1)="","",IF(23&gt;INDEX(Planos!$G$3:$G$27,1),"",INDEX(Planos!$B$3:$B$27,1)))</f>
        <v>TM-001</v>
      </c>
      <c r="D25" s="40" t="str">
        <f aca="false">IF($C25="","",IFERROR(INDEX(Ativos!$B$3:$B$42,MATCH($C25,Ativos!$A$3:$A$42,0)),""))</f>
        <v>Torno mecânico universal 1.000 mm</v>
      </c>
      <c r="E25" s="40" t="str">
        <f aca="false">IF($C25="","",INDEX(Planos!$C$3:$C$27,1))</f>
        <v>Preventiva mensal — inspeção geral</v>
      </c>
      <c r="F25" s="40" t="str">
        <f aca="false">IF($C25="","",INDEX(Planos!$D$3:$D$27,1))</f>
        <v>Manutenção preventiva</v>
      </c>
      <c r="G25" s="41" t="n">
        <f aca="false">IF($C25="",0,INDEX(Planos!$F$3:$F$27,1)+(23-1)*INDEX(Planos!$E$3:$E$27,1))</f>
        <v>46746</v>
      </c>
      <c r="H25" s="40" t="str">
        <f aca="false">IF($C25="","",INDEX(Planos!$H$3:$H$27,1))</f>
        <v>Carlos Menezes</v>
      </c>
      <c r="I25" s="41" t="str">
        <f aca="false">IF($C25="","",IF(INDEX(Planos!$J$3:$AG$27,$A25,$B25)=0,"",INDEX(Planos!$J$3:$AG$27,$A25,$B25)))</f>
        <v/>
      </c>
      <c r="J25" s="26" t="str">
        <f aca="false">IF($C25="","",IF($I25&lt;&gt;"","Realizada",IF($G25&lt;INT(Parâmetros!$C$4),"Atrasada","Agendada")))</f>
        <v>Agendada</v>
      </c>
      <c r="K25" s="42" t="str">
        <f aca="false">IF($C25="","",IF($I25&lt;&gt;"",$I25-$G25,IF($J25="Atrasada",INT(Parâmetros!$C$4)-$G25,"")))</f>
        <v/>
      </c>
      <c r="L25" s="26" t="str">
        <f aca="false">IF($J25&lt;&gt;"Realizada","",IF($K25&lt;=0,"No prazo",IF($K25&lt;=7,"Até 7 dias",IF($K25&lt;=30,"Até 30 dias","Acima de 30"))))</f>
        <v/>
      </c>
      <c r="M25" s="26" t="n">
        <f aca="false">IF($C25="","",COUNTIFS($G$3:$G25,$G25))</f>
        <v>1</v>
      </c>
      <c r="N25" s="26" t="str">
        <f aca="false">IF($C25="","",$G25&amp;"|"&amp;$M25)</f>
        <v>46746|1</v>
      </c>
    </row>
    <row r="26" customFormat="false" ht="18" hidden="false" customHeight="true" outlineLevel="0" collapsed="false">
      <c r="A26" s="26" t="n">
        <v>1</v>
      </c>
      <c r="B26" s="26" t="n">
        <v>24</v>
      </c>
      <c r="C26" s="26" t="str">
        <f aca="false">IF(INDEX(Planos!$B$3:$B$27,1)="","",IF(24&gt;INDEX(Planos!$G$3:$G$27,1),"",INDEX(Planos!$B$3:$B$27,1)))</f>
        <v>TM-001</v>
      </c>
      <c r="D26" s="40" t="str">
        <f aca="false">IF($C26="","",IFERROR(INDEX(Ativos!$B$3:$B$42,MATCH($C26,Ativos!$A$3:$A$42,0)),""))</f>
        <v>Torno mecânico universal 1.000 mm</v>
      </c>
      <c r="E26" s="40" t="str">
        <f aca="false">IF($C26="","",INDEX(Planos!$C$3:$C$27,1))</f>
        <v>Preventiva mensal — inspeção geral</v>
      </c>
      <c r="F26" s="40" t="str">
        <f aca="false">IF($C26="","",INDEX(Planos!$D$3:$D$27,1))</f>
        <v>Manutenção preventiva</v>
      </c>
      <c r="G26" s="41" t="n">
        <f aca="false">IF($C26="",0,INDEX(Planos!$F$3:$F$27,1)+(24-1)*INDEX(Planos!$E$3:$E$27,1))</f>
        <v>46776</v>
      </c>
      <c r="H26" s="40" t="str">
        <f aca="false">IF($C26="","",INDEX(Planos!$H$3:$H$27,1))</f>
        <v>Carlos Menezes</v>
      </c>
      <c r="I26" s="41" t="str">
        <f aca="false">IF($C26="","",IF(INDEX(Planos!$J$3:$AG$27,$A26,$B26)=0,"",INDEX(Planos!$J$3:$AG$27,$A26,$B26)))</f>
        <v/>
      </c>
      <c r="J26" s="26" t="str">
        <f aca="false">IF($C26="","",IF($I26&lt;&gt;"","Realizada",IF($G26&lt;INT(Parâmetros!$C$4),"Atrasada","Agendada")))</f>
        <v>Agendada</v>
      </c>
      <c r="K26" s="42" t="str">
        <f aca="false">IF($C26="","",IF($I26&lt;&gt;"",$I26-$G26,IF($J26="Atrasada",INT(Parâmetros!$C$4)-$G26,"")))</f>
        <v/>
      </c>
      <c r="L26" s="26" t="str">
        <f aca="false">IF($J26&lt;&gt;"Realizada","",IF($K26&lt;=0,"No prazo",IF($K26&lt;=7,"Até 7 dias",IF($K26&lt;=30,"Até 30 dias","Acima de 30"))))</f>
        <v/>
      </c>
      <c r="M26" s="26" t="n">
        <f aca="false">IF($C26="","",COUNTIFS($G$3:$G26,$G26))</f>
        <v>1</v>
      </c>
      <c r="N26" s="26" t="str">
        <f aca="false">IF($C26="","",$G26&amp;"|"&amp;$M26)</f>
        <v>46776|1</v>
      </c>
    </row>
    <row r="27" customFormat="false" ht="18" hidden="false" customHeight="true" outlineLevel="0" collapsed="false">
      <c r="A27" s="26" t="n">
        <v>2</v>
      </c>
      <c r="B27" s="26" t="n">
        <v>1</v>
      </c>
      <c r="C27" s="26" t="str">
        <f aca="false">IF(INDEX(Planos!$B$3:$B$27,2)="","",IF(1&gt;INDEX(Planos!$G$3:$G$27,2),"",INDEX(Planos!$B$3:$B$27,2)))</f>
        <v>TM-001</v>
      </c>
      <c r="D27" s="40" t="str">
        <f aca="false">IF($C27="","",IFERROR(INDEX(Ativos!$B$3:$B$42,MATCH($C27,Ativos!$A$3:$A$42,0)),""))</f>
        <v>Torno mecânico universal 1.000 mm</v>
      </c>
      <c r="E27" s="40" t="str">
        <f aca="false">IF($C27="","",INDEX(Planos!$C$3:$C$27,2))</f>
        <v>Lubrificação e ajuste de folgas</v>
      </c>
      <c r="F27" s="40" t="str">
        <f aca="false">IF($C27="","",INDEX(Planos!$D$3:$D$27,2))</f>
        <v>Manutenção preventiva</v>
      </c>
      <c r="G27" s="41" t="n">
        <f aca="false">IF($C27="",0,INDEX(Planos!$F$3:$F$27,2)+(1-1)*INDEX(Planos!$E$3:$E$27,2))</f>
        <v>46065</v>
      </c>
      <c r="H27" s="40" t="str">
        <f aca="false">IF($C27="","",INDEX(Planos!$H$3:$H$27,2))</f>
        <v>Carlos Menezes</v>
      </c>
      <c r="I27" s="41" t="n">
        <f aca="false">IF($C27="","",IF(INDEX(Planos!$J$3:$AG$27,$A27,$B27)=0,"",INDEX(Planos!$J$3:$AG$27,$A27,$B27)))</f>
        <v>46074</v>
      </c>
      <c r="J27" s="26" t="str">
        <f aca="false">IF($C27="","",IF($I27&lt;&gt;"","Realizada",IF($G27&lt;INT(Parâmetros!$C$4),"Atrasada","Agendada")))</f>
        <v>Realizada</v>
      </c>
      <c r="K27" s="42" t="n">
        <f aca="false">IF($C27="","",IF($I27&lt;&gt;"",$I27-$G27,IF($J27="Atrasada",INT(Parâmetros!$C$4)-$G27,"")))</f>
        <v>9</v>
      </c>
      <c r="L27" s="26" t="str">
        <f aca="false">IF($J27&lt;&gt;"Realizada","",IF($K27&lt;=0,"No prazo",IF($K27&lt;=7,"Até 7 dias",IF($K27&lt;=30,"Até 30 dias","Acima de 30"))))</f>
        <v>Até 30 dias</v>
      </c>
      <c r="M27" s="26" t="n">
        <f aca="false">IF($C27="","",COUNTIFS($G$3:$G27,$G27))</f>
        <v>1</v>
      </c>
      <c r="N27" s="26" t="str">
        <f aca="false">IF($C27="","",$G27&amp;"|"&amp;$M27)</f>
        <v>46065|1</v>
      </c>
    </row>
    <row r="28" customFormat="false" ht="18" hidden="false" customHeight="true" outlineLevel="0" collapsed="false">
      <c r="A28" s="26" t="n">
        <v>2</v>
      </c>
      <c r="B28" s="26" t="n">
        <v>2</v>
      </c>
      <c r="C28" s="26" t="str">
        <f aca="false">IF(INDEX(Planos!$B$3:$B$27,2)="","",IF(2&gt;INDEX(Planos!$G$3:$G$27,2),"",INDEX(Planos!$B$3:$B$27,2)))</f>
        <v>TM-001</v>
      </c>
      <c r="D28" s="40" t="str">
        <f aca="false">IF($C28="","",IFERROR(INDEX(Ativos!$B$3:$B$42,MATCH($C28,Ativos!$A$3:$A$42,0)),""))</f>
        <v>Torno mecânico universal 1.000 mm</v>
      </c>
      <c r="E28" s="40" t="str">
        <f aca="false">IF($C28="","",INDEX(Planos!$C$3:$C$27,2))</f>
        <v>Lubrificação e ajuste de folgas</v>
      </c>
      <c r="F28" s="40" t="str">
        <f aca="false">IF($C28="","",INDEX(Planos!$D$3:$D$27,2))</f>
        <v>Manutenção preventiva</v>
      </c>
      <c r="G28" s="41" t="n">
        <f aca="false">IF($C28="",0,INDEX(Planos!$F$3:$F$27,2)+(2-1)*INDEX(Planos!$E$3:$E$27,2))</f>
        <v>46155</v>
      </c>
      <c r="H28" s="40" t="str">
        <f aca="false">IF($C28="","",INDEX(Planos!$H$3:$H$27,2))</f>
        <v>Carlos Menezes</v>
      </c>
      <c r="I28" s="41" t="n">
        <f aca="false">IF($C28="","",IF(INDEX(Planos!$J$3:$AG$27,$A28,$B28)=0,"",INDEX(Planos!$J$3:$AG$27,$A28,$B28)))</f>
        <v>46155</v>
      </c>
      <c r="J28" s="26" t="str">
        <f aca="false">IF($C28="","",IF($I28&lt;&gt;"","Realizada",IF($G28&lt;INT(Parâmetros!$C$4),"Atrasada","Agendada")))</f>
        <v>Realizada</v>
      </c>
      <c r="K28" s="42" t="n">
        <f aca="false">IF($C28="","",IF($I28&lt;&gt;"",$I28-$G28,IF($J28="Atrasada",INT(Parâmetros!$C$4)-$G28,"")))</f>
        <v>0</v>
      </c>
      <c r="L28" s="26" t="str">
        <f aca="false">IF($J28&lt;&gt;"Realizada","",IF($K28&lt;=0,"No prazo",IF($K28&lt;=7,"Até 7 dias",IF($K28&lt;=30,"Até 30 dias","Acima de 30"))))</f>
        <v>No prazo</v>
      </c>
      <c r="M28" s="26" t="n">
        <f aca="false">IF($C28="","",COUNTIFS($G$3:$G28,$G28))</f>
        <v>1</v>
      </c>
      <c r="N28" s="26" t="str">
        <f aca="false">IF($C28="","",$G28&amp;"|"&amp;$M28)</f>
        <v>46155|1</v>
      </c>
    </row>
    <row r="29" customFormat="false" ht="18" hidden="false" customHeight="true" outlineLevel="0" collapsed="false">
      <c r="A29" s="26" t="n">
        <v>2</v>
      </c>
      <c r="B29" s="26" t="n">
        <v>3</v>
      </c>
      <c r="C29" s="26" t="str">
        <f aca="false">IF(INDEX(Planos!$B$3:$B$27,2)="","",IF(3&gt;INDEX(Planos!$G$3:$G$27,2),"",INDEX(Planos!$B$3:$B$27,2)))</f>
        <v>TM-001</v>
      </c>
      <c r="D29" s="40" t="str">
        <f aca="false">IF($C29="","",IFERROR(INDEX(Ativos!$B$3:$B$42,MATCH($C29,Ativos!$A$3:$A$42,0)),""))</f>
        <v>Torno mecânico universal 1.000 mm</v>
      </c>
      <c r="E29" s="40" t="str">
        <f aca="false">IF($C29="","",INDEX(Planos!$C$3:$C$27,2))</f>
        <v>Lubrificação e ajuste de folgas</v>
      </c>
      <c r="F29" s="40" t="str">
        <f aca="false">IF($C29="","",INDEX(Planos!$D$3:$D$27,2))</f>
        <v>Manutenção preventiva</v>
      </c>
      <c r="G29" s="41" t="n">
        <f aca="false">IF($C29="",0,INDEX(Planos!$F$3:$F$27,2)+(3-1)*INDEX(Planos!$E$3:$E$27,2))</f>
        <v>46245</v>
      </c>
      <c r="H29" s="40" t="str">
        <f aca="false">IF($C29="","",INDEX(Planos!$H$3:$H$27,2))</f>
        <v>Carlos Menezes</v>
      </c>
      <c r="I29" s="41" t="str">
        <f aca="false">IF($C29="","",IF(INDEX(Planos!$J$3:$AG$27,$A29,$B29)=0,"",INDEX(Planos!$J$3:$AG$27,$A29,$B29)))</f>
        <v/>
      </c>
      <c r="J29" s="26" t="str">
        <f aca="false">IF($C29="","",IF($I29&lt;&gt;"","Realizada",IF($G29&lt;INT(Parâmetros!$C$4),"Atrasada","Agendada")))</f>
        <v>Agendada</v>
      </c>
      <c r="K29" s="42" t="str">
        <f aca="false">IF($C29="","",IF($I29&lt;&gt;"",$I29-$G29,IF($J29="Atrasada",INT(Parâmetros!$C$4)-$G29,"")))</f>
        <v/>
      </c>
      <c r="L29" s="26" t="str">
        <f aca="false">IF($J29&lt;&gt;"Realizada","",IF($K29&lt;=0,"No prazo",IF($K29&lt;=7,"Até 7 dias",IF($K29&lt;=30,"Até 30 dias","Acima de 30"))))</f>
        <v/>
      </c>
      <c r="M29" s="26" t="n">
        <f aca="false">IF($C29="","",COUNTIFS($G$3:$G29,$G29))</f>
        <v>1</v>
      </c>
      <c r="N29" s="26" t="str">
        <f aca="false">IF($C29="","",$G29&amp;"|"&amp;$M29)</f>
        <v>46245|1</v>
      </c>
    </row>
    <row r="30" customFormat="false" ht="18" hidden="false" customHeight="true" outlineLevel="0" collapsed="false">
      <c r="A30" s="26" t="n">
        <v>2</v>
      </c>
      <c r="B30" s="26" t="n">
        <v>4</v>
      </c>
      <c r="C30" s="26" t="str">
        <f aca="false">IF(INDEX(Planos!$B$3:$B$27,2)="","",IF(4&gt;INDEX(Planos!$G$3:$G$27,2),"",INDEX(Planos!$B$3:$B$27,2)))</f>
        <v>TM-001</v>
      </c>
      <c r="D30" s="40" t="str">
        <f aca="false">IF($C30="","",IFERROR(INDEX(Ativos!$B$3:$B$42,MATCH($C30,Ativos!$A$3:$A$42,0)),""))</f>
        <v>Torno mecânico universal 1.000 mm</v>
      </c>
      <c r="E30" s="40" t="str">
        <f aca="false">IF($C30="","",INDEX(Planos!$C$3:$C$27,2))</f>
        <v>Lubrificação e ajuste de folgas</v>
      </c>
      <c r="F30" s="40" t="str">
        <f aca="false">IF($C30="","",INDEX(Planos!$D$3:$D$27,2))</f>
        <v>Manutenção preventiva</v>
      </c>
      <c r="G30" s="41" t="n">
        <f aca="false">IF($C30="",0,INDEX(Planos!$F$3:$F$27,2)+(4-1)*INDEX(Planos!$E$3:$E$27,2))</f>
        <v>46335</v>
      </c>
      <c r="H30" s="40" t="str">
        <f aca="false">IF($C30="","",INDEX(Planos!$H$3:$H$27,2))</f>
        <v>Carlos Menezes</v>
      </c>
      <c r="I30" s="41" t="str">
        <f aca="false">IF($C30="","",IF(INDEX(Planos!$J$3:$AG$27,$A30,$B30)=0,"",INDEX(Planos!$J$3:$AG$27,$A30,$B30)))</f>
        <v/>
      </c>
      <c r="J30" s="26" t="str">
        <f aca="false">IF($C30="","",IF($I30&lt;&gt;"","Realizada",IF($G30&lt;INT(Parâmetros!$C$4),"Atrasada","Agendada")))</f>
        <v>Agendada</v>
      </c>
      <c r="K30" s="42" t="str">
        <f aca="false">IF($C30="","",IF($I30&lt;&gt;"",$I30-$G30,IF($J30="Atrasada",INT(Parâmetros!$C$4)-$G30,"")))</f>
        <v/>
      </c>
      <c r="L30" s="26" t="str">
        <f aca="false">IF($J30&lt;&gt;"Realizada","",IF($K30&lt;=0,"No prazo",IF($K30&lt;=7,"Até 7 dias",IF($K30&lt;=30,"Até 30 dias","Acima de 30"))))</f>
        <v/>
      </c>
      <c r="M30" s="26" t="n">
        <f aca="false">IF($C30="","",COUNTIFS($G$3:$G30,$G30))</f>
        <v>1</v>
      </c>
      <c r="N30" s="26" t="str">
        <f aca="false">IF($C30="","",$G30&amp;"|"&amp;$M30)</f>
        <v>46335|1</v>
      </c>
    </row>
    <row r="31" customFormat="false" ht="18" hidden="false" customHeight="true" outlineLevel="0" collapsed="false">
      <c r="A31" s="26" t="n">
        <v>2</v>
      </c>
      <c r="B31" s="26" t="n">
        <v>5</v>
      </c>
      <c r="C31" s="26" t="str">
        <f aca="false">IF(INDEX(Planos!$B$3:$B$27,2)="","",IF(5&gt;INDEX(Planos!$G$3:$G$27,2),"",INDEX(Planos!$B$3:$B$27,2)))</f>
        <v>TM-001</v>
      </c>
      <c r="D31" s="40" t="str">
        <f aca="false">IF($C31="","",IFERROR(INDEX(Ativos!$B$3:$B$42,MATCH($C31,Ativos!$A$3:$A$42,0)),""))</f>
        <v>Torno mecânico universal 1.000 mm</v>
      </c>
      <c r="E31" s="40" t="str">
        <f aca="false">IF($C31="","",INDEX(Planos!$C$3:$C$27,2))</f>
        <v>Lubrificação e ajuste de folgas</v>
      </c>
      <c r="F31" s="40" t="str">
        <f aca="false">IF($C31="","",INDEX(Planos!$D$3:$D$27,2))</f>
        <v>Manutenção preventiva</v>
      </c>
      <c r="G31" s="41" t="n">
        <f aca="false">IF($C31="",0,INDEX(Planos!$F$3:$F$27,2)+(5-1)*INDEX(Planos!$E$3:$E$27,2))</f>
        <v>46425</v>
      </c>
      <c r="H31" s="40" t="str">
        <f aca="false">IF($C31="","",INDEX(Planos!$H$3:$H$27,2))</f>
        <v>Carlos Menezes</v>
      </c>
      <c r="I31" s="41" t="str">
        <f aca="false">IF($C31="","",IF(INDEX(Planos!$J$3:$AG$27,$A31,$B31)=0,"",INDEX(Planos!$J$3:$AG$27,$A31,$B31)))</f>
        <v/>
      </c>
      <c r="J31" s="26" t="str">
        <f aca="false">IF($C31="","",IF($I31&lt;&gt;"","Realizada",IF($G31&lt;INT(Parâmetros!$C$4),"Atrasada","Agendada")))</f>
        <v>Agendada</v>
      </c>
      <c r="K31" s="42" t="str">
        <f aca="false">IF($C31="","",IF($I31&lt;&gt;"",$I31-$G31,IF($J31="Atrasada",INT(Parâmetros!$C$4)-$G31,"")))</f>
        <v/>
      </c>
      <c r="L31" s="26" t="str">
        <f aca="false">IF($J31&lt;&gt;"Realizada","",IF($K31&lt;=0,"No prazo",IF($K31&lt;=7,"Até 7 dias",IF($K31&lt;=30,"Até 30 dias","Acima de 30"))))</f>
        <v/>
      </c>
      <c r="M31" s="26" t="n">
        <f aca="false">IF($C31="","",COUNTIFS($G$3:$G31,$G31))</f>
        <v>1</v>
      </c>
      <c r="N31" s="26" t="str">
        <f aca="false">IF($C31="","",$G31&amp;"|"&amp;$M31)</f>
        <v>46425|1</v>
      </c>
    </row>
    <row r="32" customFormat="false" ht="18" hidden="false" customHeight="true" outlineLevel="0" collapsed="false">
      <c r="A32" s="26" t="n">
        <v>2</v>
      </c>
      <c r="B32" s="26" t="n">
        <v>6</v>
      </c>
      <c r="C32" s="26" t="str">
        <f aca="false">IF(INDEX(Planos!$B$3:$B$27,2)="","",IF(6&gt;INDEX(Planos!$G$3:$G$27,2),"",INDEX(Planos!$B$3:$B$27,2)))</f>
        <v>TM-001</v>
      </c>
      <c r="D32" s="40" t="str">
        <f aca="false">IF($C32="","",IFERROR(INDEX(Ativos!$B$3:$B$42,MATCH($C32,Ativos!$A$3:$A$42,0)),""))</f>
        <v>Torno mecânico universal 1.000 mm</v>
      </c>
      <c r="E32" s="40" t="str">
        <f aca="false">IF($C32="","",INDEX(Planos!$C$3:$C$27,2))</f>
        <v>Lubrificação e ajuste de folgas</v>
      </c>
      <c r="F32" s="40" t="str">
        <f aca="false">IF($C32="","",INDEX(Planos!$D$3:$D$27,2))</f>
        <v>Manutenção preventiva</v>
      </c>
      <c r="G32" s="41" t="n">
        <f aca="false">IF($C32="",0,INDEX(Planos!$F$3:$F$27,2)+(6-1)*INDEX(Planos!$E$3:$E$27,2))</f>
        <v>46515</v>
      </c>
      <c r="H32" s="40" t="str">
        <f aca="false">IF($C32="","",INDEX(Planos!$H$3:$H$27,2))</f>
        <v>Carlos Menezes</v>
      </c>
      <c r="I32" s="41" t="str">
        <f aca="false">IF($C32="","",IF(INDEX(Planos!$J$3:$AG$27,$A32,$B32)=0,"",INDEX(Planos!$J$3:$AG$27,$A32,$B32)))</f>
        <v/>
      </c>
      <c r="J32" s="26" t="str">
        <f aca="false">IF($C32="","",IF($I32&lt;&gt;"","Realizada",IF($G32&lt;INT(Parâmetros!$C$4),"Atrasada","Agendada")))</f>
        <v>Agendada</v>
      </c>
      <c r="K32" s="42" t="str">
        <f aca="false">IF($C32="","",IF($I32&lt;&gt;"",$I32-$G32,IF($J32="Atrasada",INT(Parâmetros!$C$4)-$G32,"")))</f>
        <v/>
      </c>
      <c r="L32" s="26" t="str">
        <f aca="false">IF($J32&lt;&gt;"Realizada","",IF($K32&lt;=0,"No prazo",IF($K32&lt;=7,"Até 7 dias",IF($K32&lt;=30,"Até 30 dias","Acima de 30"))))</f>
        <v/>
      </c>
      <c r="M32" s="26" t="n">
        <f aca="false">IF($C32="","",COUNTIFS($G$3:$G32,$G32))</f>
        <v>1</v>
      </c>
      <c r="N32" s="26" t="str">
        <f aca="false">IF($C32="","",$G32&amp;"|"&amp;$M32)</f>
        <v>46515|1</v>
      </c>
    </row>
    <row r="33" customFormat="false" ht="18" hidden="false" customHeight="true" outlineLevel="0" collapsed="false">
      <c r="A33" s="26" t="n">
        <v>2</v>
      </c>
      <c r="B33" s="26" t="n">
        <v>7</v>
      </c>
      <c r="C33" s="26" t="str">
        <f aca="false">IF(INDEX(Planos!$B$3:$B$27,2)="","",IF(7&gt;INDEX(Planos!$G$3:$G$27,2),"",INDEX(Planos!$B$3:$B$27,2)))</f>
        <v>TM-001</v>
      </c>
      <c r="D33" s="40" t="str">
        <f aca="false">IF($C33="","",IFERROR(INDEX(Ativos!$B$3:$B$42,MATCH($C33,Ativos!$A$3:$A$42,0)),""))</f>
        <v>Torno mecânico universal 1.000 mm</v>
      </c>
      <c r="E33" s="40" t="str">
        <f aca="false">IF($C33="","",INDEX(Planos!$C$3:$C$27,2))</f>
        <v>Lubrificação e ajuste de folgas</v>
      </c>
      <c r="F33" s="40" t="str">
        <f aca="false">IF($C33="","",INDEX(Planos!$D$3:$D$27,2))</f>
        <v>Manutenção preventiva</v>
      </c>
      <c r="G33" s="41" t="n">
        <f aca="false">IF($C33="",0,INDEX(Planos!$F$3:$F$27,2)+(7-1)*INDEX(Planos!$E$3:$E$27,2))</f>
        <v>46605</v>
      </c>
      <c r="H33" s="40" t="str">
        <f aca="false">IF($C33="","",INDEX(Planos!$H$3:$H$27,2))</f>
        <v>Carlos Menezes</v>
      </c>
      <c r="I33" s="41" t="str">
        <f aca="false">IF($C33="","",IF(INDEX(Planos!$J$3:$AG$27,$A33,$B33)=0,"",INDEX(Planos!$J$3:$AG$27,$A33,$B33)))</f>
        <v/>
      </c>
      <c r="J33" s="26" t="str">
        <f aca="false">IF($C33="","",IF($I33&lt;&gt;"","Realizada",IF($G33&lt;INT(Parâmetros!$C$4),"Atrasada","Agendada")))</f>
        <v>Agendada</v>
      </c>
      <c r="K33" s="42" t="str">
        <f aca="false">IF($C33="","",IF($I33&lt;&gt;"",$I33-$G33,IF($J33="Atrasada",INT(Parâmetros!$C$4)-$G33,"")))</f>
        <v/>
      </c>
      <c r="L33" s="26" t="str">
        <f aca="false">IF($J33&lt;&gt;"Realizada","",IF($K33&lt;=0,"No prazo",IF($K33&lt;=7,"Até 7 dias",IF($K33&lt;=30,"Até 30 dias","Acima de 30"))))</f>
        <v/>
      </c>
      <c r="M33" s="26" t="n">
        <f aca="false">IF($C33="","",COUNTIFS($G$3:$G33,$G33))</f>
        <v>1</v>
      </c>
      <c r="N33" s="26" t="str">
        <f aca="false">IF($C33="","",$G33&amp;"|"&amp;$M33)</f>
        <v>46605|1</v>
      </c>
    </row>
    <row r="34" customFormat="false" ht="18" hidden="false" customHeight="true" outlineLevel="0" collapsed="false">
      <c r="A34" s="26" t="n">
        <v>2</v>
      </c>
      <c r="B34" s="26" t="n">
        <v>8</v>
      </c>
      <c r="C34" s="26" t="str">
        <f aca="false">IF(INDEX(Planos!$B$3:$B$27,2)="","",IF(8&gt;INDEX(Planos!$G$3:$G$27,2),"",INDEX(Planos!$B$3:$B$27,2)))</f>
        <v>TM-001</v>
      </c>
      <c r="D34" s="40" t="str">
        <f aca="false">IF($C34="","",IFERROR(INDEX(Ativos!$B$3:$B$42,MATCH($C34,Ativos!$A$3:$A$42,0)),""))</f>
        <v>Torno mecânico universal 1.000 mm</v>
      </c>
      <c r="E34" s="40" t="str">
        <f aca="false">IF($C34="","",INDEX(Planos!$C$3:$C$27,2))</f>
        <v>Lubrificação e ajuste de folgas</v>
      </c>
      <c r="F34" s="40" t="str">
        <f aca="false">IF($C34="","",INDEX(Planos!$D$3:$D$27,2))</f>
        <v>Manutenção preventiva</v>
      </c>
      <c r="G34" s="41" t="n">
        <f aca="false">IF($C34="",0,INDEX(Planos!$F$3:$F$27,2)+(8-1)*INDEX(Planos!$E$3:$E$27,2))</f>
        <v>46695</v>
      </c>
      <c r="H34" s="40" t="str">
        <f aca="false">IF($C34="","",INDEX(Planos!$H$3:$H$27,2))</f>
        <v>Carlos Menezes</v>
      </c>
      <c r="I34" s="41" t="str">
        <f aca="false">IF($C34="","",IF(INDEX(Planos!$J$3:$AG$27,$A34,$B34)=0,"",INDEX(Planos!$J$3:$AG$27,$A34,$B34)))</f>
        <v/>
      </c>
      <c r="J34" s="26" t="str">
        <f aca="false">IF($C34="","",IF($I34&lt;&gt;"","Realizada",IF($G34&lt;INT(Parâmetros!$C$4),"Atrasada","Agendada")))</f>
        <v>Agendada</v>
      </c>
      <c r="K34" s="42" t="str">
        <f aca="false">IF($C34="","",IF($I34&lt;&gt;"",$I34-$G34,IF($J34="Atrasada",INT(Parâmetros!$C$4)-$G34,"")))</f>
        <v/>
      </c>
      <c r="L34" s="26" t="str">
        <f aca="false">IF($J34&lt;&gt;"Realizada","",IF($K34&lt;=0,"No prazo",IF($K34&lt;=7,"Até 7 dias",IF($K34&lt;=30,"Até 30 dias","Acima de 30"))))</f>
        <v/>
      </c>
      <c r="M34" s="26" t="n">
        <f aca="false">IF($C34="","",COUNTIFS($G$3:$G34,$G34))</f>
        <v>1</v>
      </c>
      <c r="N34" s="26" t="str">
        <f aca="false">IF($C34="","",$G34&amp;"|"&amp;$M34)</f>
        <v>46695|1</v>
      </c>
    </row>
    <row r="35" customFormat="false" ht="18" hidden="false" customHeight="true" outlineLevel="0" collapsed="false">
      <c r="A35" s="26" t="n">
        <v>2</v>
      </c>
      <c r="B35" s="26" t="n">
        <v>9</v>
      </c>
      <c r="C35" s="26" t="str">
        <f aca="false">IF(INDEX(Planos!$B$3:$B$27,2)="","",IF(9&gt;INDEX(Planos!$G$3:$G$27,2),"",INDEX(Planos!$B$3:$B$27,2)))</f>
        <v>TM-001</v>
      </c>
      <c r="D35" s="40" t="str">
        <f aca="false">IF($C35="","",IFERROR(INDEX(Ativos!$B$3:$B$42,MATCH($C35,Ativos!$A$3:$A$42,0)),""))</f>
        <v>Torno mecânico universal 1.000 mm</v>
      </c>
      <c r="E35" s="40" t="str">
        <f aca="false">IF($C35="","",INDEX(Planos!$C$3:$C$27,2))</f>
        <v>Lubrificação e ajuste de folgas</v>
      </c>
      <c r="F35" s="40" t="str">
        <f aca="false">IF($C35="","",INDEX(Planos!$D$3:$D$27,2))</f>
        <v>Manutenção preventiva</v>
      </c>
      <c r="G35" s="41" t="n">
        <f aca="false">IF($C35="",0,INDEX(Planos!$F$3:$F$27,2)+(9-1)*INDEX(Planos!$E$3:$E$27,2))</f>
        <v>46785</v>
      </c>
      <c r="H35" s="40" t="str">
        <f aca="false">IF($C35="","",INDEX(Planos!$H$3:$H$27,2))</f>
        <v>Carlos Menezes</v>
      </c>
      <c r="I35" s="41" t="str">
        <f aca="false">IF($C35="","",IF(INDEX(Planos!$J$3:$AG$27,$A35,$B35)=0,"",INDEX(Planos!$J$3:$AG$27,$A35,$B35)))</f>
        <v/>
      </c>
      <c r="J35" s="26" t="str">
        <f aca="false">IF($C35="","",IF($I35&lt;&gt;"","Realizada",IF($G35&lt;INT(Parâmetros!$C$4),"Atrasada","Agendada")))</f>
        <v>Agendada</v>
      </c>
      <c r="K35" s="42" t="str">
        <f aca="false">IF($C35="","",IF($I35&lt;&gt;"",$I35-$G35,IF($J35="Atrasada",INT(Parâmetros!$C$4)-$G35,"")))</f>
        <v/>
      </c>
      <c r="L35" s="26" t="str">
        <f aca="false">IF($J35&lt;&gt;"Realizada","",IF($K35&lt;=0,"No prazo",IF($K35&lt;=7,"Até 7 dias",IF($K35&lt;=30,"Até 30 dias","Acima de 30"))))</f>
        <v/>
      </c>
      <c r="M35" s="26" t="n">
        <f aca="false">IF($C35="","",COUNTIFS($G$3:$G35,$G35))</f>
        <v>1</v>
      </c>
      <c r="N35" s="26" t="str">
        <f aca="false">IF($C35="","",$G35&amp;"|"&amp;$M35)</f>
        <v>46785|1</v>
      </c>
    </row>
    <row r="36" customFormat="false" ht="18" hidden="false" customHeight="true" outlineLevel="0" collapsed="false">
      <c r="A36" s="26" t="n">
        <v>2</v>
      </c>
      <c r="B36" s="26" t="n">
        <v>10</v>
      </c>
      <c r="C36" s="26" t="str">
        <f aca="false">IF(INDEX(Planos!$B$3:$B$27,2)="","",IF(10&gt;INDEX(Planos!$G$3:$G$27,2),"",INDEX(Planos!$B$3:$B$27,2)))</f>
        <v>TM-001</v>
      </c>
      <c r="D36" s="40" t="str">
        <f aca="false">IF($C36="","",IFERROR(INDEX(Ativos!$B$3:$B$42,MATCH($C36,Ativos!$A$3:$A$42,0)),""))</f>
        <v>Torno mecânico universal 1.000 mm</v>
      </c>
      <c r="E36" s="40" t="str">
        <f aca="false">IF($C36="","",INDEX(Planos!$C$3:$C$27,2))</f>
        <v>Lubrificação e ajuste de folgas</v>
      </c>
      <c r="F36" s="40" t="str">
        <f aca="false">IF($C36="","",INDEX(Planos!$D$3:$D$27,2))</f>
        <v>Manutenção preventiva</v>
      </c>
      <c r="G36" s="41" t="n">
        <f aca="false">IF($C36="",0,INDEX(Planos!$F$3:$F$27,2)+(10-1)*INDEX(Planos!$E$3:$E$27,2))</f>
        <v>46875</v>
      </c>
      <c r="H36" s="40" t="str">
        <f aca="false">IF($C36="","",INDEX(Planos!$H$3:$H$27,2))</f>
        <v>Carlos Menezes</v>
      </c>
      <c r="I36" s="41" t="str">
        <f aca="false">IF($C36="","",IF(INDEX(Planos!$J$3:$AG$27,$A36,$B36)=0,"",INDEX(Planos!$J$3:$AG$27,$A36,$B36)))</f>
        <v/>
      </c>
      <c r="J36" s="26" t="str">
        <f aca="false">IF($C36="","",IF($I36&lt;&gt;"","Realizada",IF($G36&lt;INT(Parâmetros!$C$4),"Atrasada","Agendada")))</f>
        <v>Agendada</v>
      </c>
      <c r="K36" s="42" t="str">
        <f aca="false">IF($C36="","",IF($I36&lt;&gt;"",$I36-$G36,IF($J36="Atrasada",INT(Parâmetros!$C$4)-$G36,"")))</f>
        <v/>
      </c>
      <c r="L36" s="26" t="str">
        <f aca="false">IF($J36&lt;&gt;"Realizada","",IF($K36&lt;=0,"No prazo",IF($K36&lt;=7,"Até 7 dias",IF($K36&lt;=30,"Até 30 dias","Acima de 30"))))</f>
        <v/>
      </c>
      <c r="M36" s="26" t="n">
        <f aca="false">IF($C36="","",COUNTIFS($G$3:$G36,$G36))</f>
        <v>1</v>
      </c>
      <c r="N36" s="26" t="str">
        <f aca="false">IF($C36="","",$G36&amp;"|"&amp;$M36)</f>
        <v>46875|1</v>
      </c>
    </row>
    <row r="37" customFormat="false" ht="18" hidden="false" customHeight="true" outlineLevel="0" collapsed="false">
      <c r="A37" s="26" t="n">
        <v>2</v>
      </c>
      <c r="B37" s="26" t="n">
        <v>11</v>
      </c>
      <c r="C37" s="26" t="str">
        <f aca="false">IF(INDEX(Planos!$B$3:$B$27,2)="","",IF(11&gt;INDEX(Planos!$G$3:$G$27,2),"",INDEX(Planos!$B$3:$B$27,2)))</f>
        <v>TM-001</v>
      </c>
      <c r="D37" s="40" t="str">
        <f aca="false">IF($C37="","",IFERROR(INDEX(Ativos!$B$3:$B$42,MATCH($C37,Ativos!$A$3:$A$42,0)),""))</f>
        <v>Torno mecânico universal 1.000 mm</v>
      </c>
      <c r="E37" s="40" t="str">
        <f aca="false">IF($C37="","",INDEX(Planos!$C$3:$C$27,2))</f>
        <v>Lubrificação e ajuste de folgas</v>
      </c>
      <c r="F37" s="40" t="str">
        <f aca="false">IF($C37="","",INDEX(Planos!$D$3:$D$27,2))</f>
        <v>Manutenção preventiva</v>
      </c>
      <c r="G37" s="41" t="n">
        <f aca="false">IF($C37="",0,INDEX(Planos!$F$3:$F$27,2)+(11-1)*INDEX(Planos!$E$3:$E$27,2))</f>
        <v>46965</v>
      </c>
      <c r="H37" s="40" t="str">
        <f aca="false">IF($C37="","",INDEX(Planos!$H$3:$H$27,2))</f>
        <v>Carlos Menezes</v>
      </c>
      <c r="I37" s="41" t="str">
        <f aca="false">IF($C37="","",IF(INDEX(Planos!$J$3:$AG$27,$A37,$B37)=0,"",INDEX(Planos!$J$3:$AG$27,$A37,$B37)))</f>
        <v/>
      </c>
      <c r="J37" s="26" t="str">
        <f aca="false">IF($C37="","",IF($I37&lt;&gt;"","Realizada",IF($G37&lt;INT(Parâmetros!$C$4),"Atrasada","Agendada")))</f>
        <v>Agendada</v>
      </c>
      <c r="K37" s="42" t="str">
        <f aca="false">IF($C37="","",IF($I37&lt;&gt;"",$I37-$G37,IF($J37="Atrasada",INT(Parâmetros!$C$4)-$G37,"")))</f>
        <v/>
      </c>
      <c r="L37" s="26" t="str">
        <f aca="false">IF($J37&lt;&gt;"Realizada","",IF($K37&lt;=0,"No prazo",IF($K37&lt;=7,"Até 7 dias",IF($K37&lt;=30,"Até 30 dias","Acima de 30"))))</f>
        <v/>
      </c>
      <c r="M37" s="26" t="n">
        <f aca="false">IF($C37="","",COUNTIFS($G$3:$G37,$G37))</f>
        <v>1</v>
      </c>
      <c r="N37" s="26" t="str">
        <f aca="false">IF($C37="","",$G37&amp;"|"&amp;$M37)</f>
        <v>46965|1</v>
      </c>
    </row>
    <row r="38" customFormat="false" ht="18" hidden="false" customHeight="true" outlineLevel="0" collapsed="false">
      <c r="A38" s="26" t="n">
        <v>2</v>
      </c>
      <c r="B38" s="26" t="n">
        <v>12</v>
      </c>
      <c r="C38" s="26" t="str">
        <f aca="false">IF(INDEX(Planos!$B$3:$B$27,2)="","",IF(12&gt;INDEX(Planos!$G$3:$G$27,2),"",INDEX(Planos!$B$3:$B$27,2)))</f>
        <v>TM-001</v>
      </c>
      <c r="D38" s="40" t="str">
        <f aca="false">IF($C38="","",IFERROR(INDEX(Ativos!$B$3:$B$42,MATCH($C38,Ativos!$A$3:$A$42,0)),""))</f>
        <v>Torno mecânico universal 1.000 mm</v>
      </c>
      <c r="E38" s="40" t="str">
        <f aca="false">IF($C38="","",INDEX(Planos!$C$3:$C$27,2))</f>
        <v>Lubrificação e ajuste de folgas</v>
      </c>
      <c r="F38" s="40" t="str">
        <f aca="false">IF($C38="","",INDEX(Planos!$D$3:$D$27,2))</f>
        <v>Manutenção preventiva</v>
      </c>
      <c r="G38" s="41" t="n">
        <f aca="false">IF($C38="",0,INDEX(Planos!$F$3:$F$27,2)+(12-1)*INDEX(Planos!$E$3:$E$27,2))</f>
        <v>47055</v>
      </c>
      <c r="H38" s="40" t="str">
        <f aca="false">IF($C38="","",INDEX(Planos!$H$3:$H$27,2))</f>
        <v>Carlos Menezes</v>
      </c>
      <c r="I38" s="41" t="str">
        <f aca="false">IF($C38="","",IF(INDEX(Planos!$J$3:$AG$27,$A38,$B38)=0,"",INDEX(Planos!$J$3:$AG$27,$A38,$B38)))</f>
        <v/>
      </c>
      <c r="J38" s="26" t="str">
        <f aca="false">IF($C38="","",IF($I38&lt;&gt;"","Realizada",IF($G38&lt;INT(Parâmetros!$C$4),"Atrasada","Agendada")))</f>
        <v>Agendada</v>
      </c>
      <c r="K38" s="42" t="str">
        <f aca="false">IF($C38="","",IF($I38&lt;&gt;"",$I38-$G38,IF($J38="Atrasada",INT(Parâmetros!$C$4)-$G38,"")))</f>
        <v/>
      </c>
      <c r="L38" s="26" t="str">
        <f aca="false">IF($J38&lt;&gt;"Realizada","",IF($K38&lt;=0,"No prazo",IF($K38&lt;=7,"Até 7 dias",IF($K38&lt;=30,"Até 30 dias","Acima de 30"))))</f>
        <v/>
      </c>
      <c r="M38" s="26" t="n">
        <f aca="false">IF($C38="","",COUNTIFS($G$3:$G38,$G38))</f>
        <v>1</v>
      </c>
      <c r="N38" s="26" t="str">
        <f aca="false">IF($C38="","",$G38&amp;"|"&amp;$M38)</f>
        <v>47055|1</v>
      </c>
    </row>
    <row r="39" customFormat="false" ht="18" hidden="false" customHeight="true" outlineLevel="0" collapsed="false">
      <c r="A39" s="26" t="n">
        <v>2</v>
      </c>
      <c r="B39" s="26" t="n">
        <v>13</v>
      </c>
      <c r="C39" s="26" t="str">
        <f aca="false">IF(INDEX(Planos!$B$3:$B$27,2)="","",IF(13&gt;INDEX(Planos!$G$3:$G$27,2),"",INDEX(Planos!$B$3:$B$27,2)))</f>
        <v/>
      </c>
      <c r="D39" s="40" t="str">
        <f aca="false">IF($C39="","",IFERROR(INDEX(Ativos!$B$3:$B$42,MATCH($C39,Ativos!$A$3:$A$42,0)),""))</f>
        <v/>
      </c>
      <c r="E39" s="40" t="str">
        <f aca="false">IF($C39="","",INDEX(Planos!$C$3:$C$27,2))</f>
        <v/>
      </c>
      <c r="F39" s="40" t="str">
        <f aca="false">IF($C39="","",INDEX(Planos!$D$3:$D$27,2))</f>
        <v/>
      </c>
      <c r="G39" s="41" t="n">
        <f aca="false">IF($C39="",0,INDEX(Planos!$F$3:$F$27,2)+(13-1)*INDEX(Planos!$E$3:$E$27,2))</f>
        <v>0</v>
      </c>
      <c r="H39" s="40" t="str">
        <f aca="false">IF($C39="","",INDEX(Planos!$H$3:$H$27,2))</f>
        <v/>
      </c>
      <c r="I39" s="41" t="str">
        <f aca="false">IF($C39="","",IF(INDEX(Planos!$J$3:$AG$27,$A39,$B39)=0,"",INDEX(Planos!$J$3:$AG$27,$A39,$B39)))</f>
        <v/>
      </c>
      <c r="J39" s="26" t="str">
        <f aca="false">IF($C39="","",IF($I39&lt;&gt;"","Realizada",IF($G39&lt;INT(Parâmetros!$C$4),"Atrasada","Agendada")))</f>
        <v/>
      </c>
      <c r="K39" s="42" t="str">
        <f aca="false">IF($C39="","",IF($I39&lt;&gt;"",$I39-$G39,IF($J39="Atrasada",INT(Parâmetros!$C$4)-$G39,"")))</f>
        <v/>
      </c>
      <c r="L39" s="26" t="str">
        <f aca="false">IF($J39&lt;&gt;"Realizada","",IF($K39&lt;=0,"No prazo",IF($K39&lt;=7,"Até 7 dias",IF($K39&lt;=30,"Até 30 dias","Acima de 30"))))</f>
        <v/>
      </c>
      <c r="M39" s="26" t="str">
        <f aca="false">IF($C39="","",COUNTIFS($G$3:$G39,$G39))</f>
        <v/>
      </c>
      <c r="N39" s="26" t="str">
        <f aca="false">IF($C39="","",$G39&amp;"|"&amp;$M39)</f>
        <v/>
      </c>
    </row>
    <row r="40" customFormat="false" ht="18" hidden="false" customHeight="true" outlineLevel="0" collapsed="false">
      <c r="A40" s="26" t="n">
        <v>2</v>
      </c>
      <c r="B40" s="26" t="n">
        <v>14</v>
      </c>
      <c r="C40" s="26" t="str">
        <f aca="false">IF(INDEX(Planos!$B$3:$B$27,2)="","",IF(14&gt;INDEX(Planos!$G$3:$G$27,2),"",INDEX(Planos!$B$3:$B$27,2)))</f>
        <v/>
      </c>
      <c r="D40" s="40" t="str">
        <f aca="false">IF($C40="","",IFERROR(INDEX(Ativos!$B$3:$B$42,MATCH($C40,Ativos!$A$3:$A$42,0)),""))</f>
        <v/>
      </c>
      <c r="E40" s="40" t="str">
        <f aca="false">IF($C40="","",INDEX(Planos!$C$3:$C$27,2))</f>
        <v/>
      </c>
      <c r="F40" s="40" t="str">
        <f aca="false">IF($C40="","",INDEX(Planos!$D$3:$D$27,2))</f>
        <v/>
      </c>
      <c r="G40" s="41" t="n">
        <f aca="false">IF($C40="",0,INDEX(Planos!$F$3:$F$27,2)+(14-1)*INDEX(Planos!$E$3:$E$27,2))</f>
        <v>0</v>
      </c>
      <c r="H40" s="40" t="str">
        <f aca="false">IF($C40="","",INDEX(Planos!$H$3:$H$27,2))</f>
        <v/>
      </c>
      <c r="I40" s="41" t="str">
        <f aca="false">IF($C40="","",IF(INDEX(Planos!$J$3:$AG$27,$A40,$B40)=0,"",INDEX(Planos!$J$3:$AG$27,$A40,$B40)))</f>
        <v/>
      </c>
      <c r="J40" s="26" t="str">
        <f aca="false">IF($C40="","",IF($I40&lt;&gt;"","Realizada",IF($G40&lt;INT(Parâmetros!$C$4),"Atrasada","Agendada")))</f>
        <v/>
      </c>
      <c r="K40" s="42" t="str">
        <f aca="false">IF($C40="","",IF($I40&lt;&gt;"",$I40-$G40,IF($J40="Atrasada",INT(Parâmetros!$C$4)-$G40,"")))</f>
        <v/>
      </c>
      <c r="L40" s="26" t="str">
        <f aca="false">IF($J40&lt;&gt;"Realizada","",IF($K40&lt;=0,"No prazo",IF($K40&lt;=7,"Até 7 dias",IF($K40&lt;=30,"Até 30 dias","Acima de 30"))))</f>
        <v/>
      </c>
      <c r="M40" s="26" t="str">
        <f aca="false">IF($C40="","",COUNTIFS($G$3:$G40,$G40))</f>
        <v/>
      </c>
      <c r="N40" s="26" t="str">
        <f aca="false">IF($C40="","",$G40&amp;"|"&amp;$M40)</f>
        <v/>
      </c>
    </row>
    <row r="41" customFormat="false" ht="18" hidden="false" customHeight="true" outlineLevel="0" collapsed="false">
      <c r="A41" s="26" t="n">
        <v>2</v>
      </c>
      <c r="B41" s="26" t="n">
        <v>15</v>
      </c>
      <c r="C41" s="26" t="str">
        <f aca="false">IF(INDEX(Planos!$B$3:$B$27,2)="","",IF(15&gt;INDEX(Planos!$G$3:$G$27,2),"",INDEX(Planos!$B$3:$B$27,2)))</f>
        <v/>
      </c>
      <c r="D41" s="40" t="str">
        <f aca="false">IF($C41="","",IFERROR(INDEX(Ativos!$B$3:$B$42,MATCH($C41,Ativos!$A$3:$A$42,0)),""))</f>
        <v/>
      </c>
      <c r="E41" s="40" t="str">
        <f aca="false">IF($C41="","",INDEX(Planos!$C$3:$C$27,2))</f>
        <v/>
      </c>
      <c r="F41" s="40" t="str">
        <f aca="false">IF($C41="","",INDEX(Planos!$D$3:$D$27,2))</f>
        <v/>
      </c>
      <c r="G41" s="41" t="n">
        <f aca="false">IF($C41="",0,INDEX(Planos!$F$3:$F$27,2)+(15-1)*INDEX(Planos!$E$3:$E$27,2))</f>
        <v>0</v>
      </c>
      <c r="H41" s="40" t="str">
        <f aca="false">IF($C41="","",INDEX(Planos!$H$3:$H$27,2))</f>
        <v/>
      </c>
      <c r="I41" s="41" t="str">
        <f aca="false">IF($C41="","",IF(INDEX(Planos!$J$3:$AG$27,$A41,$B41)=0,"",INDEX(Planos!$J$3:$AG$27,$A41,$B41)))</f>
        <v/>
      </c>
      <c r="J41" s="26" t="str">
        <f aca="false">IF($C41="","",IF($I41&lt;&gt;"","Realizada",IF($G41&lt;INT(Parâmetros!$C$4),"Atrasada","Agendada")))</f>
        <v/>
      </c>
      <c r="K41" s="42" t="str">
        <f aca="false">IF($C41="","",IF($I41&lt;&gt;"",$I41-$G41,IF($J41="Atrasada",INT(Parâmetros!$C$4)-$G41,"")))</f>
        <v/>
      </c>
      <c r="L41" s="26" t="str">
        <f aca="false">IF($J41&lt;&gt;"Realizada","",IF($K41&lt;=0,"No prazo",IF($K41&lt;=7,"Até 7 dias",IF($K41&lt;=30,"Até 30 dias","Acima de 30"))))</f>
        <v/>
      </c>
      <c r="M41" s="26" t="str">
        <f aca="false">IF($C41="","",COUNTIFS($G$3:$G41,$G41))</f>
        <v/>
      </c>
      <c r="N41" s="26" t="str">
        <f aca="false">IF($C41="","",$G41&amp;"|"&amp;$M41)</f>
        <v/>
      </c>
    </row>
    <row r="42" customFormat="false" ht="18" hidden="false" customHeight="true" outlineLevel="0" collapsed="false">
      <c r="A42" s="26" t="n">
        <v>2</v>
      </c>
      <c r="B42" s="26" t="n">
        <v>16</v>
      </c>
      <c r="C42" s="26" t="str">
        <f aca="false">IF(INDEX(Planos!$B$3:$B$27,2)="","",IF(16&gt;INDEX(Planos!$G$3:$G$27,2),"",INDEX(Planos!$B$3:$B$27,2)))</f>
        <v/>
      </c>
      <c r="D42" s="40" t="str">
        <f aca="false">IF($C42="","",IFERROR(INDEX(Ativos!$B$3:$B$42,MATCH($C42,Ativos!$A$3:$A$42,0)),""))</f>
        <v/>
      </c>
      <c r="E42" s="40" t="str">
        <f aca="false">IF($C42="","",INDEX(Planos!$C$3:$C$27,2))</f>
        <v/>
      </c>
      <c r="F42" s="40" t="str">
        <f aca="false">IF($C42="","",INDEX(Planos!$D$3:$D$27,2))</f>
        <v/>
      </c>
      <c r="G42" s="41" t="n">
        <f aca="false">IF($C42="",0,INDEX(Planos!$F$3:$F$27,2)+(16-1)*INDEX(Planos!$E$3:$E$27,2))</f>
        <v>0</v>
      </c>
      <c r="H42" s="40" t="str">
        <f aca="false">IF($C42="","",INDEX(Planos!$H$3:$H$27,2))</f>
        <v/>
      </c>
      <c r="I42" s="41" t="str">
        <f aca="false">IF($C42="","",IF(INDEX(Planos!$J$3:$AG$27,$A42,$B42)=0,"",INDEX(Planos!$J$3:$AG$27,$A42,$B42)))</f>
        <v/>
      </c>
      <c r="J42" s="26" t="str">
        <f aca="false">IF($C42="","",IF($I42&lt;&gt;"","Realizada",IF($G42&lt;INT(Parâmetros!$C$4),"Atrasada","Agendada")))</f>
        <v/>
      </c>
      <c r="K42" s="42" t="str">
        <f aca="false">IF($C42="","",IF($I42&lt;&gt;"",$I42-$G42,IF($J42="Atrasada",INT(Parâmetros!$C$4)-$G42,"")))</f>
        <v/>
      </c>
      <c r="L42" s="26" t="str">
        <f aca="false">IF($J42&lt;&gt;"Realizada","",IF($K42&lt;=0,"No prazo",IF($K42&lt;=7,"Até 7 dias",IF($K42&lt;=30,"Até 30 dias","Acima de 30"))))</f>
        <v/>
      </c>
      <c r="M42" s="26" t="str">
        <f aca="false">IF($C42="","",COUNTIFS($G$3:$G42,$G42))</f>
        <v/>
      </c>
      <c r="N42" s="26" t="str">
        <f aca="false">IF($C42="","",$G42&amp;"|"&amp;$M42)</f>
        <v/>
      </c>
    </row>
    <row r="43" customFormat="false" ht="18" hidden="false" customHeight="true" outlineLevel="0" collapsed="false">
      <c r="A43" s="26" t="n">
        <v>2</v>
      </c>
      <c r="B43" s="26" t="n">
        <v>17</v>
      </c>
      <c r="C43" s="26" t="str">
        <f aca="false">IF(INDEX(Planos!$B$3:$B$27,2)="","",IF(17&gt;INDEX(Planos!$G$3:$G$27,2),"",INDEX(Planos!$B$3:$B$27,2)))</f>
        <v/>
      </c>
      <c r="D43" s="40" t="str">
        <f aca="false">IF($C43="","",IFERROR(INDEX(Ativos!$B$3:$B$42,MATCH($C43,Ativos!$A$3:$A$42,0)),""))</f>
        <v/>
      </c>
      <c r="E43" s="40" t="str">
        <f aca="false">IF($C43="","",INDEX(Planos!$C$3:$C$27,2))</f>
        <v/>
      </c>
      <c r="F43" s="40" t="str">
        <f aca="false">IF($C43="","",INDEX(Planos!$D$3:$D$27,2))</f>
        <v/>
      </c>
      <c r="G43" s="41" t="n">
        <f aca="false">IF($C43="",0,INDEX(Planos!$F$3:$F$27,2)+(17-1)*INDEX(Planos!$E$3:$E$27,2))</f>
        <v>0</v>
      </c>
      <c r="H43" s="40" t="str">
        <f aca="false">IF($C43="","",INDEX(Planos!$H$3:$H$27,2))</f>
        <v/>
      </c>
      <c r="I43" s="41" t="str">
        <f aca="false">IF($C43="","",IF(INDEX(Planos!$J$3:$AG$27,$A43,$B43)=0,"",INDEX(Planos!$J$3:$AG$27,$A43,$B43)))</f>
        <v/>
      </c>
      <c r="J43" s="26" t="str">
        <f aca="false">IF($C43="","",IF($I43&lt;&gt;"","Realizada",IF($G43&lt;INT(Parâmetros!$C$4),"Atrasada","Agendada")))</f>
        <v/>
      </c>
      <c r="K43" s="42" t="str">
        <f aca="false">IF($C43="","",IF($I43&lt;&gt;"",$I43-$G43,IF($J43="Atrasada",INT(Parâmetros!$C$4)-$G43,"")))</f>
        <v/>
      </c>
      <c r="L43" s="26" t="str">
        <f aca="false">IF($J43&lt;&gt;"Realizada","",IF($K43&lt;=0,"No prazo",IF($K43&lt;=7,"Até 7 dias",IF($K43&lt;=30,"Até 30 dias","Acima de 30"))))</f>
        <v/>
      </c>
      <c r="M43" s="26" t="str">
        <f aca="false">IF($C43="","",COUNTIFS($G$3:$G43,$G43))</f>
        <v/>
      </c>
      <c r="N43" s="26" t="str">
        <f aca="false">IF($C43="","",$G43&amp;"|"&amp;$M43)</f>
        <v/>
      </c>
    </row>
    <row r="44" customFormat="false" ht="18" hidden="false" customHeight="true" outlineLevel="0" collapsed="false">
      <c r="A44" s="26" t="n">
        <v>2</v>
      </c>
      <c r="B44" s="26" t="n">
        <v>18</v>
      </c>
      <c r="C44" s="26" t="str">
        <f aca="false">IF(INDEX(Planos!$B$3:$B$27,2)="","",IF(18&gt;INDEX(Planos!$G$3:$G$27,2),"",INDEX(Planos!$B$3:$B$27,2)))</f>
        <v/>
      </c>
      <c r="D44" s="40" t="str">
        <f aca="false">IF($C44="","",IFERROR(INDEX(Ativos!$B$3:$B$42,MATCH($C44,Ativos!$A$3:$A$42,0)),""))</f>
        <v/>
      </c>
      <c r="E44" s="40" t="str">
        <f aca="false">IF($C44="","",INDEX(Planos!$C$3:$C$27,2))</f>
        <v/>
      </c>
      <c r="F44" s="40" t="str">
        <f aca="false">IF($C44="","",INDEX(Planos!$D$3:$D$27,2))</f>
        <v/>
      </c>
      <c r="G44" s="41" t="n">
        <f aca="false">IF($C44="",0,INDEX(Planos!$F$3:$F$27,2)+(18-1)*INDEX(Planos!$E$3:$E$27,2))</f>
        <v>0</v>
      </c>
      <c r="H44" s="40" t="str">
        <f aca="false">IF($C44="","",INDEX(Planos!$H$3:$H$27,2))</f>
        <v/>
      </c>
      <c r="I44" s="41" t="str">
        <f aca="false">IF($C44="","",IF(INDEX(Planos!$J$3:$AG$27,$A44,$B44)=0,"",INDEX(Planos!$J$3:$AG$27,$A44,$B44)))</f>
        <v/>
      </c>
      <c r="J44" s="26" t="str">
        <f aca="false">IF($C44="","",IF($I44&lt;&gt;"","Realizada",IF($G44&lt;INT(Parâmetros!$C$4),"Atrasada","Agendada")))</f>
        <v/>
      </c>
      <c r="K44" s="42" t="str">
        <f aca="false">IF($C44="","",IF($I44&lt;&gt;"",$I44-$G44,IF($J44="Atrasada",INT(Parâmetros!$C$4)-$G44,"")))</f>
        <v/>
      </c>
      <c r="L44" s="26" t="str">
        <f aca="false">IF($J44&lt;&gt;"Realizada","",IF($K44&lt;=0,"No prazo",IF($K44&lt;=7,"Até 7 dias",IF($K44&lt;=30,"Até 30 dias","Acima de 30"))))</f>
        <v/>
      </c>
      <c r="M44" s="26" t="str">
        <f aca="false">IF($C44="","",COUNTIFS($G$3:$G44,$G44))</f>
        <v/>
      </c>
      <c r="N44" s="26" t="str">
        <f aca="false">IF($C44="","",$G44&amp;"|"&amp;$M44)</f>
        <v/>
      </c>
    </row>
    <row r="45" customFormat="false" ht="18" hidden="false" customHeight="true" outlineLevel="0" collapsed="false">
      <c r="A45" s="26" t="n">
        <v>2</v>
      </c>
      <c r="B45" s="26" t="n">
        <v>19</v>
      </c>
      <c r="C45" s="26" t="str">
        <f aca="false">IF(INDEX(Planos!$B$3:$B$27,2)="","",IF(19&gt;INDEX(Planos!$G$3:$G$27,2),"",INDEX(Planos!$B$3:$B$27,2)))</f>
        <v/>
      </c>
      <c r="D45" s="40" t="str">
        <f aca="false">IF($C45="","",IFERROR(INDEX(Ativos!$B$3:$B$42,MATCH($C45,Ativos!$A$3:$A$42,0)),""))</f>
        <v/>
      </c>
      <c r="E45" s="40" t="str">
        <f aca="false">IF($C45="","",INDEX(Planos!$C$3:$C$27,2))</f>
        <v/>
      </c>
      <c r="F45" s="40" t="str">
        <f aca="false">IF($C45="","",INDEX(Planos!$D$3:$D$27,2))</f>
        <v/>
      </c>
      <c r="G45" s="41" t="n">
        <f aca="false">IF($C45="",0,INDEX(Planos!$F$3:$F$27,2)+(19-1)*INDEX(Planos!$E$3:$E$27,2))</f>
        <v>0</v>
      </c>
      <c r="H45" s="40" t="str">
        <f aca="false">IF($C45="","",INDEX(Planos!$H$3:$H$27,2))</f>
        <v/>
      </c>
      <c r="I45" s="41" t="str">
        <f aca="false">IF($C45="","",IF(INDEX(Planos!$J$3:$AG$27,$A45,$B45)=0,"",INDEX(Planos!$J$3:$AG$27,$A45,$B45)))</f>
        <v/>
      </c>
      <c r="J45" s="26" t="str">
        <f aca="false">IF($C45="","",IF($I45&lt;&gt;"","Realizada",IF($G45&lt;INT(Parâmetros!$C$4),"Atrasada","Agendada")))</f>
        <v/>
      </c>
      <c r="K45" s="42" t="str">
        <f aca="false">IF($C45="","",IF($I45&lt;&gt;"",$I45-$G45,IF($J45="Atrasada",INT(Parâmetros!$C$4)-$G45,"")))</f>
        <v/>
      </c>
      <c r="L45" s="26" t="str">
        <f aca="false">IF($J45&lt;&gt;"Realizada","",IF($K45&lt;=0,"No prazo",IF($K45&lt;=7,"Até 7 dias",IF($K45&lt;=30,"Até 30 dias","Acima de 30"))))</f>
        <v/>
      </c>
      <c r="M45" s="26" t="str">
        <f aca="false">IF($C45="","",COUNTIFS($G$3:$G45,$G45))</f>
        <v/>
      </c>
      <c r="N45" s="26" t="str">
        <f aca="false">IF($C45="","",$G45&amp;"|"&amp;$M45)</f>
        <v/>
      </c>
    </row>
    <row r="46" customFormat="false" ht="18" hidden="false" customHeight="true" outlineLevel="0" collapsed="false">
      <c r="A46" s="26" t="n">
        <v>2</v>
      </c>
      <c r="B46" s="26" t="n">
        <v>20</v>
      </c>
      <c r="C46" s="26" t="str">
        <f aca="false">IF(INDEX(Planos!$B$3:$B$27,2)="","",IF(20&gt;INDEX(Planos!$G$3:$G$27,2),"",INDEX(Planos!$B$3:$B$27,2)))</f>
        <v/>
      </c>
      <c r="D46" s="40" t="str">
        <f aca="false">IF($C46="","",IFERROR(INDEX(Ativos!$B$3:$B$42,MATCH($C46,Ativos!$A$3:$A$42,0)),""))</f>
        <v/>
      </c>
      <c r="E46" s="40" t="str">
        <f aca="false">IF($C46="","",INDEX(Planos!$C$3:$C$27,2))</f>
        <v/>
      </c>
      <c r="F46" s="40" t="str">
        <f aca="false">IF($C46="","",INDEX(Planos!$D$3:$D$27,2))</f>
        <v/>
      </c>
      <c r="G46" s="41" t="n">
        <f aca="false">IF($C46="",0,INDEX(Planos!$F$3:$F$27,2)+(20-1)*INDEX(Planos!$E$3:$E$27,2))</f>
        <v>0</v>
      </c>
      <c r="H46" s="40" t="str">
        <f aca="false">IF($C46="","",INDEX(Planos!$H$3:$H$27,2))</f>
        <v/>
      </c>
      <c r="I46" s="41" t="str">
        <f aca="false">IF($C46="","",IF(INDEX(Planos!$J$3:$AG$27,$A46,$B46)=0,"",INDEX(Planos!$J$3:$AG$27,$A46,$B46)))</f>
        <v/>
      </c>
      <c r="J46" s="26" t="str">
        <f aca="false">IF($C46="","",IF($I46&lt;&gt;"","Realizada",IF($G46&lt;INT(Parâmetros!$C$4),"Atrasada","Agendada")))</f>
        <v/>
      </c>
      <c r="K46" s="42" t="str">
        <f aca="false">IF($C46="","",IF($I46&lt;&gt;"",$I46-$G46,IF($J46="Atrasada",INT(Parâmetros!$C$4)-$G46,"")))</f>
        <v/>
      </c>
      <c r="L46" s="26" t="str">
        <f aca="false">IF($J46&lt;&gt;"Realizada","",IF($K46&lt;=0,"No prazo",IF($K46&lt;=7,"Até 7 dias",IF($K46&lt;=30,"Até 30 dias","Acima de 30"))))</f>
        <v/>
      </c>
      <c r="M46" s="26" t="str">
        <f aca="false">IF($C46="","",COUNTIFS($G$3:$G46,$G46))</f>
        <v/>
      </c>
      <c r="N46" s="26" t="str">
        <f aca="false">IF($C46="","",$G46&amp;"|"&amp;$M46)</f>
        <v/>
      </c>
    </row>
    <row r="47" customFormat="false" ht="18" hidden="false" customHeight="true" outlineLevel="0" collapsed="false">
      <c r="A47" s="26" t="n">
        <v>2</v>
      </c>
      <c r="B47" s="26" t="n">
        <v>21</v>
      </c>
      <c r="C47" s="26" t="str">
        <f aca="false">IF(INDEX(Planos!$B$3:$B$27,2)="","",IF(21&gt;INDEX(Planos!$G$3:$G$27,2),"",INDEX(Planos!$B$3:$B$27,2)))</f>
        <v/>
      </c>
      <c r="D47" s="40" t="str">
        <f aca="false">IF($C47="","",IFERROR(INDEX(Ativos!$B$3:$B$42,MATCH($C47,Ativos!$A$3:$A$42,0)),""))</f>
        <v/>
      </c>
      <c r="E47" s="40" t="str">
        <f aca="false">IF($C47="","",INDEX(Planos!$C$3:$C$27,2))</f>
        <v/>
      </c>
      <c r="F47" s="40" t="str">
        <f aca="false">IF($C47="","",INDEX(Planos!$D$3:$D$27,2))</f>
        <v/>
      </c>
      <c r="G47" s="41" t="n">
        <f aca="false">IF($C47="",0,INDEX(Planos!$F$3:$F$27,2)+(21-1)*INDEX(Planos!$E$3:$E$27,2))</f>
        <v>0</v>
      </c>
      <c r="H47" s="40" t="str">
        <f aca="false">IF($C47="","",INDEX(Planos!$H$3:$H$27,2))</f>
        <v/>
      </c>
      <c r="I47" s="41" t="str">
        <f aca="false">IF($C47="","",IF(INDEX(Planos!$J$3:$AG$27,$A47,$B47)=0,"",INDEX(Planos!$J$3:$AG$27,$A47,$B47)))</f>
        <v/>
      </c>
      <c r="J47" s="26" t="str">
        <f aca="false">IF($C47="","",IF($I47&lt;&gt;"","Realizada",IF($G47&lt;INT(Parâmetros!$C$4),"Atrasada","Agendada")))</f>
        <v/>
      </c>
      <c r="K47" s="42" t="str">
        <f aca="false">IF($C47="","",IF($I47&lt;&gt;"",$I47-$G47,IF($J47="Atrasada",INT(Parâmetros!$C$4)-$G47,"")))</f>
        <v/>
      </c>
      <c r="L47" s="26" t="str">
        <f aca="false">IF($J47&lt;&gt;"Realizada","",IF($K47&lt;=0,"No prazo",IF($K47&lt;=7,"Até 7 dias",IF($K47&lt;=30,"Até 30 dias","Acima de 30"))))</f>
        <v/>
      </c>
      <c r="M47" s="26" t="str">
        <f aca="false">IF($C47="","",COUNTIFS($G$3:$G47,$G47))</f>
        <v/>
      </c>
      <c r="N47" s="26" t="str">
        <f aca="false">IF($C47="","",$G47&amp;"|"&amp;$M47)</f>
        <v/>
      </c>
    </row>
    <row r="48" customFormat="false" ht="18" hidden="false" customHeight="true" outlineLevel="0" collapsed="false">
      <c r="A48" s="26" t="n">
        <v>2</v>
      </c>
      <c r="B48" s="26" t="n">
        <v>22</v>
      </c>
      <c r="C48" s="26" t="str">
        <f aca="false">IF(INDEX(Planos!$B$3:$B$27,2)="","",IF(22&gt;INDEX(Planos!$G$3:$G$27,2),"",INDEX(Planos!$B$3:$B$27,2)))</f>
        <v/>
      </c>
      <c r="D48" s="40" t="str">
        <f aca="false">IF($C48="","",IFERROR(INDEX(Ativos!$B$3:$B$42,MATCH($C48,Ativos!$A$3:$A$42,0)),""))</f>
        <v/>
      </c>
      <c r="E48" s="40" t="str">
        <f aca="false">IF($C48="","",INDEX(Planos!$C$3:$C$27,2))</f>
        <v/>
      </c>
      <c r="F48" s="40" t="str">
        <f aca="false">IF($C48="","",INDEX(Planos!$D$3:$D$27,2))</f>
        <v/>
      </c>
      <c r="G48" s="41" t="n">
        <f aca="false">IF($C48="",0,INDEX(Planos!$F$3:$F$27,2)+(22-1)*INDEX(Planos!$E$3:$E$27,2))</f>
        <v>0</v>
      </c>
      <c r="H48" s="40" t="str">
        <f aca="false">IF($C48="","",INDEX(Planos!$H$3:$H$27,2))</f>
        <v/>
      </c>
      <c r="I48" s="41" t="str">
        <f aca="false">IF($C48="","",IF(INDEX(Planos!$J$3:$AG$27,$A48,$B48)=0,"",INDEX(Planos!$J$3:$AG$27,$A48,$B48)))</f>
        <v/>
      </c>
      <c r="J48" s="26" t="str">
        <f aca="false">IF($C48="","",IF($I48&lt;&gt;"","Realizada",IF($G48&lt;INT(Parâmetros!$C$4),"Atrasada","Agendada")))</f>
        <v/>
      </c>
      <c r="K48" s="42" t="str">
        <f aca="false">IF($C48="","",IF($I48&lt;&gt;"",$I48-$G48,IF($J48="Atrasada",INT(Parâmetros!$C$4)-$G48,"")))</f>
        <v/>
      </c>
      <c r="L48" s="26" t="str">
        <f aca="false">IF($J48&lt;&gt;"Realizada","",IF($K48&lt;=0,"No prazo",IF($K48&lt;=7,"Até 7 dias",IF($K48&lt;=30,"Até 30 dias","Acima de 30"))))</f>
        <v/>
      </c>
      <c r="M48" s="26" t="str">
        <f aca="false">IF($C48="","",COUNTIFS($G$3:$G48,$G48))</f>
        <v/>
      </c>
      <c r="N48" s="26" t="str">
        <f aca="false">IF($C48="","",$G48&amp;"|"&amp;$M48)</f>
        <v/>
      </c>
    </row>
    <row r="49" customFormat="false" ht="18" hidden="false" customHeight="true" outlineLevel="0" collapsed="false">
      <c r="A49" s="26" t="n">
        <v>2</v>
      </c>
      <c r="B49" s="26" t="n">
        <v>23</v>
      </c>
      <c r="C49" s="26" t="str">
        <f aca="false">IF(INDEX(Planos!$B$3:$B$27,2)="","",IF(23&gt;INDEX(Planos!$G$3:$G$27,2),"",INDEX(Planos!$B$3:$B$27,2)))</f>
        <v/>
      </c>
      <c r="D49" s="40" t="str">
        <f aca="false">IF($C49="","",IFERROR(INDEX(Ativos!$B$3:$B$42,MATCH($C49,Ativos!$A$3:$A$42,0)),""))</f>
        <v/>
      </c>
      <c r="E49" s="40" t="str">
        <f aca="false">IF($C49="","",INDEX(Planos!$C$3:$C$27,2))</f>
        <v/>
      </c>
      <c r="F49" s="40" t="str">
        <f aca="false">IF($C49="","",INDEX(Planos!$D$3:$D$27,2))</f>
        <v/>
      </c>
      <c r="G49" s="41" t="n">
        <f aca="false">IF($C49="",0,INDEX(Planos!$F$3:$F$27,2)+(23-1)*INDEX(Planos!$E$3:$E$27,2))</f>
        <v>0</v>
      </c>
      <c r="H49" s="40" t="str">
        <f aca="false">IF($C49="","",INDEX(Planos!$H$3:$H$27,2))</f>
        <v/>
      </c>
      <c r="I49" s="41" t="str">
        <f aca="false">IF($C49="","",IF(INDEX(Planos!$J$3:$AG$27,$A49,$B49)=0,"",INDEX(Planos!$J$3:$AG$27,$A49,$B49)))</f>
        <v/>
      </c>
      <c r="J49" s="26" t="str">
        <f aca="false">IF($C49="","",IF($I49&lt;&gt;"","Realizada",IF($G49&lt;INT(Parâmetros!$C$4),"Atrasada","Agendada")))</f>
        <v/>
      </c>
      <c r="K49" s="42" t="str">
        <f aca="false">IF($C49="","",IF($I49&lt;&gt;"",$I49-$G49,IF($J49="Atrasada",INT(Parâmetros!$C$4)-$G49,"")))</f>
        <v/>
      </c>
      <c r="L49" s="26" t="str">
        <f aca="false">IF($J49&lt;&gt;"Realizada","",IF($K49&lt;=0,"No prazo",IF($K49&lt;=7,"Até 7 dias",IF($K49&lt;=30,"Até 30 dias","Acima de 30"))))</f>
        <v/>
      </c>
      <c r="M49" s="26" t="str">
        <f aca="false">IF($C49="","",COUNTIFS($G$3:$G49,$G49))</f>
        <v/>
      </c>
      <c r="N49" s="26" t="str">
        <f aca="false">IF($C49="","",$G49&amp;"|"&amp;$M49)</f>
        <v/>
      </c>
    </row>
    <row r="50" customFormat="false" ht="18" hidden="false" customHeight="true" outlineLevel="0" collapsed="false">
      <c r="A50" s="26" t="n">
        <v>2</v>
      </c>
      <c r="B50" s="26" t="n">
        <v>24</v>
      </c>
      <c r="C50" s="26" t="str">
        <f aca="false">IF(INDEX(Planos!$B$3:$B$27,2)="","",IF(24&gt;INDEX(Planos!$G$3:$G$27,2),"",INDEX(Planos!$B$3:$B$27,2)))</f>
        <v/>
      </c>
      <c r="D50" s="40" t="str">
        <f aca="false">IF($C50="","",IFERROR(INDEX(Ativos!$B$3:$B$42,MATCH($C50,Ativos!$A$3:$A$42,0)),""))</f>
        <v/>
      </c>
      <c r="E50" s="40" t="str">
        <f aca="false">IF($C50="","",INDEX(Planos!$C$3:$C$27,2))</f>
        <v/>
      </c>
      <c r="F50" s="40" t="str">
        <f aca="false">IF($C50="","",INDEX(Planos!$D$3:$D$27,2))</f>
        <v/>
      </c>
      <c r="G50" s="41" t="n">
        <f aca="false">IF($C50="",0,INDEX(Planos!$F$3:$F$27,2)+(24-1)*INDEX(Planos!$E$3:$E$27,2))</f>
        <v>0</v>
      </c>
      <c r="H50" s="40" t="str">
        <f aca="false">IF($C50="","",INDEX(Planos!$H$3:$H$27,2))</f>
        <v/>
      </c>
      <c r="I50" s="41" t="str">
        <f aca="false">IF($C50="","",IF(INDEX(Planos!$J$3:$AG$27,$A50,$B50)=0,"",INDEX(Planos!$J$3:$AG$27,$A50,$B50)))</f>
        <v/>
      </c>
      <c r="J50" s="26" t="str">
        <f aca="false">IF($C50="","",IF($I50&lt;&gt;"","Realizada",IF($G50&lt;INT(Parâmetros!$C$4),"Atrasada","Agendada")))</f>
        <v/>
      </c>
      <c r="K50" s="42" t="str">
        <f aca="false">IF($C50="","",IF($I50&lt;&gt;"",$I50-$G50,IF($J50="Atrasada",INT(Parâmetros!$C$4)-$G50,"")))</f>
        <v/>
      </c>
      <c r="L50" s="26" t="str">
        <f aca="false">IF($J50&lt;&gt;"Realizada","",IF($K50&lt;=0,"No prazo",IF($K50&lt;=7,"Até 7 dias",IF($K50&lt;=30,"Até 30 dias","Acima de 30"))))</f>
        <v/>
      </c>
      <c r="M50" s="26" t="str">
        <f aca="false">IF($C50="","",COUNTIFS($G$3:$G50,$G50))</f>
        <v/>
      </c>
      <c r="N50" s="26" t="str">
        <f aca="false">IF($C50="","",$G50&amp;"|"&amp;$M50)</f>
        <v/>
      </c>
    </row>
    <row r="51" customFormat="false" ht="18" hidden="false" customHeight="true" outlineLevel="0" collapsed="false">
      <c r="A51" s="26" t="n">
        <v>3</v>
      </c>
      <c r="B51" s="26" t="n">
        <v>1</v>
      </c>
      <c r="C51" s="26" t="str">
        <f aca="false">IF(INDEX(Planos!$B$3:$B$27,3)="","",IF(1&gt;INDEX(Planos!$G$3:$G$27,3),"",INDEX(Planos!$B$3:$B$27,3)))</f>
        <v>PH-001</v>
      </c>
      <c r="D51" s="40" t="str">
        <f aca="false">IF($C51="","",IFERROR(INDEX(Ativos!$B$3:$B$42,MATCH($C51,Ativos!$A$3:$A$42,0)),""))</f>
        <v>Prensa hidráulica 100 t</v>
      </c>
      <c r="E51" s="40" t="str">
        <f aca="false">IF($C51="","",INDEX(Planos!$C$3:$C$27,3))</f>
        <v>Preventiva mensal — inspeção geral</v>
      </c>
      <c r="F51" s="40" t="str">
        <f aca="false">IF($C51="","",INDEX(Planos!$D$3:$D$27,3))</f>
        <v>Manutenção preventiva</v>
      </c>
      <c r="G51" s="41" t="n">
        <f aca="false">IF($C51="",0,INDEX(Planos!$F$3:$F$27,3)+(1-1)*INDEX(Planos!$E$3:$E$27,3))</f>
        <v>46120</v>
      </c>
      <c r="H51" s="40" t="str">
        <f aca="false">IF($C51="","",INDEX(Planos!$H$3:$H$27,3))</f>
        <v>Rafael Lima</v>
      </c>
      <c r="I51" s="41" t="n">
        <f aca="false">IF($C51="","",IF(INDEX(Planos!$J$3:$AG$27,$A51,$B51)=0,"",INDEX(Planos!$J$3:$AG$27,$A51,$B51)))</f>
        <v>46121</v>
      </c>
      <c r="J51" s="26" t="str">
        <f aca="false">IF($C51="","",IF($I51&lt;&gt;"","Realizada",IF($G51&lt;INT(Parâmetros!$C$4),"Atrasada","Agendada")))</f>
        <v>Realizada</v>
      </c>
      <c r="K51" s="42" t="n">
        <f aca="false">IF($C51="","",IF($I51&lt;&gt;"",$I51-$G51,IF($J51="Atrasada",INT(Parâmetros!$C$4)-$G51,"")))</f>
        <v>1</v>
      </c>
      <c r="L51" s="26" t="str">
        <f aca="false">IF($J51&lt;&gt;"Realizada","",IF($K51&lt;=0,"No prazo",IF($K51&lt;=7,"Até 7 dias",IF($K51&lt;=30,"Até 30 dias","Acima de 30"))))</f>
        <v>Até 7 dias</v>
      </c>
      <c r="M51" s="26" t="n">
        <f aca="false">IF($C51="","",COUNTIFS($G$3:$G51,$G51))</f>
        <v>1</v>
      </c>
      <c r="N51" s="26" t="str">
        <f aca="false">IF($C51="","",$G51&amp;"|"&amp;$M51)</f>
        <v>46120|1</v>
      </c>
    </row>
    <row r="52" customFormat="false" ht="18" hidden="false" customHeight="true" outlineLevel="0" collapsed="false">
      <c r="A52" s="26" t="n">
        <v>3</v>
      </c>
      <c r="B52" s="26" t="n">
        <v>2</v>
      </c>
      <c r="C52" s="26" t="str">
        <f aca="false">IF(INDEX(Planos!$B$3:$B$27,3)="","",IF(2&gt;INDEX(Planos!$G$3:$G$27,3),"",INDEX(Planos!$B$3:$B$27,3)))</f>
        <v>PH-001</v>
      </c>
      <c r="D52" s="40" t="str">
        <f aca="false">IF($C52="","",IFERROR(INDEX(Ativos!$B$3:$B$42,MATCH($C52,Ativos!$A$3:$A$42,0)),""))</f>
        <v>Prensa hidráulica 100 t</v>
      </c>
      <c r="E52" s="40" t="str">
        <f aca="false">IF($C52="","",INDEX(Planos!$C$3:$C$27,3))</f>
        <v>Preventiva mensal — inspeção geral</v>
      </c>
      <c r="F52" s="40" t="str">
        <f aca="false">IF($C52="","",INDEX(Planos!$D$3:$D$27,3))</f>
        <v>Manutenção preventiva</v>
      </c>
      <c r="G52" s="41" t="n">
        <f aca="false">IF($C52="",0,INDEX(Planos!$F$3:$F$27,3)+(2-1)*INDEX(Planos!$E$3:$E$27,3))</f>
        <v>46150</v>
      </c>
      <c r="H52" s="40" t="str">
        <f aca="false">IF($C52="","",INDEX(Planos!$H$3:$H$27,3))</f>
        <v>Rafael Lima</v>
      </c>
      <c r="I52" s="41" t="n">
        <f aca="false">IF($C52="","",IF(INDEX(Planos!$J$3:$AG$27,$A52,$B52)=0,"",INDEX(Planos!$J$3:$AG$27,$A52,$B52)))</f>
        <v>46150</v>
      </c>
      <c r="J52" s="26" t="str">
        <f aca="false">IF($C52="","",IF($I52&lt;&gt;"","Realizada",IF($G52&lt;INT(Parâmetros!$C$4),"Atrasada","Agendada")))</f>
        <v>Realizada</v>
      </c>
      <c r="K52" s="42" t="n">
        <f aca="false">IF($C52="","",IF($I52&lt;&gt;"",$I52-$G52,IF($J52="Atrasada",INT(Parâmetros!$C$4)-$G52,"")))</f>
        <v>0</v>
      </c>
      <c r="L52" s="26" t="str">
        <f aca="false">IF($J52&lt;&gt;"Realizada","",IF($K52&lt;=0,"No prazo",IF($K52&lt;=7,"Até 7 dias",IF($K52&lt;=30,"Até 30 dias","Acima de 30"))))</f>
        <v>No prazo</v>
      </c>
      <c r="M52" s="26" t="n">
        <f aca="false">IF($C52="","",COUNTIFS($G$3:$G52,$G52))</f>
        <v>1</v>
      </c>
      <c r="N52" s="26" t="str">
        <f aca="false">IF($C52="","",$G52&amp;"|"&amp;$M52)</f>
        <v>46150|1</v>
      </c>
    </row>
    <row r="53" customFormat="false" ht="18" hidden="false" customHeight="true" outlineLevel="0" collapsed="false">
      <c r="A53" s="26" t="n">
        <v>3</v>
      </c>
      <c r="B53" s="26" t="n">
        <v>3</v>
      </c>
      <c r="C53" s="26" t="str">
        <f aca="false">IF(INDEX(Planos!$B$3:$B$27,3)="","",IF(3&gt;INDEX(Planos!$G$3:$G$27,3),"",INDEX(Planos!$B$3:$B$27,3)))</f>
        <v>PH-001</v>
      </c>
      <c r="D53" s="40" t="str">
        <f aca="false">IF($C53="","",IFERROR(INDEX(Ativos!$B$3:$B$42,MATCH($C53,Ativos!$A$3:$A$42,0)),""))</f>
        <v>Prensa hidráulica 100 t</v>
      </c>
      <c r="E53" s="40" t="str">
        <f aca="false">IF($C53="","",INDEX(Planos!$C$3:$C$27,3))</f>
        <v>Preventiva mensal — inspeção geral</v>
      </c>
      <c r="F53" s="40" t="str">
        <f aca="false">IF($C53="","",INDEX(Planos!$D$3:$D$27,3))</f>
        <v>Manutenção preventiva</v>
      </c>
      <c r="G53" s="41" t="n">
        <f aca="false">IF($C53="",0,INDEX(Planos!$F$3:$F$27,3)+(3-1)*INDEX(Planos!$E$3:$E$27,3))</f>
        <v>46180</v>
      </c>
      <c r="H53" s="40" t="str">
        <f aca="false">IF($C53="","",INDEX(Planos!$H$3:$H$27,3))</f>
        <v>Rafael Lima</v>
      </c>
      <c r="I53" s="41" t="str">
        <f aca="false">IF($C53="","",IF(INDEX(Planos!$J$3:$AG$27,$A53,$B53)=0,"",INDEX(Planos!$J$3:$AG$27,$A53,$B53)))</f>
        <v/>
      </c>
      <c r="J53" s="26" t="str">
        <f aca="false">IF($C53="","",IF($I53&lt;&gt;"","Realizada",IF($G53&lt;INT(Parâmetros!$C$4),"Atrasada","Agendada")))</f>
        <v>Atrasada</v>
      </c>
      <c r="K53" s="42" t="n">
        <f aca="false">IF($C53="","",IF($I53&lt;&gt;"",$I53-$G53,IF($J53="Atrasada",INT(Parâmetros!$C$4)-$G53,"")))</f>
        <v>53</v>
      </c>
      <c r="L53" s="26" t="str">
        <f aca="false">IF($J53&lt;&gt;"Realizada","",IF($K53&lt;=0,"No prazo",IF($K53&lt;=7,"Até 7 dias",IF($K53&lt;=30,"Até 30 dias","Acima de 30"))))</f>
        <v/>
      </c>
      <c r="M53" s="26" t="n">
        <f aca="false">IF($C53="","",COUNTIFS($G$3:$G53,$G53))</f>
        <v>1</v>
      </c>
      <c r="N53" s="26" t="str">
        <f aca="false">IF($C53="","",$G53&amp;"|"&amp;$M53)</f>
        <v>46180|1</v>
      </c>
    </row>
    <row r="54" customFormat="false" ht="18" hidden="false" customHeight="true" outlineLevel="0" collapsed="false">
      <c r="A54" s="26" t="n">
        <v>3</v>
      </c>
      <c r="B54" s="26" t="n">
        <v>4</v>
      </c>
      <c r="C54" s="26" t="str">
        <f aca="false">IF(INDEX(Planos!$B$3:$B$27,3)="","",IF(4&gt;INDEX(Planos!$G$3:$G$27,3),"",INDEX(Planos!$B$3:$B$27,3)))</f>
        <v>PH-001</v>
      </c>
      <c r="D54" s="40" t="str">
        <f aca="false">IF($C54="","",IFERROR(INDEX(Ativos!$B$3:$B$42,MATCH($C54,Ativos!$A$3:$A$42,0)),""))</f>
        <v>Prensa hidráulica 100 t</v>
      </c>
      <c r="E54" s="40" t="str">
        <f aca="false">IF($C54="","",INDEX(Planos!$C$3:$C$27,3))</f>
        <v>Preventiva mensal — inspeção geral</v>
      </c>
      <c r="F54" s="40" t="str">
        <f aca="false">IF($C54="","",INDEX(Planos!$D$3:$D$27,3))</f>
        <v>Manutenção preventiva</v>
      </c>
      <c r="G54" s="41" t="n">
        <f aca="false">IF($C54="",0,INDEX(Planos!$F$3:$F$27,3)+(4-1)*INDEX(Planos!$E$3:$E$27,3))</f>
        <v>46210</v>
      </c>
      <c r="H54" s="40" t="str">
        <f aca="false">IF($C54="","",INDEX(Planos!$H$3:$H$27,3))</f>
        <v>Rafael Lima</v>
      </c>
      <c r="I54" s="41" t="str">
        <f aca="false">IF($C54="","",IF(INDEX(Planos!$J$3:$AG$27,$A54,$B54)=0,"",INDEX(Planos!$J$3:$AG$27,$A54,$B54)))</f>
        <v/>
      </c>
      <c r="J54" s="26" t="str">
        <f aca="false">IF($C54="","",IF($I54&lt;&gt;"","Realizada",IF($G54&lt;INT(Parâmetros!$C$4),"Atrasada","Agendada")))</f>
        <v>Atrasada</v>
      </c>
      <c r="K54" s="42" t="n">
        <f aca="false">IF($C54="","",IF($I54&lt;&gt;"",$I54-$G54,IF($J54="Atrasada",INT(Parâmetros!$C$4)-$G54,"")))</f>
        <v>23</v>
      </c>
      <c r="L54" s="26" t="str">
        <f aca="false">IF($J54&lt;&gt;"Realizada","",IF($K54&lt;=0,"No prazo",IF($K54&lt;=7,"Até 7 dias",IF($K54&lt;=30,"Até 30 dias","Acima de 30"))))</f>
        <v/>
      </c>
      <c r="M54" s="26" t="n">
        <f aca="false">IF($C54="","",COUNTIFS($G$3:$G54,$G54))</f>
        <v>1</v>
      </c>
      <c r="N54" s="26" t="str">
        <f aca="false">IF($C54="","",$G54&amp;"|"&amp;$M54)</f>
        <v>46210|1</v>
      </c>
    </row>
    <row r="55" customFormat="false" ht="18" hidden="false" customHeight="true" outlineLevel="0" collapsed="false">
      <c r="A55" s="26" t="n">
        <v>3</v>
      </c>
      <c r="B55" s="26" t="n">
        <v>5</v>
      </c>
      <c r="C55" s="26" t="str">
        <f aca="false">IF(INDEX(Planos!$B$3:$B$27,3)="","",IF(5&gt;INDEX(Planos!$G$3:$G$27,3),"",INDEX(Planos!$B$3:$B$27,3)))</f>
        <v>PH-001</v>
      </c>
      <c r="D55" s="40" t="str">
        <f aca="false">IF($C55="","",IFERROR(INDEX(Ativos!$B$3:$B$42,MATCH($C55,Ativos!$A$3:$A$42,0)),""))</f>
        <v>Prensa hidráulica 100 t</v>
      </c>
      <c r="E55" s="40" t="str">
        <f aca="false">IF($C55="","",INDEX(Planos!$C$3:$C$27,3))</f>
        <v>Preventiva mensal — inspeção geral</v>
      </c>
      <c r="F55" s="40" t="str">
        <f aca="false">IF($C55="","",INDEX(Planos!$D$3:$D$27,3))</f>
        <v>Manutenção preventiva</v>
      </c>
      <c r="G55" s="41" t="n">
        <f aca="false">IF($C55="",0,INDEX(Planos!$F$3:$F$27,3)+(5-1)*INDEX(Planos!$E$3:$E$27,3))</f>
        <v>46240</v>
      </c>
      <c r="H55" s="40" t="str">
        <f aca="false">IF($C55="","",INDEX(Planos!$H$3:$H$27,3))</f>
        <v>Rafael Lima</v>
      </c>
      <c r="I55" s="41" t="str">
        <f aca="false">IF($C55="","",IF(INDEX(Planos!$J$3:$AG$27,$A55,$B55)=0,"",INDEX(Planos!$J$3:$AG$27,$A55,$B55)))</f>
        <v/>
      </c>
      <c r="J55" s="26" t="str">
        <f aca="false">IF($C55="","",IF($I55&lt;&gt;"","Realizada",IF($G55&lt;INT(Parâmetros!$C$4),"Atrasada","Agendada")))</f>
        <v>Agendada</v>
      </c>
      <c r="K55" s="42" t="str">
        <f aca="false">IF($C55="","",IF($I55&lt;&gt;"",$I55-$G55,IF($J55="Atrasada",INT(Parâmetros!$C$4)-$G55,"")))</f>
        <v/>
      </c>
      <c r="L55" s="26" t="str">
        <f aca="false">IF($J55&lt;&gt;"Realizada","",IF($K55&lt;=0,"No prazo",IF($K55&lt;=7,"Até 7 dias",IF($K55&lt;=30,"Até 30 dias","Acima de 30"))))</f>
        <v/>
      </c>
      <c r="M55" s="26" t="n">
        <f aca="false">IF($C55="","",COUNTIFS($G$3:$G55,$G55))</f>
        <v>1</v>
      </c>
      <c r="N55" s="26" t="str">
        <f aca="false">IF($C55="","",$G55&amp;"|"&amp;$M55)</f>
        <v>46240|1</v>
      </c>
    </row>
    <row r="56" customFormat="false" ht="18" hidden="false" customHeight="true" outlineLevel="0" collapsed="false">
      <c r="A56" s="26" t="n">
        <v>3</v>
      </c>
      <c r="B56" s="26" t="n">
        <v>6</v>
      </c>
      <c r="C56" s="26" t="str">
        <f aca="false">IF(INDEX(Planos!$B$3:$B$27,3)="","",IF(6&gt;INDEX(Planos!$G$3:$G$27,3),"",INDEX(Planos!$B$3:$B$27,3)))</f>
        <v>PH-001</v>
      </c>
      <c r="D56" s="40" t="str">
        <f aca="false">IF($C56="","",IFERROR(INDEX(Ativos!$B$3:$B$42,MATCH($C56,Ativos!$A$3:$A$42,0)),""))</f>
        <v>Prensa hidráulica 100 t</v>
      </c>
      <c r="E56" s="40" t="str">
        <f aca="false">IF($C56="","",INDEX(Planos!$C$3:$C$27,3))</f>
        <v>Preventiva mensal — inspeção geral</v>
      </c>
      <c r="F56" s="40" t="str">
        <f aca="false">IF($C56="","",INDEX(Planos!$D$3:$D$27,3))</f>
        <v>Manutenção preventiva</v>
      </c>
      <c r="G56" s="41" t="n">
        <f aca="false">IF($C56="",0,INDEX(Planos!$F$3:$F$27,3)+(6-1)*INDEX(Planos!$E$3:$E$27,3))</f>
        <v>46270</v>
      </c>
      <c r="H56" s="40" t="str">
        <f aca="false">IF($C56="","",INDEX(Planos!$H$3:$H$27,3))</f>
        <v>Rafael Lima</v>
      </c>
      <c r="I56" s="41" t="str">
        <f aca="false">IF($C56="","",IF(INDEX(Planos!$J$3:$AG$27,$A56,$B56)=0,"",INDEX(Planos!$J$3:$AG$27,$A56,$B56)))</f>
        <v/>
      </c>
      <c r="J56" s="26" t="str">
        <f aca="false">IF($C56="","",IF($I56&lt;&gt;"","Realizada",IF($G56&lt;INT(Parâmetros!$C$4),"Atrasada","Agendada")))</f>
        <v>Agendada</v>
      </c>
      <c r="K56" s="42" t="str">
        <f aca="false">IF($C56="","",IF($I56&lt;&gt;"",$I56-$G56,IF($J56="Atrasada",INT(Parâmetros!$C$4)-$G56,"")))</f>
        <v/>
      </c>
      <c r="L56" s="26" t="str">
        <f aca="false">IF($J56&lt;&gt;"Realizada","",IF($K56&lt;=0,"No prazo",IF($K56&lt;=7,"Até 7 dias",IF($K56&lt;=30,"Até 30 dias","Acima de 30"))))</f>
        <v/>
      </c>
      <c r="M56" s="26" t="n">
        <f aca="false">IF($C56="","",COUNTIFS($G$3:$G56,$G56))</f>
        <v>1</v>
      </c>
      <c r="N56" s="26" t="str">
        <f aca="false">IF($C56="","",$G56&amp;"|"&amp;$M56)</f>
        <v>46270|1</v>
      </c>
    </row>
    <row r="57" customFormat="false" ht="18" hidden="false" customHeight="true" outlineLevel="0" collapsed="false">
      <c r="A57" s="26" t="n">
        <v>3</v>
      </c>
      <c r="B57" s="26" t="n">
        <v>7</v>
      </c>
      <c r="C57" s="26" t="str">
        <f aca="false">IF(INDEX(Planos!$B$3:$B$27,3)="","",IF(7&gt;INDEX(Planos!$G$3:$G$27,3),"",INDEX(Planos!$B$3:$B$27,3)))</f>
        <v>PH-001</v>
      </c>
      <c r="D57" s="40" t="str">
        <f aca="false">IF($C57="","",IFERROR(INDEX(Ativos!$B$3:$B$42,MATCH($C57,Ativos!$A$3:$A$42,0)),""))</f>
        <v>Prensa hidráulica 100 t</v>
      </c>
      <c r="E57" s="40" t="str">
        <f aca="false">IF($C57="","",INDEX(Planos!$C$3:$C$27,3))</f>
        <v>Preventiva mensal — inspeção geral</v>
      </c>
      <c r="F57" s="40" t="str">
        <f aca="false">IF($C57="","",INDEX(Planos!$D$3:$D$27,3))</f>
        <v>Manutenção preventiva</v>
      </c>
      <c r="G57" s="41" t="n">
        <f aca="false">IF($C57="",0,INDEX(Planos!$F$3:$F$27,3)+(7-1)*INDEX(Planos!$E$3:$E$27,3))</f>
        <v>46300</v>
      </c>
      <c r="H57" s="40" t="str">
        <f aca="false">IF($C57="","",INDEX(Planos!$H$3:$H$27,3))</f>
        <v>Rafael Lima</v>
      </c>
      <c r="I57" s="41" t="str">
        <f aca="false">IF($C57="","",IF(INDEX(Planos!$J$3:$AG$27,$A57,$B57)=0,"",INDEX(Planos!$J$3:$AG$27,$A57,$B57)))</f>
        <v/>
      </c>
      <c r="J57" s="26" t="str">
        <f aca="false">IF($C57="","",IF($I57&lt;&gt;"","Realizada",IF($G57&lt;INT(Parâmetros!$C$4),"Atrasada","Agendada")))</f>
        <v>Agendada</v>
      </c>
      <c r="K57" s="42" t="str">
        <f aca="false">IF($C57="","",IF($I57&lt;&gt;"",$I57-$G57,IF($J57="Atrasada",INT(Parâmetros!$C$4)-$G57,"")))</f>
        <v/>
      </c>
      <c r="L57" s="26" t="str">
        <f aca="false">IF($J57&lt;&gt;"Realizada","",IF($K57&lt;=0,"No prazo",IF($K57&lt;=7,"Até 7 dias",IF($K57&lt;=30,"Até 30 dias","Acima de 30"))))</f>
        <v/>
      </c>
      <c r="M57" s="26" t="n">
        <f aca="false">IF($C57="","",COUNTIFS($G$3:$G57,$G57))</f>
        <v>1</v>
      </c>
      <c r="N57" s="26" t="str">
        <f aca="false">IF($C57="","",$G57&amp;"|"&amp;$M57)</f>
        <v>46300|1</v>
      </c>
    </row>
    <row r="58" customFormat="false" ht="18" hidden="false" customHeight="true" outlineLevel="0" collapsed="false">
      <c r="A58" s="26" t="n">
        <v>3</v>
      </c>
      <c r="B58" s="26" t="n">
        <v>8</v>
      </c>
      <c r="C58" s="26" t="str">
        <f aca="false">IF(INDEX(Planos!$B$3:$B$27,3)="","",IF(8&gt;INDEX(Planos!$G$3:$G$27,3),"",INDEX(Planos!$B$3:$B$27,3)))</f>
        <v>PH-001</v>
      </c>
      <c r="D58" s="40" t="str">
        <f aca="false">IF($C58="","",IFERROR(INDEX(Ativos!$B$3:$B$42,MATCH($C58,Ativos!$A$3:$A$42,0)),""))</f>
        <v>Prensa hidráulica 100 t</v>
      </c>
      <c r="E58" s="40" t="str">
        <f aca="false">IF($C58="","",INDEX(Planos!$C$3:$C$27,3))</f>
        <v>Preventiva mensal — inspeção geral</v>
      </c>
      <c r="F58" s="40" t="str">
        <f aca="false">IF($C58="","",INDEX(Planos!$D$3:$D$27,3))</f>
        <v>Manutenção preventiva</v>
      </c>
      <c r="G58" s="41" t="n">
        <f aca="false">IF($C58="",0,INDEX(Planos!$F$3:$F$27,3)+(8-1)*INDEX(Planos!$E$3:$E$27,3))</f>
        <v>46330</v>
      </c>
      <c r="H58" s="40" t="str">
        <f aca="false">IF($C58="","",INDEX(Planos!$H$3:$H$27,3))</f>
        <v>Rafael Lima</v>
      </c>
      <c r="I58" s="41" t="str">
        <f aca="false">IF($C58="","",IF(INDEX(Planos!$J$3:$AG$27,$A58,$B58)=0,"",INDEX(Planos!$J$3:$AG$27,$A58,$B58)))</f>
        <v/>
      </c>
      <c r="J58" s="26" t="str">
        <f aca="false">IF($C58="","",IF($I58&lt;&gt;"","Realizada",IF($G58&lt;INT(Parâmetros!$C$4),"Atrasada","Agendada")))</f>
        <v>Agendada</v>
      </c>
      <c r="K58" s="42" t="str">
        <f aca="false">IF($C58="","",IF($I58&lt;&gt;"",$I58-$G58,IF($J58="Atrasada",INT(Parâmetros!$C$4)-$G58,"")))</f>
        <v/>
      </c>
      <c r="L58" s="26" t="str">
        <f aca="false">IF($J58&lt;&gt;"Realizada","",IF($K58&lt;=0,"No prazo",IF($K58&lt;=7,"Até 7 dias",IF($K58&lt;=30,"Até 30 dias","Acima de 30"))))</f>
        <v/>
      </c>
      <c r="M58" s="26" t="n">
        <f aca="false">IF($C58="","",COUNTIFS($G$3:$G58,$G58))</f>
        <v>1</v>
      </c>
      <c r="N58" s="26" t="str">
        <f aca="false">IF($C58="","",$G58&amp;"|"&amp;$M58)</f>
        <v>46330|1</v>
      </c>
    </row>
    <row r="59" customFormat="false" ht="18" hidden="false" customHeight="true" outlineLevel="0" collapsed="false">
      <c r="A59" s="26" t="n">
        <v>3</v>
      </c>
      <c r="B59" s="26" t="n">
        <v>9</v>
      </c>
      <c r="C59" s="26" t="str">
        <f aca="false">IF(INDEX(Planos!$B$3:$B$27,3)="","",IF(9&gt;INDEX(Planos!$G$3:$G$27,3),"",INDEX(Planos!$B$3:$B$27,3)))</f>
        <v>PH-001</v>
      </c>
      <c r="D59" s="40" t="str">
        <f aca="false">IF($C59="","",IFERROR(INDEX(Ativos!$B$3:$B$42,MATCH($C59,Ativos!$A$3:$A$42,0)),""))</f>
        <v>Prensa hidráulica 100 t</v>
      </c>
      <c r="E59" s="40" t="str">
        <f aca="false">IF($C59="","",INDEX(Planos!$C$3:$C$27,3))</f>
        <v>Preventiva mensal — inspeção geral</v>
      </c>
      <c r="F59" s="40" t="str">
        <f aca="false">IF($C59="","",INDEX(Planos!$D$3:$D$27,3))</f>
        <v>Manutenção preventiva</v>
      </c>
      <c r="G59" s="41" t="n">
        <f aca="false">IF($C59="",0,INDEX(Planos!$F$3:$F$27,3)+(9-1)*INDEX(Planos!$E$3:$E$27,3))</f>
        <v>46360</v>
      </c>
      <c r="H59" s="40" t="str">
        <f aca="false">IF($C59="","",INDEX(Planos!$H$3:$H$27,3))</f>
        <v>Rafael Lima</v>
      </c>
      <c r="I59" s="41" t="str">
        <f aca="false">IF($C59="","",IF(INDEX(Planos!$J$3:$AG$27,$A59,$B59)=0,"",INDEX(Planos!$J$3:$AG$27,$A59,$B59)))</f>
        <v/>
      </c>
      <c r="J59" s="26" t="str">
        <f aca="false">IF($C59="","",IF($I59&lt;&gt;"","Realizada",IF($G59&lt;INT(Parâmetros!$C$4),"Atrasada","Agendada")))</f>
        <v>Agendada</v>
      </c>
      <c r="K59" s="42" t="str">
        <f aca="false">IF($C59="","",IF($I59&lt;&gt;"",$I59-$G59,IF($J59="Atrasada",INT(Parâmetros!$C$4)-$G59,"")))</f>
        <v/>
      </c>
      <c r="L59" s="26" t="str">
        <f aca="false">IF($J59&lt;&gt;"Realizada","",IF($K59&lt;=0,"No prazo",IF($K59&lt;=7,"Até 7 dias",IF($K59&lt;=30,"Até 30 dias","Acima de 30"))))</f>
        <v/>
      </c>
      <c r="M59" s="26" t="n">
        <f aca="false">IF($C59="","",COUNTIFS($G$3:$G59,$G59))</f>
        <v>1</v>
      </c>
      <c r="N59" s="26" t="str">
        <f aca="false">IF($C59="","",$G59&amp;"|"&amp;$M59)</f>
        <v>46360|1</v>
      </c>
    </row>
    <row r="60" customFormat="false" ht="18" hidden="false" customHeight="true" outlineLevel="0" collapsed="false">
      <c r="A60" s="26" t="n">
        <v>3</v>
      </c>
      <c r="B60" s="26" t="n">
        <v>10</v>
      </c>
      <c r="C60" s="26" t="str">
        <f aca="false">IF(INDEX(Planos!$B$3:$B$27,3)="","",IF(10&gt;INDEX(Planos!$G$3:$G$27,3),"",INDEX(Planos!$B$3:$B$27,3)))</f>
        <v>PH-001</v>
      </c>
      <c r="D60" s="40" t="str">
        <f aca="false">IF($C60="","",IFERROR(INDEX(Ativos!$B$3:$B$42,MATCH($C60,Ativos!$A$3:$A$42,0)),""))</f>
        <v>Prensa hidráulica 100 t</v>
      </c>
      <c r="E60" s="40" t="str">
        <f aca="false">IF($C60="","",INDEX(Planos!$C$3:$C$27,3))</f>
        <v>Preventiva mensal — inspeção geral</v>
      </c>
      <c r="F60" s="40" t="str">
        <f aca="false">IF($C60="","",INDEX(Planos!$D$3:$D$27,3))</f>
        <v>Manutenção preventiva</v>
      </c>
      <c r="G60" s="41" t="n">
        <f aca="false">IF($C60="",0,INDEX(Planos!$F$3:$F$27,3)+(10-1)*INDEX(Planos!$E$3:$E$27,3))</f>
        <v>46390</v>
      </c>
      <c r="H60" s="40" t="str">
        <f aca="false">IF($C60="","",INDEX(Planos!$H$3:$H$27,3))</f>
        <v>Rafael Lima</v>
      </c>
      <c r="I60" s="41" t="str">
        <f aca="false">IF($C60="","",IF(INDEX(Planos!$J$3:$AG$27,$A60,$B60)=0,"",INDEX(Planos!$J$3:$AG$27,$A60,$B60)))</f>
        <v/>
      </c>
      <c r="J60" s="26" t="str">
        <f aca="false">IF($C60="","",IF($I60&lt;&gt;"","Realizada",IF($G60&lt;INT(Parâmetros!$C$4),"Atrasada","Agendada")))</f>
        <v>Agendada</v>
      </c>
      <c r="K60" s="42" t="str">
        <f aca="false">IF($C60="","",IF($I60&lt;&gt;"",$I60-$G60,IF($J60="Atrasada",INT(Parâmetros!$C$4)-$G60,"")))</f>
        <v/>
      </c>
      <c r="L60" s="26" t="str">
        <f aca="false">IF($J60&lt;&gt;"Realizada","",IF($K60&lt;=0,"No prazo",IF($K60&lt;=7,"Até 7 dias",IF($K60&lt;=30,"Até 30 dias","Acima de 30"))))</f>
        <v/>
      </c>
      <c r="M60" s="26" t="n">
        <f aca="false">IF($C60="","",COUNTIFS($G$3:$G60,$G60))</f>
        <v>1</v>
      </c>
      <c r="N60" s="26" t="str">
        <f aca="false">IF($C60="","",$G60&amp;"|"&amp;$M60)</f>
        <v>46390|1</v>
      </c>
    </row>
    <row r="61" customFormat="false" ht="18" hidden="false" customHeight="true" outlineLevel="0" collapsed="false">
      <c r="A61" s="26" t="n">
        <v>3</v>
      </c>
      <c r="B61" s="26" t="n">
        <v>11</v>
      </c>
      <c r="C61" s="26" t="str">
        <f aca="false">IF(INDEX(Planos!$B$3:$B$27,3)="","",IF(11&gt;INDEX(Planos!$G$3:$G$27,3),"",INDEX(Planos!$B$3:$B$27,3)))</f>
        <v>PH-001</v>
      </c>
      <c r="D61" s="40" t="str">
        <f aca="false">IF($C61="","",IFERROR(INDEX(Ativos!$B$3:$B$42,MATCH($C61,Ativos!$A$3:$A$42,0)),""))</f>
        <v>Prensa hidráulica 100 t</v>
      </c>
      <c r="E61" s="40" t="str">
        <f aca="false">IF($C61="","",INDEX(Planos!$C$3:$C$27,3))</f>
        <v>Preventiva mensal — inspeção geral</v>
      </c>
      <c r="F61" s="40" t="str">
        <f aca="false">IF($C61="","",INDEX(Planos!$D$3:$D$27,3))</f>
        <v>Manutenção preventiva</v>
      </c>
      <c r="G61" s="41" t="n">
        <f aca="false">IF($C61="",0,INDEX(Planos!$F$3:$F$27,3)+(11-1)*INDEX(Planos!$E$3:$E$27,3))</f>
        <v>46420</v>
      </c>
      <c r="H61" s="40" t="str">
        <f aca="false">IF($C61="","",INDEX(Planos!$H$3:$H$27,3))</f>
        <v>Rafael Lima</v>
      </c>
      <c r="I61" s="41" t="str">
        <f aca="false">IF($C61="","",IF(INDEX(Planos!$J$3:$AG$27,$A61,$B61)=0,"",INDEX(Planos!$J$3:$AG$27,$A61,$B61)))</f>
        <v/>
      </c>
      <c r="J61" s="26" t="str">
        <f aca="false">IF($C61="","",IF($I61&lt;&gt;"","Realizada",IF($G61&lt;INT(Parâmetros!$C$4),"Atrasada","Agendada")))</f>
        <v>Agendada</v>
      </c>
      <c r="K61" s="42" t="str">
        <f aca="false">IF($C61="","",IF($I61&lt;&gt;"",$I61-$G61,IF($J61="Atrasada",INT(Parâmetros!$C$4)-$G61,"")))</f>
        <v/>
      </c>
      <c r="L61" s="26" t="str">
        <f aca="false">IF($J61&lt;&gt;"Realizada","",IF($K61&lt;=0,"No prazo",IF($K61&lt;=7,"Até 7 dias",IF($K61&lt;=30,"Até 30 dias","Acima de 30"))))</f>
        <v/>
      </c>
      <c r="M61" s="26" t="n">
        <f aca="false">IF($C61="","",COUNTIFS($G$3:$G61,$G61))</f>
        <v>1</v>
      </c>
      <c r="N61" s="26" t="str">
        <f aca="false">IF($C61="","",$G61&amp;"|"&amp;$M61)</f>
        <v>46420|1</v>
      </c>
    </row>
    <row r="62" customFormat="false" ht="18" hidden="false" customHeight="true" outlineLevel="0" collapsed="false">
      <c r="A62" s="26" t="n">
        <v>3</v>
      </c>
      <c r="B62" s="26" t="n">
        <v>12</v>
      </c>
      <c r="C62" s="26" t="str">
        <f aca="false">IF(INDEX(Planos!$B$3:$B$27,3)="","",IF(12&gt;INDEX(Planos!$G$3:$G$27,3),"",INDEX(Planos!$B$3:$B$27,3)))</f>
        <v>PH-001</v>
      </c>
      <c r="D62" s="40" t="str">
        <f aca="false">IF($C62="","",IFERROR(INDEX(Ativos!$B$3:$B$42,MATCH($C62,Ativos!$A$3:$A$42,0)),""))</f>
        <v>Prensa hidráulica 100 t</v>
      </c>
      <c r="E62" s="40" t="str">
        <f aca="false">IF($C62="","",INDEX(Planos!$C$3:$C$27,3))</f>
        <v>Preventiva mensal — inspeção geral</v>
      </c>
      <c r="F62" s="40" t="str">
        <f aca="false">IF($C62="","",INDEX(Planos!$D$3:$D$27,3))</f>
        <v>Manutenção preventiva</v>
      </c>
      <c r="G62" s="41" t="n">
        <f aca="false">IF($C62="",0,INDEX(Planos!$F$3:$F$27,3)+(12-1)*INDEX(Planos!$E$3:$E$27,3))</f>
        <v>46450</v>
      </c>
      <c r="H62" s="40" t="str">
        <f aca="false">IF($C62="","",INDEX(Planos!$H$3:$H$27,3))</f>
        <v>Rafael Lima</v>
      </c>
      <c r="I62" s="41" t="str">
        <f aca="false">IF($C62="","",IF(INDEX(Planos!$J$3:$AG$27,$A62,$B62)=0,"",INDEX(Planos!$J$3:$AG$27,$A62,$B62)))</f>
        <v/>
      </c>
      <c r="J62" s="26" t="str">
        <f aca="false">IF($C62="","",IF($I62&lt;&gt;"","Realizada",IF($G62&lt;INT(Parâmetros!$C$4),"Atrasada","Agendada")))</f>
        <v>Agendada</v>
      </c>
      <c r="K62" s="42" t="str">
        <f aca="false">IF($C62="","",IF($I62&lt;&gt;"",$I62-$G62,IF($J62="Atrasada",INT(Parâmetros!$C$4)-$G62,"")))</f>
        <v/>
      </c>
      <c r="L62" s="26" t="str">
        <f aca="false">IF($J62&lt;&gt;"Realizada","",IF($K62&lt;=0,"No prazo",IF($K62&lt;=7,"Até 7 dias",IF($K62&lt;=30,"Até 30 dias","Acima de 30"))))</f>
        <v/>
      </c>
      <c r="M62" s="26" t="n">
        <f aca="false">IF($C62="","",COUNTIFS($G$3:$G62,$G62))</f>
        <v>1</v>
      </c>
      <c r="N62" s="26" t="str">
        <f aca="false">IF($C62="","",$G62&amp;"|"&amp;$M62)</f>
        <v>46450|1</v>
      </c>
    </row>
    <row r="63" customFormat="false" ht="18" hidden="false" customHeight="true" outlineLevel="0" collapsed="false">
      <c r="A63" s="26" t="n">
        <v>3</v>
      </c>
      <c r="B63" s="26" t="n">
        <v>13</v>
      </c>
      <c r="C63" s="26" t="str">
        <f aca="false">IF(INDEX(Planos!$B$3:$B$27,3)="","",IF(13&gt;INDEX(Planos!$G$3:$G$27,3),"",INDEX(Planos!$B$3:$B$27,3)))</f>
        <v>PH-001</v>
      </c>
      <c r="D63" s="40" t="str">
        <f aca="false">IF($C63="","",IFERROR(INDEX(Ativos!$B$3:$B$42,MATCH($C63,Ativos!$A$3:$A$42,0)),""))</f>
        <v>Prensa hidráulica 100 t</v>
      </c>
      <c r="E63" s="40" t="str">
        <f aca="false">IF($C63="","",INDEX(Planos!$C$3:$C$27,3))</f>
        <v>Preventiva mensal — inspeção geral</v>
      </c>
      <c r="F63" s="40" t="str">
        <f aca="false">IF($C63="","",INDEX(Planos!$D$3:$D$27,3))</f>
        <v>Manutenção preventiva</v>
      </c>
      <c r="G63" s="41" t="n">
        <f aca="false">IF($C63="",0,INDEX(Planos!$F$3:$F$27,3)+(13-1)*INDEX(Planos!$E$3:$E$27,3))</f>
        <v>46480</v>
      </c>
      <c r="H63" s="40" t="str">
        <f aca="false">IF($C63="","",INDEX(Planos!$H$3:$H$27,3))</f>
        <v>Rafael Lima</v>
      </c>
      <c r="I63" s="41" t="str">
        <f aca="false">IF($C63="","",IF(INDEX(Planos!$J$3:$AG$27,$A63,$B63)=0,"",INDEX(Planos!$J$3:$AG$27,$A63,$B63)))</f>
        <v/>
      </c>
      <c r="J63" s="26" t="str">
        <f aca="false">IF($C63="","",IF($I63&lt;&gt;"","Realizada",IF($G63&lt;INT(Parâmetros!$C$4),"Atrasada","Agendada")))</f>
        <v>Agendada</v>
      </c>
      <c r="K63" s="42" t="str">
        <f aca="false">IF($C63="","",IF($I63&lt;&gt;"",$I63-$G63,IF($J63="Atrasada",INT(Parâmetros!$C$4)-$G63,"")))</f>
        <v/>
      </c>
      <c r="L63" s="26" t="str">
        <f aca="false">IF($J63&lt;&gt;"Realizada","",IF($K63&lt;=0,"No prazo",IF($K63&lt;=7,"Até 7 dias",IF($K63&lt;=30,"Até 30 dias","Acima de 30"))))</f>
        <v/>
      </c>
      <c r="M63" s="26" t="n">
        <f aca="false">IF($C63="","",COUNTIFS($G$3:$G63,$G63))</f>
        <v>1</v>
      </c>
      <c r="N63" s="26" t="str">
        <f aca="false">IF($C63="","",$G63&amp;"|"&amp;$M63)</f>
        <v>46480|1</v>
      </c>
    </row>
    <row r="64" customFormat="false" ht="18" hidden="false" customHeight="true" outlineLevel="0" collapsed="false">
      <c r="A64" s="26" t="n">
        <v>3</v>
      </c>
      <c r="B64" s="26" t="n">
        <v>14</v>
      </c>
      <c r="C64" s="26" t="str">
        <f aca="false">IF(INDEX(Planos!$B$3:$B$27,3)="","",IF(14&gt;INDEX(Planos!$G$3:$G$27,3),"",INDEX(Planos!$B$3:$B$27,3)))</f>
        <v>PH-001</v>
      </c>
      <c r="D64" s="40" t="str">
        <f aca="false">IF($C64="","",IFERROR(INDEX(Ativos!$B$3:$B$42,MATCH($C64,Ativos!$A$3:$A$42,0)),""))</f>
        <v>Prensa hidráulica 100 t</v>
      </c>
      <c r="E64" s="40" t="str">
        <f aca="false">IF($C64="","",INDEX(Planos!$C$3:$C$27,3))</f>
        <v>Preventiva mensal — inspeção geral</v>
      </c>
      <c r="F64" s="40" t="str">
        <f aca="false">IF($C64="","",INDEX(Planos!$D$3:$D$27,3))</f>
        <v>Manutenção preventiva</v>
      </c>
      <c r="G64" s="41" t="n">
        <f aca="false">IF($C64="",0,INDEX(Planos!$F$3:$F$27,3)+(14-1)*INDEX(Planos!$E$3:$E$27,3))</f>
        <v>46510</v>
      </c>
      <c r="H64" s="40" t="str">
        <f aca="false">IF($C64="","",INDEX(Planos!$H$3:$H$27,3))</f>
        <v>Rafael Lima</v>
      </c>
      <c r="I64" s="41" t="str">
        <f aca="false">IF($C64="","",IF(INDEX(Planos!$J$3:$AG$27,$A64,$B64)=0,"",INDEX(Planos!$J$3:$AG$27,$A64,$B64)))</f>
        <v/>
      </c>
      <c r="J64" s="26" t="str">
        <f aca="false">IF($C64="","",IF($I64&lt;&gt;"","Realizada",IF($G64&lt;INT(Parâmetros!$C$4),"Atrasada","Agendada")))</f>
        <v>Agendada</v>
      </c>
      <c r="K64" s="42" t="str">
        <f aca="false">IF($C64="","",IF($I64&lt;&gt;"",$I64-$G64,IF($J64="Atrasada",INT(Parâmetros!$C$4)-$G64,"")))</f>
        <v/>
      </c>
      <c r="L64" s="26" t="str">
        <f aca="false">IF($J64&lt;&gt;"Realizada","",IF($K64&lt;=0,"No prazo",IF($K64&lt;=7,"Até 7 dias",IF($K64&lt;=30,"Até 30 dias","Acima de 30"))))</f>
        <v/>
      </c>
      <c r="M64" s="26" t="n">
        <f aca="false">IF($C64="","",COUNTIFS($G$3:$G64,$G64))</f>
        <v>1</v>
      </c>
      <c r="N64" s="26" t="str">
        <f aca="false">IF($C64="","",$G64&amp;"|"&amp;$M64)</f>
        <v>46510|1</v>
      </c>
    </row>
    <row r="65" customFormat="false" ht="18" hidden="false" customHeight="true" outlineLevel="0" collapsed="false">
      <c r="A65" s="26" t="n">
        <v>3</v>
      </c>
      <c r="B65" s="26" t="n">
        <v>15</v>
      </c>
      <c r="C65" s="26" t="str">
        <f aca="false">IF(INDEX(Planos!$B$3:$B$27,3)="","",IF(15&gt;INDEX(Planos!$G$3:$G$27,3),"",INDEX(Planos!$B$3:$B$27,3)))</f>
        <v>PH-001</v>
      </c>
      <c r="D65" s="40" t="str">
        <f aca="false">IF($C65="","",IFERROR(INDEX(Ativos!$B$3:$B$42,MATCH($C65,Ativos!$A$3:$A$42,0)),""))</f>
        <v>Prensa hidráulica 100 t</v>
      </c>
      <c r="E65" s="40" t="str">
        <f aca="false">IF($C65="","",INDEX(Planos!$C$3:$C$27,3))</f>
        <v>Preventiva mensal — inspeção geral</v>
      </c>
      <c r="F65" s="40" t="str">
        <f aca="false">IF($C65="","",INDEX(Planos!$D$3:$D$27,3))</f>
        <v>Manutenção preventiva</v>
      </c>
      <c r="G65" s="41" t="n">
        <f aca="false">IF($C65="",0,INDEX(Planos!$F$3:$F$27,3)+(15-1)*INDEX(Planos!$E$3:$E$27,3))</f>
        <v>46540</v>
      </c>
      <c r="H65" s="40" t="str">
        <f aca="false">IF($C65="","",INDEX(Planos!$H$3:$H$27,3))</f>
        <v>Rafael Lima</v>
      </c>
      <c r="I65" s="41" t="str">
        <f aca="false">IF($C65="","",IF(INDEX(Planos!$J$3:$AG$27,$A65,$B65)=0,"",INDEX(Planos!$J$3:$AG$27,$A65,$B65)))</f>
        <v/>
      </c>
      <c r="J65" s="26" t="str">
        <f aca="false">IF($C65="","",IF($I65&lt;&gt;"","Realizada",IF($G65&lt;INT(Parâmetros!$C$4),"Atrasada","Agendada")))</f>
        <v>Agendada</v>
      </c>
      <c r="K65" s="42" t="str">
        <f aca="false">IF($C65="","",IF($I65&lt;&gt;"",$I65-$G65,IF($J65="Atrasada",INT(Parâmetros!$C$4)-$G65,"")))</f>
        <v/>
      </c>
      <c r="L65" s="26" t="str">
        <f aca="false">IF($J65&lt;&gt;"Realizada","",IF($K65&lt;=0,"No prazo",IF($K65&lt;=7,"Até 7 dias",IF($K65&lt;=30,"Até 30 dias","Acima de 30"))))</f>
        <v/>
      </c>
      <c r="M65" s="26" t="n">
        <f aca="false">IF($C65="","",COUNTIFS($G$3:$G65,$G65))</f>
        <v>1</v>
      </c>
      <c r="N65" s="26" t="str">
        <f aca="false">IF($C65="","",$G65&amp;"|"&amp;$M65)</f>
        <v>46540|1</v>
      </c>
    </row>
    <row r="66" customFormat="false" ht="18" hidden="false" customHeight="true" outlineLevel="0" collapsed="false">
      <c r="A66" s="26" t="n">
        <v>3</v>
      </c>
      <c r="B66" s="26" t="n">
        <v>16</v>
      </c>
      <c r="C66" s="26" t="str">
        <f aca="false">IF(INDEX(Planos!$B$3:$B$27,3)="","",IF(16&gt;INDEX(Planos!$G$3:$G$27,3),"",INDEX(Planos!$B$3:$B$27,3)))</f>
        <v>PH-001</v>
      </c>
      <c r="D66" s="40" t="str">
        <f aca="false">IF($C66="","",IFERROR(INDEX(Ativos!$B$3:$B$42,MATCH($C66,Ativos!$A$3:$A$42,0)),""))</f>
        <v>Prensa hidráulica 100 t</v>
      </c>
      <c r="E66" s="40" t="str">
        <f aca="false">IF($C66="","",INDEX(Planos!$C$3:$C$27,3))</f>
        <v>Preventiva mensal — inspeção geral</v>
      </c>
      <c r="F66" s="40" t="str">
        <f aca="false">IF($C66="","",INDEX(Planos!$D$3:$D$27,3))</f>
        <v>Manutenção preventiva</v>
      </c>
      <c r="G66" s="41" t="n">
        <f aca="false">IF($C66="",0,INDEX(Planos!$F$3:$F$27,3)+(16-1)*INDEX(Planos!$E$3:$E$27,3))</f>
        <v>46570</v>
      </c>
      <c r="H66" s="40" t="str">
        <f aca="false">IF($C66="","",INDEX(Planos!$H$3:$H$27,3))</f>
        <v>Rafael Lima</v>
      </c>
      <c r="I66" s="41" t="str">
        <f aca="false">IF($C66="","",IF(INDEX(Planos!$J$3:$AG$27,$A66,$B66)=0,"",INDEX(Planos!$J$3:$AG$27,$A66,$B66)))</f>
        <v/>
      </c>
      <c r="J66" s="26" t="str">
        <f aca="false">IF($C66="","",IF($I66&lt;&gt;"","Realizada",IF($G66&lt;INT(Parâmetros!$C$4),"Atrasada","Agendada")))</f>
        <v>Agendada</v>
      </c>
      <c r="K66" s="42" t="str">
        <f aca="false">IF($C66="","",IF($I66&lt;&gt;"",$I66-$G66,IF($J66="Atrasada",INT(Parâmetros!$C$4)-$G66,"")))</f>
        <v/>
      </c>
      <c r="L66" s="26" t="str">
        <f aca="false">IF($J66&lt;&gt;"Realizada","",IF($K66&lt;=0,"No prazo",IF($K66&lt;=7,"Até 7 dias",IF($K66&lt;=30,"Até 30 dias","Acima de 30"))))</f>
        <v/>
      </c>
      <c r="M66" s="26" t="n">
        <f aca="false">IF($C66="","",COUNTIFS($G$3:$G66,$G66))</f>
        <v>1</v>
      </c>
      <c r="N66" s="26" t="str">
        <f aca="false">IF($C66="","",$G66&amp;"|"&amp;$M66)</f>
        <v>46570|1</v>
      </c>
    </row>
    <row r="67" customFormat="false" ht="18" hidden="false" customHeight="true" outlineLevel="0" collapsed="false">
      <c r="A67" s="26" t="n">
        <v>3</v>
      </c>
      <c r="B67" s="26" t="n">
        <v>17</v>
      </c>
      <c r="C67" s="26" t="str">
        <f aca="false">IF(INDEX(Planos!$B$3:$B$27,3)="","",IF(17&gt;INDEX(Planos!$G$3:$G$27,3),"",INDEX(Planos!$B$3:$B$27,3)))</f>
        <v>PH-001</v>
      </c>
      <c r="D67" s="40" t="str">
        <f aca="false">IF($C67="","",IFERROR(INDEX(Ativos!$B$3:$B$42,MATCH($C67,Ativos!$A$3:$A$42,0)),""))</f>
        <v>Prensa hidráulica 100 t</v>
      </c>
      <c r="E67" s="40" t="str">
        <f aca="false">IF($C67="","",INDEX(Planos!$C$3:$C$27,3))</f>
        <v>Preventiva mensal — inspeção geral</v>
      </c>
      <c r="F67" s="40" t="str">
        <f aca="false">IF($C67="","",INDEX(Planos!$D$3:$D$27,3))</f>
        <v>Manutenção preventiva</v>
      </c>
      <c r="G67" s="41" t="n">
        <f aca="false">IF($C67="",0,INDEX(Planos!$F$3:$F$27,3)+(17-1)*INDEX(Planos!$E$3:$E$27,3))</f>
        <v>46600</v>
      </c>
      <c r="H67" s="40" t="str">
        <f aca="false">IF($C67="","",INDEX(Planos!$H$3:$H$27,3))</f>
        <v>Rafael Lima</v>
      </c>
      <c r="I67" s="41" t="str">
        <f aca="false">IF($C67="","",IF(INDEX(Planos!$J$3:$AG$27,$A67,$B67)=0,"",INDEX(Planos!$J$3:$AG$27,$A67,$B67)))</f>
        <v/>
      </c>
      <c r="J67" s="26" t="str">
        <f aca="false">IF($C67="","",IF($I67&lt;&gt;"","Realizada",IF($G67&lt;INT(Parâmetros!$C$4),"Atrasada","Agendada")))</f>
        <v>Agendada</v>
      </c>
      <c r="K67" s="42" t="str">
        <f aca="false">IF($C67="","",IF($I67&lt;&gt;"",$I67-$G67,IF($J67="Atrasada",INT(Parâmetros!$C$4)-$G67,"")))</f>
        <v/>
      </c>
      <c r="L67" s="26" t="str">
        <f aca="false">IF($J67&lt;&gt;"Realizada","",IF($K67&lt;=0,"No prazo",IF($K67&lt;=7,"Até 7 dias",IF($K67&lt;=30,"Até 30 dias","Acima de 30"))))</f>
        <v/>
      </c>
      <c r="M67" s="26" t="n">
        <f aca="false">IF($C67="","",COUNTIFS($G$3:$G67,$G67))</f>
        <v>1</v>
      </c>
      <c r="N67" s="26" t="str">
        <f aca="false">IF($C67="","",$G67&amp;"|"&amp;$M67)</f>
        <v>46600|1</v>
      </c>
    </row>
    <row r="68" customFormat="false" ht="18" hidden="false" customHeight="true" outlineLevel="0" collapsed="false">
      <c r="A68" s="26" t="n">
        <v>3</v>
      </c>
      <c r="B68" s="26" t="n">
        <v>18</v>
      </c>
      <c r="C68" s="26" t="str">
        <f aca="false">IF(INDEX(Planos!$B$3:$B$27,3)="","",IF(18&gt;INDEX(Planos!$G$3:$G$27,3),"",INDEX(Planos!$B$3:$B$27,3)))</f>
        <v>PH-001</v>
      </c>
      <c r="D68" s="40" t="str">
        <f aca="false">IF($C68="","",IFERROR(INDEX(Ativos!$B$3:$B$42,MATCH($C68,Ativos!$A$3:$A$42,0)),""))</f>
        <v>Prensa hidráulica 100 t</v>
      </c>
      <c r="E68" s="40" t="str">
        <f aca="false">IF($C68="","",INDEX(Planos!$C$3:$C$27,3))</f>
        <v>Preventiva mensal — inspeção geral</v>
      </c>
      <c r="F68" s="40" t="str">
        <f aca="false">IF($C68="","",INDEX(Planos!$D$3:$D$27,3))</f>
        <v>Manutenção preventiva</v>
      </c>
      <c r="G68" s="41" t="n">
        <f aca="false">IF($C68="",0,INDEX(Planos!$F$3:$F$27,3)+(18-1)*INDEX(Planos!$E$3:$E$27,3))</f>
        <v>46630</v>
      </c>
      <c r="H68" s="40" t="str">
        <f aca="false">IF($C68="","",INDEX(Planos!$H$3:$H$27,3))</f>
        <v>Rafael Lima</v>
      </c>
      <c r="I68" s="41" t="str">
        <f aca="false">IF($C68="","",IF(INDEX(Planos!$J$3:$AG$27,$A68,$B68)=0,"",INDEX(Planos!$J$3:$AG$27,$A68,$B68)))</f>
        <v/>
      </c>
      <c r="J68" s="26" t="str">
        <f aca="false">IF($C68="","",IF($I68&lt;&gt;"","Realizada",IF($G68&lt;INT(Parâmetros!$C$4),"Atrasada","Agendada")))</f>
        <v>Agendada</v>
      </c>
      <c r="K68" s="42" t="str">
        <f aca="false">IF($C68="","",IF($I68&lt;&gt;"",$I68-$G68,IF($J68="Atrasada",INT(Parâmetros!$C$4)-$G68,"")))</f>
        <v/>
      </c>
      <c r="L68" s="26" t="str">
        <f aca="false">IF($J68&lt;&gt;"Realizada","",IF($K68&lt;=0,"No prazo",IF($K68&lt;=7,"Até 7 dias",IF($K68&lt;=30,"Até 30 dias","Acima de 30"))))</f>
        <v/>
      </c>
      <c r="M68" s="26" t="n">
        <f aca="false">IF($C68="","",COUNTIFS($G$3:$G68,$G68))</f>
        <v>1</v>
      </c>
      <c r="N68" s="26" t="str">
        <f aca="false">IF($C68="","",$G68&amp;"|"&amp;$M68)</f>
        <v>46630|1</v>
      </c>
    </row>
    <row r="69" customFormat="false" ht="18" hidden="false" customHeight="true" outlineLevel="0" collapsed="false">
      <c r="A69" s="26" t="n">
        <v>3</v>
      </c>
      <c r="B69" s="26" t="n">
        <v>19</v>
      </c>
      <c r="C69" s="26" t="str">
        <f aca="false">IF(INDEX(Planos!$B$3:$B$27,3)="","",IF(19&gt;INDEX(Planos!$G$3:$G$27,3),"",INDEX(Planos!$B$3:$B$27,3)))</f>
        <v>PH-001</v>
      </c>
      <c r="D69" s="40" t="str">
        <f aca="false">IF($C69="","",IFERROR(INDEX(Ativos!$B$3:$B$42,MATCH($C69,Ativos!$A$3:$A$42,0)),""))</f>
        <v>Prensa hidráulica 100 t</v>
      </c>
      <c r="E69" s="40" t="str">
        <f aca="false">IF($C69="","",INDEX(Planos!$C$3:$C$27,3))</f>
        <v>Preventiva mensal — inspeção geral</v>
      </c>
      <c r="F69" s="40" t="str">
        <f aca="false">IF($C69="","",INDEX(Planos!$D$3:$D$27,3))</f>
        <v>Manutenção preventiva</v>
      </c>
      <c r="G69" s="41" t="n">
        <f aca="false">IF($C69="",0,INDEX(Planos!$F$3:$F$27,3)+(19-1)*INDEX(Planos!$E$3:$E$27,3))</f>
        <v>46660</v>
      </c>
      <c r="H69" s="40" t="str">
        <f aca="false">IF($C69="","",INDEX(Planos!$H$3:$H$27,3))</f>
        <v>Rafael Lima</v>
      </c>
      <c r="I69" s="41" t="str">
        <f aca="false">IF($C69="","",IF(INDEX(Planos!$J$3:$AG$27,$A69,$B69)=0,"",INDEX(Planos!$J$3:$AG$27,$A69,$B69)))</f>
        <v/>
      </c>
      <c r="J69" s="26" t="str">
        <f aca="false">IF($C69="","",IF($I69&lt;&gt;"","Realizada",IF($G69&lt;INT(Parâmetros!$C$4),"Atrasada","Agendada")))</f>
        <v>Agendada</v>
      </c>
      <c r="K69" s="42" t="str">
        <f aca="false">IF($C69="","",IF($I69&lt;&gt;"",$I69-$G69,IF($J69="Atrasada",INT(Parâmetros!$C$4)-$G69,"")))</f>
        <v/>
      </c>
      <c r="L69" s="26" t="str">
        <f aca="false">IF($J69&lt;&gt;"Realizada","",IF($K69&lt;=0,"No prazo",IF($K69&lt;=7,"Até 7 dias",IF($K69&lt;=30,"Até 30 dias","Acima de 30"))))</f>
        <v/>
      </c>
      <c r="M69" s="26" t="n">
        <f aca="false">IF($C69="","",COUNTIFS($G$3:$G69,$G69))</f>
        <v>1</v>
      </c>
      <c r="N69" s="26" t="str">
        <f aca="false">IF($C69="","",$G69&amp;"|"&amp;$M69)</f>
        <v>46660|1</v>
      </c>
    </row>
    <row r="70" customFormat="false" ht="18" hidden="false" customHeight="true" outlineLevel="0" collapsed="false">
      <c r="A70" s="26" t="n">
        <v>3</v>
      </c>
      <c r="B70" s="26" t="n">
        <v>20</v>
      </c>
      <c r="C70" s="26" t="str">
        <f aca="false">IF(INDEX(Planos!$B$3:$B$27,3)="","",IF(20&gt;INDEX(Planos!$G$3:$G$27,3),"",INDEX(Planos!$B$3:$B$27,3)))</f>
        <v>PH-001</v>
      </c>
      <c r="D70" s="40" t="str">
        <f aca="false">IF($C70="","",IFERROR(INDEX(Ativos!$B$3:$B$42,MATCH($C70,Ativos!$A$3:$A$42,0)),""))</f>
        <v>Prensa hidráulica 100 t</v>
      </c>
      <c r="E70" s="40" t="str">
        <f aca="false">IF($C70="","",INDEX(Planos!$C$3:$C$27,3))</f>
        <v>Preventiva mensal — inspeção geral</v>
      </c>
      <c r="F70" s="40" t="str">
        <f aca="false">IF($C70="","",INDEX(Planos!$D$3:$D$27,3))</f>
        <v>Manutenção preventiva</v>
      </c>
      <c r="G70" s="41" t="n">
        <f aca="false">IF($C70="",0,INDEX(Planos!$F$3:$F$27,3)+(20-1)*INDEX(Planos!$E$3:$E$27,3))</f>
        <v>46690</v>
      </c>
      <c r="H70" s="40" t="str">
        <f aca="false">IF($C70="","",INDEX(Planos!$H$3:$H$27,3))</f>
        <v>Rafael Lima</v>
      </c>
      <c r="I70" s="41" t="str">
        <f aca="false">IF($C70="","",IF(INDEX(Planos!$J$3:$AG$27,$A70,$B70)=0,"",INDEX(Planos!$J$3:$AG$27,$A70,$B70)))</f>
        <v/>
      </c>
      <c r="J70" s="26" t="str">
        <f aca="false">IF($C70="","",IF($I70&lt;&gt;"","Realizada",IF($G70&lt;INT(Parâmetros!$C$4),"Atrasada","Agendada")))</f>
        <v>Agendada</v>
      </c>
      <c r="K70" s="42" t="str">
        <f aca="false">IF($C70="","",IF($I70&lt;&gt;"",$I70-$G70,IF($J70="Atrasada",INT(Parâmetros!$C$4)-$G70,"")))</f>
        <v/>
      </c>
      <c r="L70" s="26" t="str">
        <f aca="false">IF($J70&lt;&gt;"Realizada","",IF($K70&lt;=0,"No prazo",IF($K70&lt;=7,"Até 7 dias",IF($K70&lt;=30,"Até 30 dias","Acima de 30"))))</f>
        <v/>
      </c>
      <c r="M70" s="26" t="n">
        <f aca="false">IF($C70="","",COUNTIFS($G$3:$G70,$G70))</f>
        <v>1</v>
      </c>
      <c r="N70" s="26" t="str">
        <f aca="false">IF($C70="","",$G70&amp;"|"&amp;$M70)</f>
        <v>46690|1</v>
      </c>
    </row>
    <row r="71" customFormat="false" ht="18" hidden="false" customHeight="true" outlineLevel="0" collapsed="false">
      <c r="A71" s="26" t="n">
        <v>3</v>
      </c>
      <c r="B71" s="26" t="n">
        <v>21</v>
      </c>
      <c r="C71" s="26" t="str">
        <f aca="false">IF(INDEX(Planos!$B$3:$B$27,3)="","",IF(21&gt;INDEX(Planos!$G$3:$G$27,3),"",INDEX(Planos!$B$3:$B$27,3)))</f>
        <v>PH-001</v>
      </c>
      <c r="D71" s="40" t="str">
        <f aca="false">IF($C71="","",IFERROR(INDEX(Ativos!$B$3:$B$42,MATCH($C71,Ativos!$A$3:$A$42,0)),""))</f>
        <v>Prensa hidráulica 100 t</v>
      </c>
      <c r="E71" s="40" t="str">
        <f aca="false">IF($C71="","",INDEX(Planos!$C$3:$C$27,3))</f>
        <v>Preventiva mensal — inspeção geral</v>
      </c>
      <c r="F71" s="40" t="str">
        <f aca="false">IF($C71="","",INDEX(Planos!$D$3:$D$27,3))</f>
        <v>Manutenção preventiva</v>
      </c>
      <c r="G71" s="41" t="n">
        <f aca="false">IF($C71="",0,INDEX(Planos!$F$3:$F$27,3)+(21-1)*INDEX(Planos!$E$3:$E$27,3))</f>
        <v>46720</v>
      </c>
      <c r="H71" s="40" t="str">
        <f aca="false">IF($C71="","",INDEX(Planos!$H$3:$H$27,3))</f>
        <v>Rafael Lima</v>
      </c>
      <c r="I71" s="41" t="str">
        <f aca="false">IF($C71="","",IF(INDEX(Planos!$J$3:$AG$27,$A71,$B71)=0,"",INDEX(Planos!$J$3:$AG$27,$A71,$B71)))</f>
        <v/>
      </c>
      <c r="J71" s="26" t="str">
        <f aca="false">IF($C71="","",IF($I71&lt;&gt;"","Realizada",IF($G71&lt;INT(Parâmetros!$C$4),"Atrasada","Agendada")))</f>
        <v>Agendada</v>
      </c>
      <c r="K71" s="42" t="str">
        <f aca="false">IF($C71="","",IF($I71&lt;&gt;"",$I71-$G71,IF($J71="Atrasada",INT(Parâmetros!$C$4)-$G71,"")))</f>
        <v/>
      </c>
      <c r="L71" s="26" t="str">
        <f aca="false">IF($J71&lt;&gt;"Realizada","",IF($K71&lt;=0,"No prazo",IF($K71&lt;=7,"Até 7 dias",IF($K71&lt;=30,"Até 30 dias","Acima de 30"))))</f>
        <v/>
      </c>
      <c r="M71" s="26" t="n">
        <f aca="false">IF($C71="","",COUNTIFS($G$3:$G71,$G71))</f>
        <v>1</v>
      </c>
      <c r="N71" s="26" t="str">
        <f aca="false">IF($C71="","",$G71&amp;"|"&amp;$M71)</f>
        <v>46720|1</v>
      </c>
    </row>
    <row r="72" customFormat="false" ht="18" hidden="false" customHeight="true" outlineLevel="0" collapsed="false">
      <c r="A72" s="26" t="n">
        <v>3</v>
      </c>
      <c r="B72" s="26" t="n">
        <v>22</v>
      </c>
      <c r="C72" s="26" t="str">
        <f aca="false">IF(INDEX(Planos!$B$3:$B$27,3)="","",IF(22&gt;INDEX(Planos!$G$3:$G$27,3),"",INDEX(Planos!$B$3:$B$27,3)))</f>
        <v>PH-001</v>
      </c>
      <c r="D72" s="40" t="str">
        <f aca="false">IF($C72="","",IFERROR(INDEX(Ativos!$B$3:$B$42,MATCH($C72,Ativos!$A$3:$A$42,0)),""))</f>
        <v>Prensa hidráulica 100 t</v>
      </c>
      <c r="E72" s="40" t="str">
        <f aca="false">IF($C72="","",INDEX(Planos!$C$3:$C$27,3))</f>
        <v>Preventiva mensal — inspeção geral</v>
      </c>
      <c r="F72" s="40" t="str">
        <f aca="false">IF($C72="","",INDEX(Planos!$D$3:$D$27,3))</f>
        <v>Manutenção preventiva</v>
      </c>
      <c r="G72" s="41" t="n">
        <f aca="false">IF($C72="",0,INDEX(Planos!$F$3:$F$27,3)+(22-1)*INDEX(Planos!$E$3:$E$27,3))</f>
        <v>46750</v>
      </c>
      <c r="H72" s="40" t="str">
        <f aca="false">IF($C72="","",INDEX(Planos!$H$3:$H$27,3))</f>
        <v>Rafael Lima</v>
      </c>
      <c r="I72" s="41" t="str">
        <f aca="false">IF($C72="","",IF(INDEX(Planos!$J$3:$AG$27,$A72,$B72)=0,"",INDEX(Planos!$J$3:$AG$27,$A72,$B72)))</f>
        <v/>
      </c>
      <c r="J72" s="26" t="str">
        <f aca="false">IF($C72="","",IF($I72&lt;&gt;"","Realizada",IF($G72&lt;INT(Parâmetros!$C$4),"Atrasada","Agendada")))</f>
        <v>Agendada</v>
      </c>
      <c r="K72" s="42" t="str">
        <f aca="false">IF($C72="","",IF($I72&lt;&gt;"",$I72-$G72,IF($J72="Atrasada",INT(Parâmetros!$C$4)-$G72,"")))</f>
        <v/>
      </c>
      <c r="L72" s="26" t="str">
        <f aca="false">IF($J72&lt;&gt;"Realizada","",IF($K72&lt;=0,"No prazo",IF($K72&lt;=7,"Até 7 dias",IF($K72&lt;=30,"Até 30 dias","Acima de 30"))))</f>
        <v/>
      </c>
      <c r="M72" s="26" t="n">
        <f aca="false">IF($C72="","",COUNTIFS($G$3:$G72,$G72))</f>
        <v>1</v>
      </c>
      <c r="N72" s="26" t="str">
        <f aca="false">IF($C72="","",$G72&amp;"|"&amp;$M72)</f>
        <v>46750|1</v>
      </c>
    </row>
    <row r="73" customFormat="false" ht="18" hidden="false" customHeight="true" outlineLevel="0" collapsed="false">
      <c r="A73" s="26" t="n">
        <v>3</v>
      </c>
      <c r="B73" s="26" t="n">
        <v>23</v>
      </c>
      <c r="C73" s="26" t="str">
        <f aca="false">IF(INDEX(Planos!$B$3:$B$27,3)="","",IF(23&gt;INDEX(Planos!$G$3:$G$27,3),"",INDEX(Planos!$B$3:$B$27,3)))</f>
        <v>PH-001</v>
      </c>
      <c r="D73" s="40" t="str">
        <f aca="false">IF($C73="","",IFERROR(INDEX(Ativos!$B$3:$B$42,MATCH($C73,Ativos!$A$3:$A$42,0)),""))</f>
        <v>Prensa hidráulica 100 t</v>
      </c>
      <c r="E73" s="40" t="str">
        <f aca="false">IF($C73="","",INDEX(Planos!$C$3:$C$27,3))</f>
        <v>Preventiva mensal — inspeção geral</v>
      </c>
      <c r="F73" s="40" t="str">
        <f aca="false">IF($C73="","",INDEX(Planos!$D$3:$D$27,3))</f>
        <v>Manutenção preventiva</v>
      </c>
      <c r="G73" s="41" t="n">
        <f aca="false">IF($C73="",0,INDEX(Planos!$F$3:$F$27,3)+(23-1)*INDEX(Planos!$E$3:$E$27,3))</f>
        <v>46780</v>
      </c>
      <c r="H73" s="40" t="str">
        <f aca="false">IF($C73="","",INDEX(Planos!$H$3:$H$27,3))</f>
        <v>Rafael Lima</v>
      </c>
      <c r="I73" s="41" t="str">
        <f aca="false">IF($C73="","",IF(INDEX(Planos!$J$3:$AG$27,$A73,$B73)=0,"",INDEX(Planos!$J$3:$AG$27,$A73,$B73)))</f>
        <v/>
      </c>
      <c r="J73" s="26" t="str">
        <f aca="false">IF($C73="","",IF($I73&lt;&gt;"","Realizada",IF($G73&lt;INT(Parâmetros!$C$4),"Atrasada","Agendada")))</f>
        <v>Agendada</v>
      </c>
      <c r="K73" s="42" t="str">
        <f aca="false">IF($C73="","",IF($I73&lt;&gt;"",$I73-$G73,IF($J73="Atrasada",INT(Parâmetros!$C$4)-$G73,"")))</f>
        <v/>
      </c>
      <c r="L73" s="26" t="str">
        <f aca="false">IF($J73&lt;&gt;"Realizada","",IF($K73&lt;=0,"No prazo",IF($K73&lt;=7,"Até 7 dias",IF($K73&lt;=30,"Até 30 dias","Acima de 30"))))</f>
        <v/>
      </c>
      <c r="M73" s="26" t="n">
        <f aca="false">IF($C73="","",COUNTIFS($G$3:$G73,$G73))</f>
        <v>1</v>
      </c>
      <c r="N73" s="26" t="str">
        <f aca="false">IF($C73="","",$G73&amp;"|"&amp;$M73)</f>
        <v>46780|1</v>
      </c>
    </row>
    <row r="74" customFormat="false" ht="18" hidden="false" customHeight="true" outlineLevel="0" collapsed="false">
      <c r="A74" s="26" t="n">
        <v>3</v>
      </c>
      <c r="B74" s="26" t="n">
        <v>24</v>
      </c>
      <c r="C74" s="26" t="str">
        <f aca="false">IF(INDEX(Planos!$B$3:$B$27,3)="","",IF(24&gt;INDEX(Planos!$G$3:$G$27,3),"",INDEX(Planos!$B$3:$B$27,3)))</f>
        <v>PH-001</v>
      </c>
      <c r="D74" s="40" t="str">
        <f aca="false">IF($C74="","",IFERROR(INDEX(Ativos!$B$3:$B$42,MATCH($C74,Ativos!$A$3:$A$42,0)),""))</f>
        <v>Prensa hidráulica 100 t</v>
      </c>
      <c r="E74" s="40" t="str">
        <f aca="false">IF($C74="","",INDEX(Planos!$C$3:$C$27,3))</f>
        <v>Preventiva mensal — inspeção geral</v>
      </c>
      <c r="F74" s="40" t="str">
        <f aca="false">IF($C74="","",INDEX(Planos!$D$3:$D$27,3))</f>
        <v>Manutenção preventiva</v>
      </c>
      <c r="G74" s="41" t="n">
        <f aca="false">IF($C74="",0,INDEX(Planos!$F$3:$F$27,3)+(24-1)*INDEX(Planos!$E$3:$E$27,3))</f>
        <v>46810</v>
      </c>
      <c r="H74" s="40" t="str">
        <f aca="false">IF($C74="","",INDEX(Planos!$H$3:$H$27,3))</f>
        <v>Rafael Lima</v>
      </c>
      <c r="I74" s="41" t="str">
        <f aca="false">IF($C74="","",IF(INDEX(Planos!$J$3:$AG$27,$A74,$B74)=0,"",INDEX(Planos!$J$3:$AG$27,$A74,$B74)))</f>
        <v/>
      </c>
      <c r="J74" s="26" t="str">
        <f aca="false">IF($C74="","",IF($I74&lt;&gt;"","Realizada",IF($G74&lt;INT(Parâmetros!$C$4),"Atrasada","Agendada")))</f>
        <v>Agendada</v>
      </c>
      <c r="K74" s="42" t="str">
        <f aca="false">IF($C74="","",IF($I74&lt;&gt;"",$I74-$G74,IF($J74="Atrasada",INT(Parâmetros!$C$4)-$G74,"")))</f>
        <v/>
      </c>
      <c r="L74" s="26" t="str">
        <f aca="false">IF($J74&lt;&gt;"Realizada","",IF($K74&lt;=0,"No prazo",IF($K74&lt;=7,"Até 7 dias",IF($K74&lt;=30,"Até 30 dias","Acima de 30"))))</f>
        <v/>
      </c>
      <c r="M74" s="26" t="n">
        <f aca="false">IF($C74="","",COUNTIFS($G$3:$G74,$G74))</f>
        <v>1</v>
      </c>
      <c r="N74" s="26" t="str">
        <f aca="false">IF($C74="","",$G74&amp;"|"&amp;$M74)</f>
        <v>46810|1</v>
      </c>
    </row>
    <row r="75" customFormat="false" ht="18" hidden="false" customHeight="true" outlineLevel="0" collapsed="false">
      <c r="A75" s="26" t="n">
        <v>4</v>
      </c>
      <c r="B75" s="26" t="n">
        <v>1</v>
      </c>
      <c r="C75" s="26" t="str">
        <f aca="false">IF(INDEX(Planos!$B$3:$B$27,4)="","",IF(1&gt;INDEX(Planos!$G$3:$G$27,4),"",INDEX(Planos!$B$3:$B$27,4)))</f>
        <v>ET-001</v>
      </c>
      <c r="D75" s="40" t="str">
        <f aca="false">IF($C75="","",IFERROR(INDEX(Ativos!$B$3:$B$42,MATCH($C75,Ativos!$A$3:$A$42,0)),""))</f>
        <v>Esteira transportadora 12 m</v>
      </c>
      <c r="E75" s="40" t="str">
        <f aca="false">IF($C75="","",INDEX(Planos!$C$3:$C$27,4))</f>
        <v>Preventiva bimestral — roletes e correia</v>
      </c>
      <c r="F75" s="40" t="str">
        <f aca="false">IF($C75="","",INDEX(Planos!$D$3:$D$27,4))</f>
        <v>Manutenção preventiva</v>
      </c>
      <c r="G75" s="41" t="n">
        <f aca="false">IF($C75="",0,INDEX(Planos!$F$3:$F$27,4)+(1-1)*INDEX(Planos!$E$3:$E$27,4))</f>
        <v>46071</v>
      </c>
      <c r="H75" s="40" t="str">
        <f aca="false">IF($C75="","",INDEX(Planos!$H$3:$H$27,4))</f>
        <v>Rafael Lima</v>
      </c>
      <c r="I75" s="41" t="n">
        <f aca="false">IF($C75="","",IF(INDEX(Planos!$J$3:$AG$27,$A75,$B75)=0,"",INDEX(Planos!$J$3:$AG$27,$A75,$B75)))</f>
        <v>46071</v>
      </c>
      <c r="J75" s="26" t="str">
        <f aca="false">IF($C75="","",IF($I75&lt;&gt;"","Realizada",IF($G75&lt;INT(Parâmetros!$C$4),"Atrasada","Agendada")))</f>
        <v>Realizada</v>
      </c>
      <c r="K75" s="42" t="n">
        <f aca="false">IF($C75="","",IF($I75&lt;&gt;"",$I75-$G75,IF($J75="Atrasada",INT(Parâmetros!$C$4)-$G75,"")))</f>
        <v>0</v>
      </c>
      <c r="L75" s="26" t="str">
        <f aca="false">IF($J75&lt;&gt;"Realizada","",IF($K75&lt;=0,"No prazo",IF($K75&lt;=7,"Até 7 dias",IF($K75&lt;=30,"Até 30 dias","Acima de 30"))))</f>
        <v>No prazo</v>
      </c>
      <c r="M75" s="26" t="n">
        <f aca="false">IF($C75="","",COUNTIFS($G$3:$G75,$G75))</f>
        <v>1</v>
      </c>
      <c r="N75" s="26" t="str">
        <f aca="false">IF($C75="","",$G75&amp;"|"&amp;$M75)</f>
        <v>46071|1</v>
      </c>
    </row>
    <row r="76" customFormat="false" ht="18" hidden="false" customHeight="true" outlineLevel="0" collapsed="false">
      <c r="A76" s="26" t="n">
        <v>4</v>
      </c>
      <c r="B76" s="26" t="n">
        <v>2</v>
      </c>
      <c r="C76" s="26" t="str">
        <f aca="false">IF(INDEX(Planos!$B$3:$B$27,4)="","",IF(2&gt;INDEX(Planos!$G$3:$G$27,4),"",INDEX(Planos!$B$3:$B$27,4)))</f>
        <v>ET-001</v>
      </c>
      <c r="D76" s="40" t="str">
        <f aca="false">IF($C76="","",IFERROR(INDEX(Ativos!$B$3:$B$42,MATCH($C76,Ativos!$A$3:$A$42,0)),""))</f>
        <v>Esteira transportadora 12 m</v>
      </c>
      <c r="E76" s="40" t="str">
        <f aca="false">IF($C76="","",INDEX(Planos!$C$3:$C$27,4))</f>
        <v>Preventiva bimestral — roletes e correia</v>
      </c>
      <c r="F76" s="40" t="str">
        <f aca="false">IF($C76="","",INDEX(Planos!$D$3:$D$27,4))</f>
        <v>Manutenção preventiva</v>
      </c>
      <c r="G76" s="41" t="n">
        <f aca="false">IF($C76="",0,INDEX(Planos!$F$3:$F$27,4)+(2-1)*INDEX(Planos!$E$3:$E$27,4))</f>
        <v>46131</v>
      </c>
      <c r="H76" s="40" t="str">
        <f aca="false">IF($C76="","",INDEX(Planos!$H$3:$H$27,4))</f>
        <v>Rafael Lima</v>
      </c>
      <c r="I76" s="41" t="n">
        <f aca="false">IF($C76="","",IF(INDEX(Planos!$J$3:$AG$27,$A76,$B76)=0,"",INDEX(Planos!$J$3:$AG$27,$A76,$B76)))</f>
        <v>46134</v>
      </c>
      <c r="J76" s="26" t="str">
        <f aca="false">IF($C76="","",IF($I76&lt;&gt;"","Realizada",IF($G76&lt;INT(Parâmetros!$C$4),"Atrasada","Agendada")))</f>
        <v>Realizada</v>
      </c>
      <c r="K76" s="42" t="n">
        <f aca="false">IF($C76="","",IF($I76&lt;&gt;"",$I76-$G76,IF($J76="Atrasada",INT(Parâmetros!$C$4)-$G76,"")))</f>
        <v>3</v>
      </c>
      <c r="L76" s="26" t="str">
        <f aca="false">IF($J76&lt;&gt;"Realizada","",IF($K76&lt;=0,"No prazo",IF($K76&lt;=7,"Até 7 dias",IF($K76&lt;=30,"Até 30 dias","Acima de 30"))))</f>
        <v>Até 7 dias</v>
      </c>
      <c r="M76" s="26" t="n">
        <f aca="false">IF($C76="","",COUNTIFS($G$3:$G76,$G76))</f>
        <v>1</v>
      </c>
      <c r="N76" s="26" t="str">
        <f aca="false">IF($C76="","",$G76&amp;"|"&amp;$M76)</f>
        <v>46131|1</v>
      </c>
    </row>
    <row r="77" customFormat="false" ht="18" hidden="false" customHeight="true" outlineLevel="0" collapsed="false">
      <c r="A77" s="26" t="n">
        <v>4</v>
      </c>
      <c r="B77" s="26" t="n">
        <v>3</v>
      </c>
      <c r="C77" s="26" t="str">
        <f aca="false">IF(INDEX(Planos!$B$3:$B$27,4)="","",IF(3&gt;INDEX(Planos!$G$3:$G$27,4),"",INDEX(Planos!$B$3:$B$27,4)))</f>
        <v>ET-001</v>
      </c>
      <c r="D77" s="40" t="str">
        <f aca="false">IF($C77="","",IFERROR(INDEX(Ativos!$B$3:$B$42,MATCH($C77,Ativos!$A$3:$A$42,0)),""))</f>
        <v>Esteira transportadora 12 m</v>
      </c>
      <c r="E77" s="40" t="str">
        <f aca="false">IF($C77="","",INDEX(Planos!$C$3:$C$27,4))</f>
        <v>Preventiva bimestral — roletes e correia</v>
      </c>
      <c r="F77" s="40" t="str">
        <f aca="false">IF($C77="","",INDEX(Planos!$D$3:$D$27,4))</f>
        <v>Manutenção preventiva</v>
      </c>
      <c r="G77" s="41" t="n">
        <f aca="false">IF($C77="",0,INDEX(Planos!$F$3:$F$27,4)+(3-1)*INDEX(Planos!$E$3:$E$27,4))</f>
        <v>46191</v>
      </c>
      <c r="H77" s="40" t="str">
        <f aca="false">IF($C77="","",INDEX(Planos!$H$3:$H$27,4))</f>
        <v>Rafael Lima</v>
      </c>
      <c r="I77" s="41" t="n">
        <f aca="false">IF($C77="","",IF(INDEX(Planos!$J$3:$AG$27,$A77,$B77)=0,"",INDEX(Planos!$J$3:$AG$27,$A77,$B77)))</f>
        <v>46191</v>
      </c>
      <c r="J77" s="26" t="str">
        <f aca="false">IF($C77="","",IF($I77&lt;&gt;"","Realizada",IF($G77&lt;INT(Parâmetros!$C$4),"Atrasada","Agendada")))</f>
        <v>Realizada</v>
      </c>
      <c r="K77" s="42" t="n">
        <f aca="false">IF($C77="","",IF($I77&lt;&gt;"",$I77-$G77,IF($J77="Atrasada",INT(Parâmetros!$C$4)-$G77,"")))</f>
        <v>0</v>
      </c>
      <c r="L77" s="26" t="str">
        <f aca="false">IF($J77&lt;&gt;"Realizada","",IF($K77&lt;=0,"No prazo",IF($K77&lt;=7,"Até 7 dias",IF($K77&lt;=30,"Até 30 dias","Acima de 30"))))</f>
        <v>No prazo</v>
      </c>
      <c r="M77" s="26" t="n">
        <f aca="false">IF($C77="","",COUNTIFS($G$3:$G77,$G77))</f>
        <v>1</v>
      </c>
      <c r="N77" s="26" t="str">
        <f aca="false">IF($C77="","",$G77&amp;"|"&amp;$M77)</f>
        <v>46191|1</v>
      </c>
    </row>
    <row r="78" customFormat="false" ht="18" hidden="false" customHeight="true" outlineLevel="0" collapsed="false">
      <c r="A78" s="26" t="n">
        <v>4</v>
      </c>
      <c r="B78" s="26" t="n">
        <v>4</v>
      </c>
      <c r="C78" s="26" t="str">
        <f aca="false">IF(INDEX(Planos!$B$3:$B$27,4)="","",IF(4&gt;INDEX(Planos!$G$3:$G$27,4),"",INDEX(Planos!$B$3:$B$27,4)))</f>
        <v>ET-001</v>
      </c>
      <c r="D78" s="40" t="str">
        <f aca="false">IF($C78="","",IFERROR(INDEX(Ativos!$B$3:$B$42,MATCH($C78,Ativos!$A$3:$A$42,0)),""))</f>
        <v>Esteira transportadora 12 m</v>
      </c>
      <c r="E78" s="40" t="str">
        <f aca="false">IF($C78="","",INDEX(Planos!$C$3:$C$27,4))</f>
        <v>Preventiva bimestral — roletes e correia</v>
      </c>
      <c r="F78" s="40" t="str">
        <f aca="false">IF($C78="","",INDEX(Planos!$D$3:$D$27,4))</f>
        <v>Manutenção preventiva</v>
      </c>
      <c r="G78" s="41" t="n">
        <f aca="false">IF($C78="",0,INDEX(Planos!$F$3:$F$27,4)+(4-1)*INDEX(Planos!$E$3:$E$27,4))</f>
        <v>46251</v>
      </c>
      <c r="H78" s="40" t="str">
        <f aca="false">IF($C78="","",INDEX(Planos!$H$3:$H$27,4))</f>
        <v>Rafael Lima</v>
      </c>
      <c r="I78" s="41" t="str">
        <f aca="false">IF($C78="","",IF(INDEX(Planos!$J$3:$AG$27,$A78,$B78)=0,"",INDEX(Planos!$J$3:$AG$27,$A78,$B78)))</f>
        <v/>
      </c>
      <c r="J78" s="26" t="str">
        <f aca="false">IF($C78="","",IF($I78&lt;&gt;"","Realizada",IF($G78&lt;INT(Parâmetros!$C$4),"Atrasada","Agendada")))</f>
        <v>Agendada</v>
      </c>
      <c r="K78" s="42" t="str">
        <f aca="false">IF($C78="","",IF($I78&lt;&gt;"",$I78-$G78,IF($J78="Atrasada",INT(Parâmetros!$C$4)-$G78,"")))</f>
        <v/>
      </c>
      <c r="L78" s="26" t="str">
        <f aca="false">IF($J78&lt;&gt;"Realizada","",IF($K78&lt;=0,"No prazo",IF($K78&lt;=7,"Até 7 dias",IF($K78&lt;=30,"Até 30 dias","Acima de 30"))))</f>
        <v/>
      </c>
      <c r="M78" s="26" t="n">
        <f aca="false">IF($C78="","",COUNTIFS($G$3:$G78,$G78))</f>
        <v>1</v>
      </c>
      <c r="N78" s="26" t="str">
        <f aca="false">IF($C78="","",$G78&amp;"|"&amp;$M78)</f>
        <v>46251|1</v>
      </c>
    </row>
    <row r="79" customFormat="false" ht="18" hidden="false" customHeight="true" outlineLevel="0" collapsed="false">
      <c r="A79" s="26" t="n">
        <v>4</v>
      </c>
      <c r="B79" s="26" t="n">
        <v>5</v>
      </c>
      <c r="C79" s="26" t="str">
        <f aca="false">IF(INDEX(Planos!$B$3:$B$27,4)="","",IF(5&gt;INDEX(Planos!$G$3:$G$27,4),"",INDEX(Planos!$B$3:$B$27,4)))</f>
        <v>ET-001</v>
      </c>
      <c r="D79" s="40" t="str">
        <f aca="false">IF($C79="","",IFERROR(INDEX(Ativos!$B$3:$B$42,MATCH($C79,Ativos!$A$3:$A$42,0)),""))</f>
        <v>Esteira transportadora 12 m</v>
      </c>
      <c r="E79" s="40" t="str">
        <f aca="false">IF($C79="","",INDEX(Planos!$C$3:$C$27,4))</f>
        <v>Preventiva bimestral — roletes e correia</v>
      </c>
      <c r="F79" s="40" t="str">
        <f aca="false">IF($C79="","",INDEX(Planos!$D$3:$D$27,4))</f>
        <v>Manutenção preventiva</v>
      </c>
      <c r="G79" s="41" t="n">
        <f aca="false">IF($C79="",0,INDEX(Planos!$F$3:$F$27,4)+(5-1)*INDEX(Planos!$E$3:$E$27,4))</f>
        <v>46311</v>
      </c>
      <c r="H79" s="40" t="str">
        <f aca="false">IF($C79="","",INDEX(Planos!$H$3:$H$27,4))</f>
        <v>Rafael Lima</v>
      </c>
      <c r="I79" s="41" t="str">
        <f aca="false">IF($C79="","",IF(INDEX(Planos!$J$3:$AG$27,$A79,$B79)=0,"",INDEX(Planos!$J$3:$AG$27,$A79,$B79)))</f>
        <v/>
      </c>
      <c r="J79" s="26" t="str">
        <f aca="false">IF($C79="","",IF($I79&lt;&gt;"","Realizada",IF($G79&lt;INT(Parâmetros!$C$4),"Atrasada","Agendada")))</f>
        <v>Agendada</v>
      </c>
      <c r="K79" s="42" t="str">
        <f aca="false">IF($C79="","",IF($I79&lt;&gt;"",$I79-$G79,IF($J79="Atrasada",INT(Parâmetros!$C$4)-$G79,"")))</f>
        <v/>
      </c>
      <c r="L79" s="26" t="str">
        <f aca="false">IF($J79&lt;&gt;"Realizada","",IF($K79&lt;=0,"No prazo",IF($K79&lt;=7,"Até 7 dias",IF($K79&lt;=30,"Até 30 dias","Acima de 30"))))</f>
        <v/>
      </c>
      <c r="M79" s="26" t="n">
        <f aca="false">IF($C79="","",COUNTIFS($G$3:$G79,$G79))</f>
        <v>1</v>
      </c>
      <c r="N79" s="26" t="str">
        <f aca="false">IF($C79="","",$G79&amp;"|"&amp;$M79)</f>
        <v>46311|1</v>
      </c>
    </row>
    <row r="80" customFormat="false" ht="18" hidden="false" customHeight="true" outlineLevel="0" collapsed="false">
      <c r="A80" s="26" t="n">
        <v>4</v>
      </c>
      <c r="B80" s="26" t="n">
        <v>6</v>
      </c>
      <c r="C80" s="26" t="str">
        <f aca="false">IF(INDEX(Planos!$B$3:$B$27,4)="","",IF(6&gt;INDEX(Planos!$G$3:$G$27,4),"",INDEX(Planos!$B$3:$B$27,4)))</f>
        <v>ET-001</v>
      </c>
      <c r="D80" s="40" t="str">
        <f aca="false">IF($C80="","",IFERROR(INDEX(Ativos!$B$3:$B$42,MATCH($C80,Ativos!$A$3:$A$42,0)),""))</f>
        <v>Esteira transportadora 12 m</v>
      </c>
      <c r="E80" s="40" t="str">
        <f aca="false">IF($C80="","",INDEX(Planos!$C$3:$C$27,4))</f>
        <v>Preventiva bimestral — roletes e correia</v>
      </c>
      <c r="F80" s="40" t="str">
        <f aca="false">IF($C80="","",INDEX(Planos!$D$3:$D$27,4))</f>
        <v>Manutenção preventiva</v>
      </c>
      <c r="G80" s="41" t="n">
        <f aca="false">IF($C80="",0,INDEX(Planos!$F$3:$F$27,4)+(6-1)*INDEX(Planos!$E$3:$E$27,4))</f>
        <v>46371</v>
      </c>
      <c r="H80" s="40" t="str">
        <f aca="false">IF($C80="","",INDEX(Planos!$H$3:$H$27,4))</f>
        <v>Rafael Lima</v>
      </c>
      <c r="I80" s="41" t="str">
        <f aca="false">IF($C80="","",IF(INDEX(Planos!$J$3:$AG$27,$A80,$B80)=0,"",INDEX(Planos!$J$3:$AG$27,$A80,$B80)))</f>
        <v/>
      </c>
      <c r="J80" s="26" t="str">
        <f aca="false">IF($C80="","",IF($I80&lt;&gt;"","Realizada",IF($G80&lt;INT(Parâmetros!$C$4),"Atrasada","Agendada")))</f>
        <v>Agendada</v>
      </c>
      <c r="K80" s="42" t="str">
        <f aca="false">IF($C80="","",IF($I80&lt;&gt;"",$I80-$G80,IF($J80="Atrasada",INT(Parâmetros!$C$4)-$G80,"")))</f>
        <v/>
      </c>
      <c r="L80" s="26" t="str">
        <f aca="false">IF($J80&lt;&gt;"Realizada","",IF($K80&lt;=0,"No prazo",IF($K80&lt;=7,"Até 7 dias",IF($K80&lt;=30,"Até 30 dias","Acima de 30"))))</f>
        <v/>
      </c>
      <c r="M80" s="26" t="n">
        <f aca="false">IF($C80="","",COUNTIFS($G$3:$G80,$G80))</f>
        <v>1</v>
      </c>
      <c r="N80" s="26" t="str">
        <f aca="false">IF($C80="","",$G80&amp;"|"&amp;$M80)</f>
        <v>46371|1</v>
      </c>
    </row>
    <row r="81" customFormat="false" ht="18" hidden="false" customHeight="true" outlineLevel="0" collapsed="false">
      <c r="A81" s="26" t="n">
        <v>4</v>
      </c>
      <c r="B81" s="26" t="n">
        <v>7</v>
      </c>
      <c r="C81" s="26" t="str">
        <f aca="false">IF(INDEX(Planos!$B$3:$B$27,4)="","",IF(7&gt;INDEX(Planos!$G$3:$G$27,4),"",INDEX(Planos!$B$3:$B$27,4)))</f>
        <v>ET-001</v>
      </c>
      <c r="D81" s="40" t="str">
        <f aca="false">IF($C81="","",IFERROR(INDEX(Ativos!$B$3:$B$42,MATCH($C81,Ativos!$A$3:$A$42,0)),""))</f>
        <v>Esteira transportadora 12 m</v>
      </c>
      <c r="E81" s="40" t="str">
        <f aca="false">IF($C81="","",INDEX(Planos!$C$3:$C$27,4))</f>
        <v>Preventiva bimestral — roletes e correia</v>
      </c>
      <c r="F81" s="40" t="str">
        <f aca="false">IF($C81="","",INDEX(Planos!$D$3:$D$27,4))</f>
        <v>Manutenção preventiva</v>
      </c>
      <c r="G81" s="41" t="n">
        <f aca="false">IF($C81="",0,INDEX(Planos!$F$3:$F$27,4)+(7-1)*INDEX(Planos!$E$3:$E$27,4))</f>
        <v>46431</v>
      </c>
      <c r="H81" s="40" t="str">
        <f aca="false">IF($C81="","",INDEX(Planos!$H$3:$H$27,4))</f>
        <v>Rafael Lima</v>
      </c>
      <c r="I81" s="41" t="str">
        <f aca="false">IF($C81="","",IF(INDEX(Planos!$J$3:$AG$27,$A81,$B81)=0,"",INDEX(Planos!$J$3:$AG$27,$A81,$B81)))</f>
        <v/>
      </c>
      <c r="J81" s="26" t="str">
        <f aca="false">IF($C81="","",IF($I81&lt;&gt;"","Realizada",IF($G81&lt;INT(Parâmetros!$C$4),"Atrasada","Agendada")))</f>
        <v>Agendada</v>
      </c>
      <c r="K81" s="42" t="str">
        <f aca="false">IF($C81="","",IF($I81&lt;&gt;"",$I81-$G81,IF($J81="Atrasada",INT(Parâmetros!$C$4)-$G81,"")))</f>
        <v/>
      </c>
      <c r="L81" s="26" t="str">
        <f aca="false">IF($J81&lt;&gt;"Realizada","",IF($K81&lt;=0,"No prazo",IF($K81&lt;=7,"Até 7 dias",IF($K81&lt;=30,"Até 30 dias","Acima de 30"))))</f>
        <v/>
      </c>
      <c r="M81" s="26" t="n">
        <f aca="false">IF($C81="","",COUNTIFS($G$3:$G81,$G81))</f>
        <v>1</v>
      </c>
      <c r="N81" s="26" t="str">
        <f aca="false">IF($C81="","",$G81&amp;"|"&amp;$M81)</f>
        <v>46431|1</v>
      </c>
    </row>
    <row r="82" customFormat="false" ht="18" hidden="false" customHeight="true" outlineLevel="0" collapsed="false">
      <c r="A82" s="26" t="n">
        <v>4</v>
      </c>
      <c r="B82" s="26" t="n">
        <v>8</v>
      </c>
      <c r="C82" s="26" t="str">
        <f aca="false">IF(INDEX(Planos!$B$3:$B$27,4)="","",IF(8&gt;INDEX(Planos!$G$3:$G$27,4),"",INDEX(Planos!$B$3:$B$27,4)))</f>
        <v>ET-001</v>
      </c>
      <c r="D82" s="40" t="str">
        <f aca="false">IF($C82="","",IFERROR(INDEX(Ativos!$B$3:$B$42,MATCH($C82,Ativos!$A$3:$A$42,0)),""))</f>
        <v>Esteira transportadora 12 m</v>
      </c>
      <c r="E82" s="40" t="str">
        <f aca="false">IF($C82="","",INDEX(Planos!$C$3:$C$27,4))</f>
        <v>Preventiva bimestral — roletes e correia</v>
      </c>
      <c r="F82" s="40" t="str">
        <f aca="false">IF($C82="","",INDEX(Planos!$D$3:$D$27,4))</f>
        <v>Manutenção preventiva</v>
      </c>
      <c r="G82" s="41" t="n">
        <f aca="false">IF($C82="",0,INDEX(Planos!$F$3:$F$27,4)+(8-1)*INDEX(Planos!$E$3:$E$27,4))</f>
        <v>46491</v>
      </c>
      <c r="H82" s="40" t="str">
        <f aca="false">IF($C82="","",INDEX(Planos!$H$3:$H$27,4))</f>
        <v>Rafael Lima</v>
      </c>
      <c r="I82" s="41" t="str">
        <f aca="false">IF($C82="","",IF(INDEX(Planos!$J$3:$AG$27,$A82,$B82)=0,"",INDEX(Planos!$J$3:$AG$27,$A82,$B82)))</f>
        <v/>
      </c>
      <c r="J82" s="26" t="str">
        <f aca="false">IF($C82="","",IF($I82&lt;&gt;"","Realizada",IF($G82&lt;INT(Parâmetros!$C$4),"Atrasada","Agendada")))</f>
        <v>Agendada</v>
      </c>
      <c r="K82" s="42" t="str">
        <f aca="false">IF($C82="","",IF($I82&lt;&gt;"",$I82-$G82,IF($J82="Atrasada",INT(Parâmetros!$C$4)-$G82,"")))</f>
        <v/>
      </c>
      <c r="L82" s="26" t="str">
        <f aca="false">IF($J82&lt;&gt;"Realizada","",IF($K82&lt;=0,"No prazo",IF($K82&lt;=7,"Até 7 dias",IF($K82&lt;=30,"Até 30 dias","Acima de 30"))))</f>
        <v/>
      </c>
      <c r="M82" s="26" t="n">
        <f aca="false">IF($C82="","",COUNTIFS($G$3:$G82,$G82))</f>
        <v>1</v>
      </c>
      <c r="N82" s="26" t="str">
        <f aca="false">IF($C82="","",$G82&amp;"|"&amp;$M82)</f>
        <v>46491|1</v>
      </c>
    </row>
    <row r="83" customFormat="false" ht="18" hidden="false" customHeight="true" outlineLevel="0" collapsed="false">
      <c r="A83" s="26" t="n">
        <v>4</v>
      </c>
      <c r="B83" s="26" t="n">
        <v>9</v>
      </c>
      <c r="C83" s="26" t="str">
        <f aca="false">IF(INDEX(Planos!$B$3:$B$27,4)="","",IF(9&gt;INDEX(Planos!$G$3:$G$27,4),"",INDEX(Planos!$B$3:$B$27,4)))</f>
        <v>ET-001</v>
      </c>
      <c r="D83" s="40" t="str">
        <f aca="false">IF($C83="","",IFERROR(INDEX(Ativos!$B$3:$B$42,MATCH($C83,Ativos!$A$3:$A$42,0)),""))</f>
        <v>Esteira transportadora 12 m</v>
      </c>
      <c r="E83" s="40" t="str">
        <f aca="false">IF($C83="","",INDEX(Planos!$C$3:$C$27,4))</f>
        <v>Preventiva bimestral — roletes e correia</v>
      </c>
      <c r="F83" s="40" t="str">
        <f aca="false">IF($C83="","",INDEX(Planos!$D$3:$D$27,4))</f>
        <v>Manutenção preventiva</v>
      </c>
      <c r="G83" s="41" t="n">
        <f aca="false">IF($C83="",0,INDEX(Planos!$F$3:$F$27,4)+(9-1)*INDEX(Planos!$E$3:$E$27,4))</f>
        <v>46551</v>
      </c>
      <c r="H83" s="40" t="str">
        <f aca="false">IF($C83="","",INDEX(Planos!$H$3:$H$27,4))</f>
        <v>Rafael Lima</v>
      </c>
      <c r="I83" s="41" t="str">
        <f aca="false">IF($C83="","",IF(INDEX(Planos!$J$3:$AG$27,$A83,$B83)=0,"",INDEX(Planos!$J$3:$AG$27,$A83,$B83)))</f>
        <v/>
      </c>
      <c r="J83" s="26" t="str">
        <f aca="false">IF($C83="","",IF($I83&lt;&gt;"","Realizada",IF($G83&lt;INT(Parâmetros!$C$4),"Atrasada","Agendada")))</f>
        <v>Agendada</v>
      </c>
      <c r="K83" s="42" t="str">
        <f aca="false">IF($C83="","",IF($I83&lt;&gt;"",$I83-$G83,IF($J83="Atrasada",INT(Parâmetros!$C$4)-$G83,"")))</f>
        <v/>
      </c>
      <c r="L83" s="26" t="str">
        <f aca="false">IF($J83&lt;&gt;"Realizada","",IF($K83&lt;=0,"No prazo",IF($K83&lt;=7,"Até 7 dias",IF($K83&lt;=30,"Até 30 dias","Acima de 30"))))</f>
        <v/>
      </c>
      <c r="M83" s="26" t="n">
        <f aca="false">IF($C83="","",COUNTIFS($G$3:$G83,$G83))</f>
        <v>1</v>
      </c>
      <c r="N83" s="26" t="str">
        <f aca="false">IF($C83="","",$G83&amp;"|"&amp;$M83)</f>
        <v>46551|1</v>
      </c>
    </row>
    <row r="84" customFormat="false" ht="18" hidden="false" customHeight="true" outlineLevel="0" collapsed="false">
      <c r="A84" s="26" t="n">
        <v>4</v>
      </c>
      <c r="B84" s="26" t="n">
        <v>10</v>
      </c>
      <c r="C84" s="26" t="str">
        <f aca="false">IF(INDEX(Planos!$B$3:$B$27,4)="","",IF(10&gt;INDEX(Planos!$G$3:$G$27,4),"",INDEX(Planos!$B$3:$B$27,4)))</f>
        <v>ET-001</v>
      </c>
      <c r="D84" s="40" t="str">
        <f aca="false">IF($C84="","",IFERROR(INDEX(Ativos!$B$3:$B$42,MATCH($C84,Ativos!$A$3:$A$42,0)),""))</f>
        <v>Esteira transportadora 12 m</v>
      </c>
      <c r="E84" s="40" t="str">
        <f aca="false">IF($C84="","",INDEX(Planos!$C$3:$C$27,4))</f>
        <v>Preventiva bimestral — roletes e correia</v>
      </c>
      <c r="F84" s="40" t="str">
        <f aca="false">IF($C84="","",INDEX(Planos!$D$3:$D$27,4))</f>
        <v>Manutenção preventiva</v>
      </c>
      <c r="G84" s="41" t="n">
        <f aca="false">IF($C84="",0,INDEX(Planos!$F$3:$F$27,4)+(10-1)*INDEX(Planos!$E$3:$E$27,4))</f>
        <v>46611</v>
      </c>
      <c r="H84" s="40" t="str">
        <f aca="false">IF($C84="","",INDEX(Planos!$H$3:$H$27,4))</f>
        <v>Rafael Lima</v>
      </c>
      <c r="I84" s="41" t="str">
        <f aca="false">IF($C84="","",IF(INDEX(Planos!$J$3:$AG$27,$A84,$B84)=0,"",INDEX(Planos!$J$3:$AG$27,$A84,$B84)))</f>
        <v/>
      </c>
      <c r="J84" s="26" t="str">
        <f aca="false">IF($C84="","",IF($I84&lt;&gt;"","Realizada",IF($G84&lt;INT(Parâmetros!$C$4),"Atrasada","Agendada")))</f>
        <v>Agendada</v>
      </c>
      <c r="K84" s="42" t="str">
        <f aca="false">IF($C84="","",IF($I84&lt;&gt;"",$I84-$G84,IF($J84="Atrasada",INT(Parâmetros!$C$4)-$G84,"")))</f>
        <v/>
      </c>
      <c r="L84" s="26" t="str">
        <f aca="false">IF($J84&lt;&gt;"Realizada","",IF($K84&lt;=0,"No prazo",IF($K84&lt;=7,"Até 7 dias",IF($K84&lt;=30,"Até 30 dias","Acima de 30"))))</f>
        <v/>
      </c>
      <c r="M84" s="26" t="n">
        <f aca="false">IF($C84="","",COUNTIFS($G$3:$G84,$G84))</f>
        <v>1</v>
      </c>
      <c r="N84" s="26" t="str">
        <f aca="false">IF($C84="","",$G84&amp;"|"&amp;$M84)</f>
        <v>46611|1</v>
      </c>
    </row>
    <row r="85" customFormat="false" ht="18" hidden="false" customHeight="true" outlineLevel="0" collapsed="false">
      <c r="A85" s="26" t="n">
        <v>4</v>
      </c>
      <c r="B85" s="26" t="n">
        <v>11</v>
      </c>
      <c r="C85" s="26" t="str">
        <f aca="false">IF(INDEX(Planos!$B$3:$B$27,4)="","",IF(11&gt;INDEX(Planos!$G$3:$G$27,4),"",INDEX(Planos!$B$3:$B$27,4)))</f>
        <v>ET-001</v>
      </c>
      <c r="D85" s="40" t="str">
        <f aca="false">IF($C85="","",IFERROR(INDEX(Ativos!$B$3:$B$42,MATCH($C85,Ativos!$A$3:$A$42,0)),""))</f>
        <v>Esteira transportadora 12 m</v>
      </c>
      <c r="E85" s="40" t="str">
        <f aca="false">IF($C85="","",INDEX(Planos!$C$3:$C$27,4))</f>
        <v>Preventiva bimestral — roletes e correia</v>
      </c>
      <c r="F85" s="40" t="str">
        <f aca="false">IF($C85="","",INDEX(Planos!$D$3:$D$27,4))</f>
        <v>Manutenção preventiva</v>
      </c>
      <c r="G85" s="41" t="n">
        <f aca="false">IF($C85="",0,INDEX(Planos!$F$3:$F$27,4)+(11-1)*INDEX(Planos!$E$3:$E$27,4))</f>
        <v>46671</v>
      </c>
      <c r="H85" s="40" t="str">
        <f aca="false">IF($C85="","",INDEX(Planos!$H$3:$H$27,4))</f>
        <v>Rafael Lima</v>
      </c>
      <c r="I85" s="41" t="str">
        <f aca="false">IF($C85="","",IF(INDEX(Planos!$J$3:$AG$27,$A85,$B85)=0,"",INDEX(Planos!$J$3:$AG$27,$A85,$B85)))</f>
        <v/>
      </c>
      <c r="J85" s="26" t="str">
        <f aca="false">IF($C85="","",IF($I85&lt;&gt;"","Realizada",IF($G85&lt;INT(Parâmetros!$C$4),"Atrasada","Agendada")))</f>
        <v>Agendada</v>
      </c>
      <c r="K85" s="42" t="str">
        <f aca="false">IF($C85="","",IF($I85&lt;&gt;"",$I85-$G85,IF($J85="Atrasada",INT(Parâmetros!$C$4)-$G85,"")))</f>
        <v/>
      </c>
      <c r="L85" s="26" t="str">
        <f aca="false">IF($J85&lt;&gt;"Realizada","",IF($K85&lt;=0,"No prazo",IF($K85&lt;=7,"Até 7 dias",IF($K85&lt;=30,"Até 30 dias","Acima de 30"))))</f>
        <v/>
      </c>
      <c r="M85" s="26" t="n">
        <f aca="false">IF($C85="","",COUNTIFS($G$3:$G85,$G85))</f>
        <v>1</v>
      </c>
      <c r="N85" s="26" t="str">
        <f aca="false">IF($C85="","",$G85&amp;"|"&amp;$M85)</f>
        <v>46671|1</v>
      </c>
    </row>
    <row r="86" customFormat="false" ht="18" hidden="false" customHeight="true" outlineLevel="0" collapsed="false">
      <c r="A86" s="26" t="n">
        <v>4</v>
      </c>
      <c r="B86" s="26" t="n">
        <v>12</v>
      </c>
      <c r="C86" s="26" t="str">
        <f aca="false">IF(INDEX(Planos!$B$3:$B$27,4)="","",IF(12&gt;INDEX(Planos!$G$3:$G$27,4),"",INDEX(Planos!$B$3:$B$27,4)))</f>
        <v>ET-001</v>
      </c>
      <c r="D86" s="40" t="str">
        <f aca="false">IF($C86="","",IFERROR(INDEX(Ativos!$B$3:$B$42,MATCH($C86,Ativos!$A$3:$A$42,0)),""))</f>
        <v>Esteira transportadora 12 m</v>
      </c>
      <c r="E86" s="40" t="str">
        <f aca="false">IF($C86="","",INDEX(Planos!$C$3:$C$27,4))</f>
        <v>Preventiva bimestral — roletes e correia</v>
      </c>
      <c r="F86" s="40" t="str">
        <f aca="false">IF($C86="","",INDEX(Planos!$D$3:$D$27,4))</f>
        <v>Manutenção preventiva</v>
      </c>
      <c r="G86" s="41" t="n">
        <f aca="false">IF($C86="",0,INDEX(Planos!$F$3:$F$27,4)+(12-1)*INDEX(Planos!$E$3:$E$27,4))</f>
        <v>46731</v>
      </c>
      <c r="H86" s="40" t="str">
        <f aca="false">IF($C86="","",INDEX(Planos!$H$3:$H$27,4))</f>
        <v>Rafael Lima</v>
      </c>
      <c r="I86" s="41" t="str">
        <f aca="false">IF($C86="","",IF(INDEX(Planos!$J$3:$AG$27,$A86,$B86)=0,"",INDEX(Planos!$J$3:$AG$27,$A86,$B86)))</f>
        <v/>
      </c>
      <c r="J86" s="26" t="str">
        <f aca="false">IF($C86="","",IF($I86&lt;&gt;"","Realizada",IF($G86&lt;INT(Parâmetros!$C$4),"Atrasada","Agendada")))</f>
        <v>Agendada</v>
      </c>
      <c r="K86" s="42" t="str">
        <f aca="false">IF($C86="","",IF($I86&lt;&gt;"",$I86-$G86,IF($J86="Atrasada",INT(Parâmetros!$C$4)-$G86,"")))</f>
        <v/>
      </c>
      <c r="L86" s="26" t="str">
        <f aca="false">IF($J86&lt;&gt;"Realizada","",IF($K86&lt;=0,"No prazo",IF($K86&lt;=7,"Até 7 dias",IF($K86&lt;=30,"Até 30 dias","Acima de 30"))))</f>
        <v/>
      </c>
      <c r="M86" s="26" t="n">
        <f aca="false">IF($C86="","",COUNTIFS($G$3:$G86,$G86))</f>
        <v>1</v>
      </c>
      <c r="N86" s="26" t="str">
        <f aca="false">IF($C86="","",$G86&amp;"|"&amp;$M86)</f>
        <v>46731|1</v>
      </c>
    </row>
    <row r="87" customFormat="false" ht="18" hidden="false" customHeight="true" outlineLevel="0" collapsed="false">
      <c r="A87" s="26" t="n">
        <v>4</v>
      </c>
      <c r="B87" s="26" t="n">
        <v>13</v>
      </c>
      <c r="C87" s="26" t="str">
        <f aca="false">IF(INDEX(Planos!$B$3:$B$27,4)="","",IF(13&gt;INDEX(Planos!$G$3:$G$27,4),"",INDEX(Planos!$B$3:$B$27,4)))</f>
        <v>ET-001</v>
      </c>
      <c r="D87" s="40" t="str">
        <f aca="false">IF($C87="","",IFERROR(INDEX(Ativos!$B$3:$B$42,MATCH($C87,Ativos!$A$3:$A$42,0)),""))</f>
        <v>Esteira transportadora 12 m</v>
      </c>
      <c r="E87" s="40" t="str">
        <f aca="false">IF($C87="","",INDEX(Planos!$C$3:$C$27,4))</f>
        <v>Preventiva bimestral — roletes e correia</v>
      </c>
      <c r="F87" s="40" t="str">
        <f aca="false">IF($C87="","",INDEX(Planos!$D$3:$D$27,4))</f>
        <v>Manutenção preventiva</v>
      </c>
      <c r="G87" s="41" t="n">
        <f aca="false">IF($C87="",0,INDEX(Planos!$F$3:$F$27,4)+(13-1)*INDEX(Planos!$E$3:$E$27,4))</f>
        <v>46791</v>
      </c>
      <c r="H87" s="40" t="str">
        <f aca="false">IF($C87="","",INDEX(Planos!$H$3:$H$27,4))</f>
        <v>Rafael Lima</v>
      </c>
      <c r="I87" s="41" t="str">
        <f aca="false">IF($C87="","",IF(INDEX(Planos!$J$3:$AG$27,$A87,$B87)=0,"",INDEX(Planos!$J$3:$AG$27,$A87,$B87)))</f>
        <v/>
      </c>
      <c r="J87" s="26" t="str">
        <f aca="false">IF($C87="","",IF($I87&lt;&gt;"","Realizada",IF($G87&lt;INT(Parâmetros!$C$4),"Atrasada","Agendada")))</f>
        <v>Agendada</v>
      </c>
      <c r="K87" s="42" t="str">
        <f aca="false">IF($C87="","",IF($I87&lt;&gt;"",$I87-$G87,IF($J87="Atrasada",INT(Parâmetros!$C$4)-$G87,"")))</f>
        <v/>
      </c>
      <c r="L87" s="26" t="str">
        <f aca="false">IF($J87&lt;&gt;"Realizada","",IF($K87&lt;=0,"No prazo",IF($K87&lt;=7,"Até 7 dias",IF($K87&lt;=30,"Até 30 dias","Acima de 30"))))</f>
        <v/>
      </c>
      <c r="M87" s="26" t="n">
        <f aca="false">IF($C87="","",COUNTIFS($G$3:$G87,$G87))</f>
        <v>1</v>
      </c>
      <c r="N87" s="26" t="str">
        <f aca="false">IF($C87="","",$G87&amp;"|"&amp;$M87)</f>
        <v>46791|1</v>
      </c>
    </row>
    <row r="88" customFormat="false" ht="18" hidden="false" customHeight="true" outlineLevel="0" collapsed="false">
      <c r="A88" s="26" t="n">
        <v>4</v>
      </c>
      <c r="B88" s="26" t="n">
        <v>14</v>
      </c>
      <c r="C88" s="26" t="str">
        <f aca="false">IF(INDEX(Planos!$B$3:$B$27,4)="","",IF(14&gt;INDEX(Planos!$G$3:$G$27,4),"",INDEX(Planos!$B$3:$B$27,4)))</f>
        <v>ET-001</v>
      </c>
      <c r="D88" s="40" t="str">
        <f aca="false">IF($C88="","",IFERROR(INDEX(Ativos!$B$3:$B$42,MATCH($C88,Ativos!$A$3:$A$42,0)),""))</f>
        <v>Esteira transportadora 12 m</v>
      </c>
      <c r="E88" s="40" t="str">
        <f aca="false">IF($C88="","",INDEX(Planos!$C$3:$C$27,4))</f>
        <v>Preventiva bimestral — roletes e correia</v>
      </c>
      <c r="F88" s="40" t="str">
        <f aca="false">IF($C88="","",INDEX(Planos!$D$3:$D$27,4))</f>
        <v>Manutenção preventiva</v>
      </c>
      <c r="G88" s="41" t="n">
        <f aca="false">IF($C88="",0,INDEX(Planos!$F$3:$F$27,4)+(14-1)*INDEX(Planos!$E$3:$E$27,4))</f>
        <v>46851</v>
      </c>
      <c r="H88" s="40" t="str">
        <f aca="false">IF($C88="","",INDEX(Planos!$H$3:$H$27,4))</f>
        <v>Rafael Lima</v>
      </c>
      <c r="I88" s="41" t="str">
        <f aca="false">IF($C88="","",IF(INDEX(Planos!$J$3:$AG$27,$A88,$B88)=0,"",INDEX(Planos!$J$3:$AG$27,$A88,$B88)))</f>
        <v/>
      </c>
      <c r="J88" s="26" t="str">
        <f aca="false">IF($C88="","",IF($I88&lt;&gt;"","Realizada",IF($G88&lt;INT(Parâmetros!$C$4),"Atrasada","Agendada")))</f>
        <v>Agendada</v>
      </c>
      <c r="K88" s="42" t="str">
        <f aca="false">IF($C88="","",IF($I88&lt;&gt;"",$I88-$G88,IF($J88="Atrasada",INT(Parâmetros!$C$4)-$G88,"")))</f>
        <v/>
      </c>
      <c r="L88" s="26" t="str">
        <f aca="false">IF($J88&lt;&gt;"Realizada","",IF($K88&lt;=0,"No prazo",IF($K88&lt;=7,"Até 7 dias",IF($K88&lt;=30,"Até 30 dias","Acima de 30"))))</f>
        <v/>
      </c>
      <c r="M88" s="26" t="n">
        <f aca="false">IF($C88="","",COUNTIFS($G$3:$G88,$G88))</f>
        <v>1</v>
      </c>
      <c r="N88" s="26" t="str">
        <f aca="false">IF($C88="","",$G88&amp;"|"&amp;$M88)</f>
        <v>46851|1</v>
      </c>
    </row>
    <row r="89" customFormat="false" ht="18" hidden="false" customHeight="true" outlineLevel="0" collapsed="false">
      <c r="A89" s="26" t="n">
        <v>4</v>
      </c>
      <c r="B89" s="26" t="n">
        <v>15</v>
      </c>
      <c r="C89" s="26" t="str">
        <f aca="false">IF(INDEX(Planos!$B$3:$B$27,4)="","",IF(15&gt;INDEX(Planos!$G$3:$G$27,4),"",INDEX(Planos!$B$3:$B$27,4)))</f>
        <v>ET-001</v>
      </c>
      <c r="D89" s="40" t="str">
        <f aca="false">IF($C89="","",IFERROR(INDEX(Ativos!$B$3:$B$42,MATCH($C89,Ativos!$A$3:$A$42,0)),""))</f>
        <v>Esteira transportadora 12 m</v>
      </c>
      <c r="E89" s="40" t="str">
        <f aca="false">IF($C89="","",INDEX(Planos!$C$3:$C$27,4))</f>
        <v>Preventiva bimestral — roletes e correia</v>
      </c>
      <c r="F89" s="40" t="str">
        <f aca="false">IF($C89="","",INDEX(Planos!$D$3:$D$27,4))</f>
        <v>Manutenção preventiva</v>
      </c>
      <c r="G89" s="41" t="n">
        <f aca="false">IF($C89="",0,INDEX(Planos!$F$3:$F$27,4)+(15-1)*INDEX(Planos!$E$3:$E$27,4))</f>
        <v>46911</v>
      </c>
      <c r="H89" s="40" t="str">
        <f aca="false">IF($C89="","",INDEX(Planos!$H$3:$H$27,4))</f>
        <v>Rafael Lima</v>
      </c>
      <c r="I89" s="41" t="str">
        <f aca="false">IF($C89="","",IF(INDEX(Planos!$J$3:$AG$27,$A89,$B89)=0,"",INDEX(Planos!$J$3:$AG$27,$A89,$B89)))</f>
        <v/>
      </c>
      <c r="J89" s="26" t="str">
        <f aca="false">IF($C89="","",IF($I89&lt;&gt;"","Realizada",IF($G89&lt;INT(Parâmetros!$C$4),"Atrasada","Agendada")))</f>
        <v>Agendada</v>
      </c>
      <c r="K89" s="42" t="str">
        <f aca="false">IF($C89="","",IF($I89&lt;&gt;"",$I89-$G89,IF($J89="Atrasada",INT(Parâmetros!$C$4)-$G89,"")))</f>
        <v/>
      </c>
      <c r="L89" s="26" t="str">
        <f aca="false">IF($J89&lt;&gt;"Realizada","",IF($K89&lt;=0,"No prazo",IF($K89&lt;=7,"Até 7 dias",IF($K89&lt;=30,"Até 30 dias","Acima de 30"))))</f>
        <v/>
      </c>
      <c r="M89" s="26" t="n">
        <f aca="false">IF($C89="","",COUNTIFS($G$3:$G89,$G89))</f>
        <v>1</v>
      </c>
      <c r="N89" s="26" t="str">
        <f aca="false">IF($C89="","",$G89&amp;"|"&amp;$M89)</f>
        <v>46911|1</v>
      </c>
    </row>
    <row r="90" customFormat="false" ht="18" hidden="false" customHeight="true" outlineLevel="0" collapsed="false">
      <c r="A90" s="26" t="n">
        <v>4</v>
      </c>
      <c r="B90" s="26" t="n">
        <v>16</v>
      </c>
      <c r="C90" s="26" t="str">
        <f aca="false">IF(INDEX(Planos!$B$3:$B$27,4)="","",IF(16&gt;INDEX(Planos!$G$3:$G$27,4),"",INDEX(Planos!$B$3:$B$27,4)))</f>
        <v/>
      </c>
      <c r="D90" s="40" t="str">
        <f aca="false">IF($C90="","",IFERROR(INDEX(Ativos!$B$3:$B$42,MATCH($C90,Ativos!$A$3:$A$42,0)),""))</f>
        <v/>
      </c>
      <c r="E90" s="40" t="str">
        <f aca="false">IF($C90="","",INDEX(Planos!$C$3:$C$27,4))</f>
        <v/>
      </c>
      <c r="F90" s="40" t="str">
        <f aca="false">IF($C90="","",INDEX(Planos!$D$3:$D$27,4))</f>
        <v/>
      </c>
      <c r="G90" s="41" t="n">
        <f aca="false">IF($C90="",0,INDEX(Planos!$F$3:$F$27,4)+(16-1)*INDEX(Planos!$E$3:$E$27,4))</f>
        <v>0</v>
      </c>
      <c r="H90" s="40" t="str">
        <f aca="false">IF($C90="","",INDEX(Planos!$H$3:$H$27,4))</f>
        <v/>
      </c>
      <c r="I90" s="41" t="str">
        <f aca="false">IF($C90="","",IF(INDEX(Planos!$J$3:$AG$27,$A90,$B90)=0,"",INDEX(Planos!$J$3:$AG$27,$A90,$B90)))</f>
        <v/>
      </c>
      <c r="J90" s="26" t="str">
        <f aca="false">IF($C90="","",IF($I90&lt;&gt;"","Realizada",IF($G90&lt;INT(Parâmetros!$C$4),"Atrasada","Agendada")))</f>
        <v/>
      </c>
      <c r="K90" s="42" t="str">
        <f aca="false">IF($C90="","",IF($I90&lt;&gt;"",$I90-$G90,IF($J90="Atrasada",INT(Parâmetros!$C$4)-$G90,"")))</f>
        <v/>
      </c>
      <c r="L90" s="26" t="str">
        <f aca="false">IF($J90&lt;&gt;"Realizada","",IF($K90&lt;=0,"No prazo",IF($K90&lt;=7,"Até 7 dias",IF($K90&lt;=30,"Até 30 dias","Acima de 30"))))</f>
        <v/>
      </c>
      <c r="M90" s="26" t="str">
        <f aca="false">IF($C90="","",COUNTIFS($G$3:$G90,$G90))</f>
        <v/>
      </c>
      <c r="N90" s="26" t="str">
        <f aca="false">IF($C90="","",$G90&amp;"|"&amp;$M90)</f>
        <v/>
      </c>
    </row>
    <row r="91" customFormat="false" ht="18" hidden="false" customHeight="true" outlineLevel="0" collapsed="false">
      <c r="A91" s="26" t="n">
        <v>4</v>
      </c>
      <c r="B91" s="26" t="n">
        <v>17</v>
      </c>
      <c r="C91" s="26" t="str">
        <f aca="false">IF(INDEX(Planos!$B$3:$B$27,4)="","",IF(17&gt;INDEX(Planos!$G$3:$G$27,4),"",INDEX(Planos!$B$3:$B$27,4)))</f>
        <v/>
      </c>
      <c r="D91" s="40" t="str">
        <f aca="false">IF($C91="","",IFERROR(INDEX(Ativos!$B$3:$B$42,MATCH($C91,Ativos!$A$3:$A$42,0)),""))</f>
        <v/>
      </c>
      <c r="E91" s="40" t="str">
        <f aca="false">IF($C91="","",INDEX(Planos!$C$3:$C$27,4))</f>
        <v/>
      </c>
      <c r="F91" s="40" t="str">
        <f aca="false">IF($C91="","",INDEX(Planos!$D$3:$D$27,4))</f>
        <v/>
      </c>
      <c r="G91" s="41" t="n">
        <f aca="false">IF($C91="",0,INDEX(Planos!$F$3:$F$27,4)+(17-1)*INDEX(Planos!$E$3:$E$27,4))</f>
        <v>0</v>
      </c>
      <c r="H91" s="40" t="str">
        <f aca="false">IF($C91="","",INDEX(Planos!$H$3:$H$27,4))</f>
        <v/>
      </c>
      <c r="I91" s="41" t="str">
        <f aca="false">IF($C91="","",IF(INDEX(Planos!$J$3:$AG$27,$A91,$B91)=0,"",INDEX(Planos!$J$3:$AG$27,$A91,$B91)))</f>
        <v/>
      </c>
      <c r="J91" s="26" t="str">
        <f aca="false">IF($C91="","",IF($I91&lt;&gt;"","Realizada",IF($G91&lt;INT(Parâmetros!$C$4),"Atrasada","Agendada")))</f>
        <v/>
      </c>
      <c r="K91" s="42" t="str">
        <f aca="false">IF($C91="","",IF($I91&lt;&gt;"",$I91-$G91,IF($J91="Atrasada",INT(Parâmetros!$C$4)-$G91,"")))</f>
        <v/>
      </c>
      <c r="L91" s="26" t="str">
        <f aca="false">IF($J91&lt;&gt;"Realizada","",IF($K91&lt;=0,"No prazo",IF($K91&lt;=7,"Até 7 dias",IF($K91&lt;=30,"Até 30 dias","Acima de 30"))))</f>
        <v/>
      </c>
      <c r="M91" s="26" t="str">
        <f aca="false">IF($C91="","",COUNTIFS($G$3:$G91,$G91))</f>
        <v/>
      </c>
      <c r="N91" s="26" t="str">
        <f aca="false">IF($C91="","",$G91&amp;"|"&amp;$M91)</f>
        <v/>
      </c>
    </row>
    <row r="92" customFormat="false" ht="18" hidden="false" customHeight="true" outlineLevel="0" collapsed="false">
      <c r="A92" s="26" t="n">
        <v>4</v>
      </c>
      <c r="B92" s="26" t="n">
        <v>18</v>
      </c>
      <c r="C92" s="26" t="str">
        <f aca="false">IF(INDEX(Planos!$B$3:$B$27,4)="","",IF(18&gt;INDEX(Planos!$G$3:$G$27,4),"",INDEX(Planos!$B$3:$B$27,4)))</f>
        <v/>
      </c>
      <c r="D92" s="40" t="str">
        <f aca="false">IF($C92="","",IFERROR(INDEX(Ativos!$B$3:$B$42,MATCH($C92,Ativos!$A$3:$A$42,0)),""))</f>
        <v/>
      </c>
      <c r="E92" s="40" t="str">
        <f aca="false">IF($C92="","",INDEX(Planos!$C$3:$C$27,4))</f>
        <v/>
      </c>
      <c r="F92" s="40" t="str">
        <f aca="false">IF($C92="","",INDEX(Planos!$D$3:$D$27,4))</f>
        <v/>
      </c>
      <c r="G92" s="41" t="n">
        <f aca="false">IF($C92="",0,INDEX(Planos!$F$3:$F$27,4)+(18-1)*INDEX(Planos!$E$3:$E$27,4))</f>
        <v>0</v>
      </c>
      <c r="H92" s="40" t="str">
        <f aca="false">IF($C92="","",INDEX(Planos!$H$3:$H$27,4))</f>
        <v/>
      </c>
      <c r="I92" s="41" t="str">
        <f aca="false">IF($C92="","",IF(INDEX(Planos!$J$3:$AG$27,$A92,$B92)=0,"",INDEX(Planos!$J$3:$AG$27,$A92,$B92)))</f>
        <v/>
      </c>
      <c r="J92" s="26" t="str">
        <f aca="false">IF($C92="","",IF($I92&lt;&gt;"","Realizada",IF($G92&lt;INT(Parâmetros!$C$4),"Atrasada","Agendada")))</f>
        <v/>
      </c>
      <c r="K92" s="42" t="str">
        <f aca="false">IF($C92="","",IF($I92&lt;&gt;"",$I92-$G92,IF($J92="Atrasada",INT(Parâmetros!$C$4)-$G92,"")))</f>
        <v/>
      </c>
      <c r="L92" s="26" t="str">
        <f aca="false">IF($J92&lt;&gt;"Realizada","",IF($K92&lt;=0,"No prazo",IF($K92&lt;=7,"Até 7 dias",IF($K92&lt;=30,"Até 30 dias","Acima de 30"))))</f>
        <v/>
      </c>
      <c r="M92" s="26" t="str">
        <f aca="false">IF($C92="","",COUNTIFS($G$3:$G92,$G92))</f>
        <v/>
      </c>
      <c r="N92" s="26" t="str">
        <f aca="false">IF($C92="","",$G92&amp;"|"&amp;$M92)</f>
        <v/>
      </c>
    </row>
    <row r="93" customFormat="false" ht="18" hidden="false" customHeight="true" outlineLevel="0" collapsed="false">
      <c r="A93" s="26" t="n">
        <v>4</v>
      </c>
      <c r="B93" s="26" t="n">
        <v>19</v>
      </c>
      <c r="C93" s="26" t="str">
        <f aca="false">IF(INDEX(Planos!$B$3:$B$27,4)="","",IF(19&gt;INDEX(Planos!$G$3:$G$27,4),"",INDEX(Planos!$B$3:$B$27,4)))</f>
        <v/>
      </c>
      <c r="D93" s="40" t="str">
        <f aca="false">IF($C93="","",IFERROR(INDEX(Ativos!$B$3:$B$42,MATCH($C93,Ativos!$A$3:$A$42,0)),""))</f>
        <v/>
      </c>
      <c r="E93" s="40" t="str">
        <f aca="false">IF($C93="","",INDEX(Planos!$C$3:$C$27,4))</f>
        <v/>
      </c>
      <c r="F93" s="40" t="str">
        <f aca="false">IF($C93="","",INDEX(Planos!$D$3:$D$27,4))</f>
        <v/>
      </c>
      <c r="G93" s="41" t="n">
        <f aca="false">IF($C93="",0,INDEX(Planos!$F$3:$F$27,4)+(19-1)*INDEX(Planos!$E$3:$E$27,4))</f>
        <v>0</v>
      </c>
      <c r="H93" s="40" t="str">
        <f aca="false">IF($C93="","",INDEX(Planos!$H$3:$H$27,4))</f>
        <v/>
      </c>
      <c r="I93" s="41" t="str">
        <f aca="false">IF($C93="","",IF(INDEX(Planos!$J$3:$AG$27,$A93,$B93)=0,"",INDEX(Planos!$J$3:$AG$27,$A93,$B93)))</f>
        <v/>
      </c>
      <c r="J93" s="26" t="str">
        <f aca="false">IF($C93="","",IF($I93&lt;&gt;"","Realizada",IF($G93&lt;INT(Parâmetros!$C$4),"Atrasada","Agendada")))</f>
        <v/>
      </c>
      <c r="K93" s="42" t="str">
        <f aca="false">IF($C93="","",IF($I93&lt;&gt;"",$I93-$G93,IF($J93="Atrasada",INT(Parâmetros!$C$4)-$G93,"")))</f>
        <v/>
      </c>
      <c r="L93" s="26" t="str">
        <f aca="false">IF($J93&lt;&gt;"Realizada","",IF($K93&lt;=0,"No prazo",IF($K93&lt;=7,"Até 7 dias",IF($K93&lt;=30,"Até 30 dias","Acima de 30"))))</f>
        <v/>
      </c>
      <c r="M93" s="26" t="str">
        <f aca="false">IF($C93="","",COUNTIFS($G$3:$G93,$G93))</f>
        <v/>
      </c>
      <c r="N93" s="26" t="str">
        <f aca="false">IF($C93="","",$G93&amp;"|"&amp;$M93)</f>
        <v/>
      </c>
    </row>
    <row r="94" customFormat="false" ht="18" hidden="false" customHeight="true" outlineLevel="0" collapsed="false">
      <c r="A94" s="26" t="n">
        <v>4</v>
      </c>
      <c r="B94" s="26" t="n">
        <v>20</v>
      </c>
      <c r="C94" s="26" t="str">
        <f aca="false">IF(INDEX(Planos!$B$3:$B$27,4)="","",IF(20&gt;INDEX(Planos!$G$3:$G$27,4),"",INDEX(Planos!$B$3:$B$27,4)))</f>
        <v/>
      </c>
      <c r="D94" s="40" t="str">
        <f aca="false">IF($C94="","",IFERROR(INDEX(Ativos!$B$3:$B$42,MATCH($C94,Ativos!$A$3:$A$42,0)),""))</f>
        <v/>
      </c>
      <c r="E94" s="40" t="str">
        <f aca="false">IF($C94="","",INDEX(Planos!$C$3:$C$27,4))</f>
        <v/>
      </c>
      <c r="F94" s="40" t="str">
        <f aca="false">IF($C94="","",INDEX(Planos!$D$3:$D$27,4))</f>
        <v/>
      </c>
      <c r="G94" s="41" t="n">
        <f aca="false">IF($C94="",0,INDEX(Planos!$F$3:$F$27,4)+(20-1)*INDEX(Planos!$E$3:$E$27,4))</f>
        <v>0</v>
      </c>
      <c r="H94" s="40" t="str">
        <f aca="false">IF($C94="","",INDEX(Planos!$H$3:$H$27,4))</f>
        <v/>
      </c>
      <c r="I94" s="41" t="str">
        <f aca="false">IF($C94="","",IF(INDEX(Planos!$J$3:$AG$27,$A94,$B94)=0,"",INDEX(Planos!$J$3:$AG$27,$A94,$B94)))</f>
        <v/>
      </c>
      <c r="J94" s="26" t="str">
        <f aca="false">IF($C94="","",IF($I94&lt;&gt;"","Realizada",IF($G94&lt;INT(Parâmetros!$C$4),"Atrasada","Agendada")))</f>
        <v/>
      </c>
      <c r="K94" s="42" t="str">
        <f aca="false">IF($C94="","",IF($I94&lt;&gt;"",$I94-$G94,IF($J94="Atrasada",INT(Parâmetros!$C$4)-$G94,"")))</f>
        <v/>
      </c>
      <c r="L94" s="26" t="str">
        <f aca="false">IF($J94&lt;&gt;"Realizada","",IF($K94&lt;=0,"No prazo",IF($K94&lt;=7,"Até 7 dias",IF($K94&lt;=30,"Até 30 dias","Acima de 30"))))</f>
        <v/>
      </c>
      <c r="M94" s="26" t="str">
        <f aca="false">IF($C94="","",COUNTIFS($G$3:$G94,$G94))</f>
        <v/>
      </c>
      <c r="N94" s="26" t="str">
        <f aca="false">IF($C94="","",$G94&amp;"|"&amp;$M94)</f>
        <v/>
      </c>
    </row>
    <row r="95" customFormat="false" ht="18" hidden="false" customHeight="true" outlineLevel="0" collapsed="false">
      <c r="A95" s="26" t="n">
        <v>4</v>
      </c>
      <c r="B95" s="26" t="n">
        <v>21</v>
      </c>
      <c r="C95" s="26" t="str">
        <f aca="false">IF(INDEX(Planos!$B$3:$B$27,4)="","",IF(21&gt;INDEX(Planos!$G$3:$G$27,4),"",INDEX(Planos!$B$3:$B$27,4)))</f>
        <v/>
      </c>
      <c r="D95" s="40" t="str">
        <f aca="false">IF($C95="","",IFERROR(INDEX(Ativos!$B$3:$B$42,MATCH($C95,Ativos!$A$3:$A$42,0)),""))</f>
        <v/>
      </c>
      <c r="E95" s="40" t="str">
        <f aca="false">IF($C95="","",INDEX(Planos!$C$3:$C$27,4))</f>
        <v/>
      </c>
      <c r="F95" s="40" t="str">
        <f aca="false">IF($C95="","",INDEX(Planos!$D$3:$D$27,4))</f>
        <v/>
      </c>
      <c r="G95" s="41" t="n">
        <f aca="false">IF($C95="",0,INDEX(Planos!$F$3:$F$27,4)+(21-1)*INDEX(Planos!$E$3:$E$27,4))</f>
        <v>0</v>
      </c>
      <c r="H95" s="40" t="str">
        <f aca="false">IF($C95="","",INDEX(Planos!$H$3:$H$27,4))</f>
        <v/>
      </c>
      <c r="I95" s="41" t="str">
        <f aca="false">IF($C95="","",IF(INDEX(Planos!$J$3:$AG$27,$A95,$B95)=0,"",INDEX(Planos!$J$3:$AG$27,$A95,$B95)))</f>
        <v/>
      </c>
      <c r="J95" s="26" t="str">
        <f aca="false">IF($C95="","",IF($I95&lt;&gt;"","Realizada",IF($G95&lt;INT(Parâmetros!$C$4),"Atrasada","Agendada")))</f>
        <v/>
      </c>
      <c r="K95" s="42" t="str">
        <f aca="false">IF($C95="","",IF($I95&lt;&gt;"",$I95-$G95,IF($J95="Atrasada",INT(Parâmetros!$C$4)-$G95,"")))</f>
        <v/>
      </c>
      <c r="L95" s="26" t="str">
        <f aca="false">IF($J95&lt;&gt;"Realizada","",IF($K95&lt;=0,"No prazo",IF($K95&lt;=7,"Até 7 dias",IF($K95&lt;=30,"Até 30 dias","Acima de 30"))))</f>
        <v/>
      </c>
      <c r="M95" s="26" t="str">
        <f aca="false">IF($C95="","",COUNTIFS($G$3:$G95,$G95))</f>
        <v/>
      </c>
      <c r="N95" s="26" t="str">
        <f aca="false">IF($C95="","",$G95&amp;"|"&amp;$M95)</f>
        <v/>
      </c>
    </row>
    <row r="96" customFormat="false" ht="18" hidden="false" customHeight="true" outlineLevel="0" collapsed="false">
      <c r="A96" s="26" t="n">
        <v>4</v>
      </c>
      <c r="B96" s="26" t="n">
        <v>22</v>
      </c>
      <c r="C96" s="26" t="str">
        <f aca="false">IF(INDEX(Planos!$B$3:$B$27,4)="","",IF(22&gt;INDEX(Planos!$G$3:$G$27,4),"",INDEX(Planos!$B$3:$B$27,4)))</f>
        <v/>
      </c>
      <c r="D96" s="40" t="str">
        <f aca="false">IF($C96="","",IFERROR(INDEX(Ativos!$B$3:$B$42,MATCH($C96,Ativos!$A$3:$A$42,0)),""))</f>
        <v/>
      </c>
      <c r="E96" s="40" t="str">
        <f aca="false">IF($C96="","",INDEX(Planos!$C$3:$C$27,4))</f>
        <v/>
      </c>
      <c r="F96" s="40" t="str">
        <f aca="false">IF($C96="","",INDEX(Planos!$D$3:$D$27,4))</f>
        <v/>
      </c>
      <c r="G96" s="41" t="n">
        <f aca="false">IF($C96="",0,INDEX(Planos!$F$3:$F$27,4)+(22-1)*INDEX(Planos!$E$3:$E$27,4))</f>
        <v>0</v>
      </c>
      <c r="H96" s="40" t="str">
        <f aca="false">IF($C96="","",INDEX(Planos!$H$3:$H$27,4))</f>
        <v/>
      </c>
      <c r="I96" s="41" t="str">
        <f aca="false">IF($C96="","",IF(INDEX(Planos!$J$3:$AG$27,$A96,$B96)=0,"",INDEX(Planos!$J$3:$AG$27,$A96,$B96)))</f>
        <v/>
      </c>
      <c r="J96" s="26" t="str">
        <f aca="false">IF($C96="","",IF($I96&lt;&gt;"","Realizada",IF($G96&lt;INT(Parâmetros!$C$4),"Atrasada","Agendada")))</f>
        <v/>
      </c>
      <c r="K96" s="42" t="str">
        <f aca="false">IF($C96="","",IF($I96&lt;&gt;"",$I96-$G96,IF($J96="Atrasada",INT(Parâmetros!$C$4)-$G96,"")))</f>
        <v/>
      </c>
      <c r="L96" s="26" t="str">
        <f aca="false">IF($J96&lt;&gt;"Realizada","",IF($K96&lt;=0,"No prazo",IF($K96&lt;=7,"Até 7 dias",IF($K96&lt;=30,"Até 30 dias","Acima de 30"))))</f>
        <v/>
      </c>
      <c r="M96" s="26" t="str">
        <f aca="false">IF($C96="","",COUNTIFS($G$3:$G96,$G96))</f>
        <v/>
      </c>
      <c r="N96" s="26" t="str">
        <f aca="false">IF($C96="","",$G96&amp;"|"&amp;$M96)</f>
        <v/>
      </c>
    </row>
    <row r="97" customFormat="false" ht="18" hidden="false" customHeight="true" outlineLevel="0" collapsed="false">
      <c r="A97" s="26" t="n">
        <v>4</v>
      </c>
      <c r="B97" s="26" t="n">
        <v>23</v>
      </c>
      <c r="C97" s="26" t="str">
        <f aca="false">IF(INDEX(Planos!$B$3:$B$27,4)="","",IF(23&gt;INDEX(Planos!$G$3:$G$27,4),"",INDEX(Planos!$B$3:$B$27,4)))</f>
        <v/>
      </c>
      <c r="D97" s="40" t="str">
        <f aca="false">IF($C97="","",IFERROR(INDEX(Ativos!$B$3:$B$42,MATCH($C97,Ativos!$A$3:$A$42,0)),""))</f>
        <v/>
      </c>
      <c r="E97" s="40" t="str">
        <f aca="false">IF($C97="","",INDEX(Planos!$C$3:$C$27,4))</f>
        <v/>
      </c>
      <c r="F97" s="40" t="str">
        <f aca="false">IF($C97="","",INDEX(Planos!$D$3:$D$27,4))</f>
        <v/>
      </c>
      <c r="G97" s="41" t="n">
        <f aca="false">IF($C97="",0,INDEX(Planos!$F$3:$F$27,4)+(23-1)*INDEX(Planos!$E$3:$E$27,4))</f>
        <v>0</v>
      </c>
      <c r="H97" s="40" t="str">
        <f aca="false">IF($C97="","",INDEX(Planos!$H$3:$H$27,4))</f>
        <v/>
      </c>
      <c r="I97" s="41" t="str">
        <f aca="false">IF($C97="","",IF(INDEX(Planos!$J$3:$AG$27,$A97,$B97)=0,"",INDEX(Planos!$J$3:$AG$27,$A97,$B97)))</f>
        <v/>
      </c>
      <c r="J97" s="26" t="str">
        <f aca="false">IF($C97="","",IF($I97&lt;&gt;"","Realizada",IF($G97&lt;INT(Parâmetros!$C$4),"Atrasada","Agendada")))</f>
        <v/>
      </c>
      <c r="K97" s="42" t="str">
        <f aca="false">IF($C97="","",IF($I97&lt;&gt;"",$I97-$G97,IF($J97="Atrasada",INT(Parâmetros!$C$4)-$G97,"")))</f>
        <v/>
      </c>
      <c r="L97" s="26" t="str">
        <f aca="false">IF($J97&lt;&gt;"Realizada","",IF($K97&lt;=0,"No prazo",IF($K97&lt;=7,"Até 7 dias",IF($K97&lt;=30,"Até 30 dias","Acima de 30"))))</f>
        <v/>
      </c>
      <c r="M97" s="26" t="str">
        <f aca="false">IF($C97="","",COUNTIFS($G$3:$G97,$G97))</f>
        <v/>
      </c>
      <c r="N97" s="26" t="str">
        <f aca="false">IF($C97="","",$G97&amp;"|"&amp;$M97)</f>
        <v/>
      </c>
    </row>
    <row r="98" customFormat="false" ht="18" hidden="false" customHeight="true" outlineLevel="0" collapsed="false">
      <c r="A98" s="26" t="n">
        <v>4</v>
      </c>
      <c r="B98" s="26" t="n">
        <v>24</v>
      </c>
      <c r="C98" s="26" t="str">
        <f aca="false">IF(INDEX(Planos!$B$3:$B$27,4)="","",IF(24&gt;INDEX(Planos!$G$3:$G$27,4),"",INDEX(Planos!$B$3:$B$27,4)))</f>
        <v/>
      </c>
      <c r="D98" s="40" t="str">
        <f aca="false">IF($C98="","",IFERROR(INDEX(Ativos!$B$3:$B$42,MATCH($C98,Ativos!$A$3:$A$42,0)),""))</f>
        <v/>
      </c>
      <c r="E98" s="40" t="str">
        <f aca="false">IF($C98="","",INDEX(Planos!$C$3:$C$27,4))</f>
        <v/>
      </c>
      <c r="F98" s="40" t="str">
        <f aca="false">IF($C98="","",INDEX(Planos!$D$3:$D$27,4))</f>
        <v/>
      </c>
      <c r="G98" s="41" t="n">
        <f aca="false">IF($C98="",0,INDEX(Planos!$F$3:$F$27,4)+(24-1)*INDEX(Planos!$E$3:$E$27,4))</f>
        <v>0</v>
      </c>
      <c r="H98" s="40" t="str">
        <f aca="false">IF($C98="","",INDEX(Planos!$H$3:$H$27,4))</f>
        <v/>
      </c>
      <c r="I98" s="41" t="str">
        <f aca="false">IF($C98="","",IF(INDEX(Planos!$J$3:$AG$27,$A98,$B98)=0,"",INDEX(Planos!$J$3:$AG$27,$A98,$B98)))</f>
        <v/>
      </c>
      <c r="J98" s="26" t="str">
        <f aca="false">IF($C98="","",IF($I98&lt;&gt;"","Realizada",IF($G98&lt;INT(Parâmetros!$C$4),"Atrasada","Agendada")))</f>
        <v/>
      </c>
      <c r="K98" s="42" t="str">
        <f aca="false">IF($C98="","",IF($I98&lt;&gt;"",$I98-$G98,IF($J98="Atrasada",INT(Parâmetros!$C$4)-$G98,"")))</f>
        <v/>
      </c>
      <c r="L98" s="26" t="str">
        <f aca="false">IF($J98&lt;&gt;"Realizada","",IF($K98&lt;=0,"No prazo",IF($K98&lt;=7,"Até 7 dias",IF($K98&lt;=30,"Até 30 dias","Acima de 30"))))</f>
        <v/>
      </c>
      <c r="M98" s="26" t="str">
        <f aca="false">IF($C98="","",COUNTIFS($G$3:$G98,$G98))</f>
        <v/>
      </c>
      <c r="N98" s="26" t="str">
        <f aca="false">IF($C98="","",$G98&amp;"|"&amp;$M98)</f>
        <v/>
      </c>
    </row>
    <row r="99" customFormat="false" ht="18" hidden="false" customHeight="true" outlineLevel="0" collapsed="false">
      <c r="A99" s="26" t="n">
        <v>5</v>
      </c>
      <c r="B99" s="26" t="n">
        <v>1</v>
      </c>
      <c r="C99" s="26" t="str">
        <f aca="false">IF(INDEX(Planos!$B$3:$B$27,5)="","",IF(1&gt;INDEX(Planos!$G$3:$G$27,5),"",INDEX(Planos!$B$3:$B$27,5)))</f>
        <v>ET-001</v>
      </c>
      <c r="D99" s="40" t="str">
        <f aca="false">IF($C99="","",IFERROR(INDEX(Ativos!$B$3:$B$42,MATCH($C99,Ativos!$A$3:$A$42,0)),""))</f>
        <v>Esteira transportadora 12 m</v>
      </c>
      <c r="E99" s="40" t="str">
        <f aca="false">IF($C99="","",INDEX(Planos!$C$3:$C$27,5))</f>
        <v>Revisão anual das proteções de segurança</v>
      </c>
      <c r="F99" s="40" t="str">
        <f aca="false">IF($C99="","",INDEX(Planos!$D$3:$D$27,5))</f>
        <v>Manutenção preventiva</v>
      </c>
      <c r="G99" s="41" t="n">
        <f aca="false">IF($C99="",0,INDEX(Planos!$F$3:$F$27,5)+(1-1)*INDEX(Planos!$E$3:$E$27,5))</f>
        <v>46033</v>
      </c>
      <c r="H99" s="40" t="str">
        <f aca="false">IF($C99="","",INDEX(Planos!$H$3:$H$27,5))</f>
        <v>Rafael Lima</v>
      </c>
      <c r="I99" s="41" t="n">
        <f aca="false">IF($C99="","",IF(INDEX(Planos!$J$3:$AG$27,$A99,$B99)=0,"",INDEX(Planos!$J$3:$AG$27,$A99,$B99)))</f>
        <v>46033</v>
      </c>
      <c r="J99" s="26" t="str">
        <f aca="false">IF($C99="","",IF($I99&lt;&gt;"","Realizada",IF($G99&lt;INT(Parâmetros!$C$4),"Atrasada","Agendada")))</f>
        <v>Realizada</v>
      </c>
      <c r="K99" s="42" t="n">
        <f aca="false">IF($C99="","",IF($I99&lt;&gt;"",$I99-$G99,IF($J99="Atrasada",INT(Parâmetros!$C$4)-$G99,"")))</f>
        <v>0</v>
      </c>
      <c r="L99" s="26" t="str">
        <f aca="false">IF($J99&lt;&gt;"Realizada","",IF($K99&lt;=0,"No prazo",IF($K99&lt;=7,"Até 7 dias",IF($K99&lt;=30,"Até 30 dias","Acima de 30"))))</f>
        <v>No prazo</v>
      </c>
      <c r="M99" s="26" t="n">
        <f aca="false">IF($C99="","",COUNTIFS($G$3:$G99,$G99))</f>
        <v>1</v>
      </c>
      <c r="N99" s="26" t="str">
        <f aca="false">IF($C99="","",$G99&amp;"|"&amp;$M99)</f>
        <v>46033|1</v>
      </c>
    </row>
    <row r="100" customFormat="false" ht="18" hidden="false" customHeight="true" outlineLevel="0" collapsed="false">
      <c r="A100" s="26" t="n">
        <v>5</v>
      </c>
      <c r="B100" s="26" t="n">
        <v>2</v>
      </c>
      <c r="C100" s="26" t="str">
        <f aca="false">IF(INDEX(Planos!$B$3:$B$27,5)="","",IF(2&gt;INDEX(Planos!$G$3:$G$27,5),"",INDEX(Planos!$B$3:$B$27,5)))</f>
        <v>ET-001</v>
      </c>
      <c r="D100" s="40" t="str">
        <f aca="false">IF($C100="","",IFERROR(INDEX(Ativos!$B$3:$B$42,MATCH($C100,Ativos!$A$3:$A$42,0)),""))</f>
        <v>Esteira transportadora 12 m</v>
      </c>
      <c r="E100" s="40" t="str">
        <f aca="false">IF($C100="","",INDEX(Planos!$C$3:$C$27,5))</f>
        <v>Revisão anual das proteções de segurança</v>
      </c>
      <c r="F100" s="40" t="str">
        <f aca="false">IF($C100="","",INDEX(Planos!$D$3:$D$27,5))</f>
        <v>Manutenção preventiva</v>
      </c>
      <c r="G100" s="41" t="n">
        <f aca="false">IF($C100="",0,INDEX(Planos!$F$3:$F$27,5)+(2-1)*INDEX(Planos!$E$3:$E$27,5))</f>
        <v>46398</v>
      </c>
      <c r="H100" s="40" t="str">
        <f aca="false">IF($C100="","",INDEX(Planos!$H$3:$H$27,5))</f>
        <v>Rafael Lima</v>
      </c>
      <c r="I100" s="41" t="str">
        <f aca="false">IF($C100="","",IF(INDEX(Planos!$J$3:$AG$27,$A100,$B100)=0,"",INDEX(Planos!$J$3:$AG$27,$A100,$B100)))</f>
        <v/>
      </c>
      <c r="J100" s="26" t="str">
        <f aca="false">IF($C100="","",IF($I100&lt;&gt;"","Realizada",IF($G100&lt;INT(Parâmetros!$C$4),"Atrasada","Agendada")))</f>
        <v>Agendada</v>
      </c>
      <c r="K100" s="42" t="str">
        <f aca="false">IF($C100="","",IF($I100&lt;&gt;"",$I100-$G100,IF($J100="Atrasada",INT(Parâmetros!$C$4)-$G100,"")))</f>
        <v/>
      </c>
      <c r="L100" s="26" t="str">
        <f aca="false">IF($J100&lt;&gt;"Realizada","",IF($K100&lt;=0,"No prazo",IF($K100&lt;=7,"Até 7 dias",IF($K100&lt;=30,"Até 30 dias","Acima de 30"))))</f>
        <v/>
      </c>
      <c r="M100" s="26" t="n">
        <f aca="false">IF($C100="","",COUNTIFS($G$3:$G100,$G100))</f>
        <v>1</v>
      </c>
      <c r="N100" s="26" t="str">
        <f aca="false">IF($C100="","",$G100&amp;"|"&amp;$M100)</f>
        <v>46398|1</v>
      </c>
    </row>
    <row r="101" customFormat="false" ht="18" hidden="false" customHeight="true" outlineLevel="0" collapsed="false">
      <c r="A101" s="26" t="n">
        <v>5</v>
      </c>
      <c r="B101" s="26" t="n">
        <v>3</v>
      </c>
      <c r="C101" s="26" t="str">
        <f aca="false">IF(INDEX(Planos!$B$3:$B$27,5)="","",IF(3&gt;INDEX(Planos!$G$3:$G$27,5),"",INDEX(Planos!$B$3:$B$27,5)))</f>
        <v>ET-001</v>
      </c>
      <c r="D101" s="40" t="str">
        <f aca="false">IF($C101="","",IFERROR(INDEX(Ativos!$B$3:$B$42,MATCH($C101,Ativos!$A$3:$A$42,0)),""))</f>
        <v>Esteira transportadora 12 m</v>
      </c>
      <c r="E101" s="40" t="str">
        <f aca="false">IF($C101="","",INDEX(Planos!$C$3:$C$27,5))</f>
        <v>Revisão anual das proteções de segurança</v>
      </c>
      <c r="F101" s="40" t="str">
        <f aca="false">IF($C101="","",INDEX(Planos!$D$3:$D$27,5))</f>
        <v>Manutenção preventiva</v>
      </c>
      <c r="G101" s="41" t="n">
        <f aca="false">IF($C101="",0,INDEX(Planos!$F$3:$F$27,5)+(3-1)*INDEX(Planos!$E$3:$E$27,5))</f>
        <v>46763</v>
      </c>
      <c r="H101" s="40" t="str">
        <f aca="false">IF($C101="","",INDEX(Planos!$H$3:$H$27,5))</f>
        <v>Rafael Lima</v>
      </c>
      <c r="I101" s="41" t="str">
        <f aca="false">IF($C101="","",IF(INDEX(Planos!$J$3:$AG$27,$A101,$B101)=0,"",INDEX(Planos!$J$3:$AG$27,$A101,$B101)))</f>
        <v/>
      </c>
      <c r="J101" s="26" t="str">
        <f aca="false">IF($C101="","",IF($I101&lt;&gt;"","Realizada",IF($G101&lt;INT(Parâmetros!$C$4),"Atrasada","Agendada")))</f>
        <v>Agendada</v>
      </c>
      <c r="K101" s="42" t="str">
        <f aca="false">IF($C101="","",IF($I101&lt;&gt;"",$I101-$G101,IF($J101="Atrasada",INT(Parâmetros!$C$4)-$G101,"")))</f>
        <v/>
      </c>
      <c r="L101" s="26" t="str">
        <f aca="false">IF($J101&lt;&gt;"Realizada","",IF($K101&lt;=0,"No prazo",IF($K101&lt;=7,"Até 7 dias",IF($K101&lt;=30,"Até 30 dias","Acima de 30"))))</f>
        <v/>
      </c>
      <c r="M101" s="26" t="n">
        <f aca="false">IF($C101="","",COUNTIFS($G$3:$G101,$G101))</f>
        <v>1</v>
      </c>
      <c r="N101" s="26" t="str">
        <f aca="false">IF($C101="","",$G101&amp;"|"&amp;$M101)</f>
        <v>46763|1</v>
      </c>
    </row>
    <row r="102" customFormat="false" ht="18" hidden="false" customHeight="true" outlineLevel="0" collapsed="false">
      <c r="A102" s="26" t="n">
        <v>5</v>
      </c>
      <c r="B102" s="26" t="n">
        <v>4</v>
      </c>
      <c r="C102" s="26" t="str">
        <f aca="false">IF(INDEX(Planos!$B$3:$B$27,5)="","",IF(4&gt;INDEX(Planos!$G$3:$G$27,5),"",INDEX(Planos!$B$3:$B$27,5)))</f>
        <v>ET-001</v>
      </c>
      <c r="D102" s="40" t="str">
        <f aca="false">IF($C102="","",IFERROR(INDEX(Ativos!$B$3:$B$42,MATCH($C102,Ativos!$A$3:$A$42,0)),""))</f>
        <v>Esteira transportadora 12 m</v>
      </c>
      <c r="E102" s="40" t="str">
        <f aca="false">IF($C102="","",INDEX(Planos!$C$3:$C$27,5))</f>
        <v>Revisão anual das proteções de segurança</v>
      </c>
      <c r="F102" s="40" t="str">
        <f aca="false">IF($C102="","",INDEX(Planos!$D$3:$D$27,5))</f>
        <v>Manutenção preventiva</v>
      </c>
      <c r="G102" s="41" t="n">
        <f aca="false">IF($C102="",0,INDEX(Planos!$F$3:$F$27,5)+(4-1)*INDEX(Planos!$E$3:$E$27,5))</f>
        <v>47128</v>
      </c>
      <c r="H102" s="40" t="str">
        <f aca="false">IF($C102="","",INDEX(Planos!$H$3:$H$27,5))</f>
        <v>Rafael Lima</v>
      </c>
      <c r="I102" s="41" t="str">
        <f aca="false">IF($C102="","",IF(INDEX(Planos!$J$3:$AG$27,$A102,$B102)=0,"",INDEX(Planos!$J$3:$AG$27,$A102,$B102)))</f>
        <v/>
      </c>
      <c r="J102" s="26" t="str">
        <f aca="false">IF($C102="","",IF($I102&lt;&gt;"","Realizada",IF($G102&lt;INT(Parâmetros!$C$4),"Atrasada","Agendada")))</f>
        <v>Agendada</v>
      </c>
      <c r="K102" s="42" t="str">
        <f aca="false">IF($C102="","",IF($I102&lt;&gt;"",$I102-$G102,IF($J102="Atrasada",INT(Parâmetros!$C$4)-$G102,"")))</f>
        <v/>
      </c>
      <c r="L102" s="26" t="str">
        <f aca="false">IF($J102&lt;&gt;"Realizada","",IF($K102&lt;=0,"No prazo",IF($K102&lt;=7,"Até 7 dias",IF($K102&lt;=30,"Até 30 dias","Acima de 30"))))</f>
        <v/>
      </c>
      <c r="M102" s="26" t="n">
        <f aca="false">IF($C102="","",COUNTIFS($G$3:$G102,$G102))</f>
        <v>1</v>
      </c>
      <c r="N102" s="26" t="str">
        <f aca="false">IF($C102="","",$G102&amp;"|"&amp;$M102)</f>
        <v>47128|1</v>
      </c>
    </row>
    <row r="103" customFormat="false" ht="18" hidden="false" customHeight="true" outlineLevel="0" collapsed="false">
      <c r="A103" s="26" t="n">
        <v>5</v>
      </c>
      <c r="B103" s="26" t="n">
        <v>5</v>
      </c>
      <c r="C103" s="26" t="str">
        <f aca="false">IF(INDEX(Planos!$B$3:$B$27,5)="","",IF(5&gt;INDEX(Planos!$G$3:$G$27,5),"",INDEX(Planos!$B$3:$B$27,5)))</f>
        <v/>
      </c>
      <c r="D103" s="40" t="str">
        <f aca="false">IF($C103="","",IFERROR(INDEX(Ativos!$B$3:$B$42,MATCH($C103,Ativos!$A$3:$A$42,0)),""))</f>
        <v/>
      </c>
      <c r="E103" s="40" t="str">
        <f aca="false">IF($C103="","",INDEX(Planos!$C$3:$C$27,5))</f>
        <v/>
      </c>
      <c r="F103" s="40" t="str">
        <f aca="false">IF($C103="","",INDEX(Planos!$D$3:$D$27,5))</f>
        <v/>
      </c>
      <c r="G103" s="41" t="n">
        <f aca="false">IF($C103="",0,INDEX(Planos!$F$3:$F$27,5)+(5-1)*INDEX(Planos!$E$3:$E$27,5))</f>
        <v>0</v>
      </c>
      <c r="H103" s="40" t="str">
        <f aca="false">IF($C103="","",INDEX(Planos!$H$3:$H$27,5))</f>
        <v/>
      </c>
      <c r="I103" s="41" t="str">
        <f aca="false">IF($C103="","",IF(INDEX(Planos!$J$3:$AG$27,$A103,$B103)=0,"",INDEX(Planos!$J$3:$AG$27,$A103,$B103)))</f>
        <v/>
      </c>
      <c r="J103" s="26" t="str">
        <f aca="false">IF($C103="","",IF($I103&lt;&gt;"","Realizada",IF($G103&lt;INT(Parâmetros!$C$4),"Atrasada","Agendada")))</f>
        <v/>
      </c>
      <c r="K103" s="42" t="str">
        <f aca="false">IF($C103="","",IF($I103&lt;&gt;"",$I103-$G103,IF($J103="Atrasada",INT(Parâmetros!$C$4)-$G103,"")))</f>
        <v/>
      </c>
      <c r="L103" s="26" t="str">
        <f aca="false">IF($J103&lt;&gt;"Realizada","",IF($K103&lt;=0,"No prazo",IF($K103&lt;=7,"Até 7 dias",IF($K103&lt;=30,"Até 30 dias","Acima de 30"))))</f>
        <v/>
      </c>
      <c r="M103" s="26" t="str">
        <f aca="false">IF($C103="","",COUNTIFS($G$3:$G103,$G103))</f>
        <v/>
      </c>
      <c r="N103" s="26" t="str">
        <f aca="false">IF($C103="","",$G103&amp;"|"&amp;$M103)</f>
        <v/>
      </c>
    </row>
    <row r="104" customFormat="false" ht="18" hidden="false" customHeight="true" outlineLevel="0" collapsed="false">
      <c r="A104" s="26" t="n">
        <v>5</v>
      </c>
      <c r="B104" s="26" t="n">
        <v>6</v>
      </c>
      <c r="C104" s="26" t="str">
        <f aca="false">IF(INDEX(Planos!$B$3:$B$27,5)="","",IF(6&gt;INDEX(Planos!$G$3:$G$27,5),"",INDEX(Planos!$B$3:$B$27,5)))</f>
        <v/>
      </c>
      <c r="D104" s="40" t="str">
        <f aca="false">IF($C104="","",IFERROR(INDEX(Ativos!$B$3:$B$42,MATCH($C104,Ativos!$A$3:$A$42,0)),""))</f>
        <v/>
      </c>
      <c r="E104" s="40" t="str">
        <f aca="false">IF($C104="","",INDEX(Planos!$C$3:$C$27,5))</f>
        <v/>
      </c>
      <c r="F104" s="40" t="str">
        <f aca="false">IF($C104="","",INDEX(Planos!$D$3:$D$27,5))</f>
        <v/>
      </c>
      <c r="G104" s="41" t="n">
        <f aca="false">IF($C104="",0,INDEX(Planos!$F$3:$F$27,5)+(6-1)*INDEX(Planos!$E$3:$E$27,5))</f>
        <v>0</v>
      </c>
      <c r="H104" s="40" t="str">
        <f aca="false">IF($C104="","",INDEX(Planos!$H$3:$H$27,5))</f>
        <v/>
      </c>
      <c r="I104" s="41" t="str">
        <f aca="false">IF($C104="","",IF(INDEX(Planos!$J$3:$AG$27,$A104,$B104)=0,"",INDEX(Planos!$J$3:$AG$27,$A104,$B104)))</f>
        <v/>
      </c>
      <c r="J104" s="26" t="str">
        <f aca="false">IF($C104="","",IF($I104&lt;&gt;"","Realizada",IF($G104&lt;INT(Parâmetros!$C$4),"Atrasada","Agendada")))</f>
        <v/>
      </c>
      <c r="K104" s="42" t="str">
        <f aca="false">IF($C104="","",IF($I104&lt;&gt;"",$I104-$G104,IF($J104="Atrasada",INT(Parâmetros!$C$4)-$G104,"")))</f>
        <v/>
      </c>
      <c r="L104" s="26" t="str">
        <f aca="false">IF($J104&lt;&gt;"Realizada","",IF($K104&lt;=0,"No prazo",IF($K104&lt;=7,"Até 7 dias",IF($K104&lt;=30,"Até 30 dias","Acima de 30"))))</f>
        <v/>
      </c>
      <c r="M104" s="26" t="str">
        <f aca="false">IF($C104="","",COUNTIFS($G$3:$G104,$G104))</f>
        <v/>
      </c>
      <c r="N104" s="26" t="str">
        <f aca="false">IF($C104="","",$G104&amp;"|"&amp;$M104)</f>
        <v/>
      </c>
    </row>
    <row r="105" customFormat="false" ht="18" hidden="false" customHeight="true" outlineLevel="0" collapsed="false">
      <c r="A105" s="26" t="n">
        <v>5</v>
      </c>
      <c r="B105" s="26" t="n">
        <v>7</v>
      </c>
      <c r="C105" s="26" t="str">
        <f aca="false">IF(INDEX(Planos!$B$3:$B$27,5)="","",IF(7&gt;INDEX(Planos!$G$3:$G$27,5),"",INDEX(Planos!$B$3:$B$27,5)))</f>
        <v/>
      </c>
      <c r="D105" s="40" t="str">
        <f aca="false">IF($C105="","",IFERROR(INDEX(Ativos!$B$3:$B$42,MATCH($C105,Ativos!$A$3:$A$42,0)),""))</f>
        <v/>
      </c>
      <c r="E105" s="40" t="str">
        <f aca="false">IF($C105="","",INDEX(Planos!$C$3:$C$27,5))</f>
        <v/>
      </c>
      <c r="F105" s="40" t="str">
        <f aca="false">IF($C105="","",INDEX(Planos!$D$3:$D$27,5))</f>
        <v/>
      </c>
      <c r="G105" s="41" t="n">
        <f aca="false">IF($C105="",0,INDEX(Planos!$F$3:$F$27,5)+(7-1)*INDEX(Planos!$E$3:$E$27,5))</f>
        <v>0</v>
      </c>
      <c r="H105" s="40" t="str">
        <f aca="false">IF($C105="","",INDEX(Planos!$H$3:$H$27,5))</f>
        <v/>
      </c>
      <c r="I105" s="41" t="str">
        <f aca="false">IF($C105="","",IF(INDEX(Planos!$J$3:$AG$27,$A105,$B105)=0,"",INDEX(Planos!$J$3:$AG$27,$A105,$B105)))</f>
        <v/>
      </c>
      <c r="J105" s="26" t="str">
        <f aca="false">IF($C105="","",IF($I105&lt;&gt;"","Realizada",IF($G105&lt;INT(Parâmetros!$C$4),"Atrasada","Agendada")))</f>
        <v/>
      </c>
      <c r="K105" s="42" t="str">
        <f aca="false">IF($C105="","",IF($I105&lt;&gt;"",$I105-$G105,IF($J105="Atrasada",INT(Parâmetros!$C$4)-$G105,"")))</f>
        <v/>
      </c>
      <c r="L105" s="26" t="str">
        <f aca="false">IF($J105&lt;&gt;"Realizada","",IF($K105&lt;=0,"No prazo",IF($K105&lt;=7,"Até 7 dias",IF($K105&lt;=30,"Até 30 dias","Acima de 30"))))</f>
        <v/>
      </c>
      <c r="M105" s="26" t="str">
        <f aca="false">IF($C105="","",COUNTIFS($G$3:$G105,$G105))</f>
        <v/>
      </c>
      <c r="N105" s="26" t="str">
        <f aca="false">IF($C105="","",$G105&amp;"|"&amp;$M105)</f>
        <v/>
      </c>
    </row>
    <row r="106" customFormat="false" ht="18" hidden="false" customHeight="true" outlineLevel="0" collapsed="false">
      <c r="A106" s="26" t="n">
        <v>5</v>
      </c>
      <c r="B106" s="26" t="n">
        <v>8</v>
      </c>
      <c r="C106" s="26" t="str">
        <f aca="false">IF(INDEX(Planos!$B$3:$B$27,5)="","",IF(8&gt;INDEX(Planos!$G$3:$G$27,5),"",INDEX(Planos!$B$3:$B$27,5)))</f>
        <v/>
      </c>
      <c r="D106" s="40" t="str">
        <f aca="false">IF($C106="","",IFERROR(INDEX(Ativos!$B$3:$B$42,MATCH($C106,Ativos!$A$3:$A$42,0)),""))</f>
        <v/>
      </c>
      <c r="E106" s="40" t="str">
        <f aca="false">IF($C106="","",INDEX(Planos!$C$3:$C$27,5))</f>
        <v/>
      </c>
      <c r="F106" s="40" t="str">
        <f aca="false">IF($C106="","",INDEX(Planos!$D$3:$D$27,5))</f>
        <v/>
      </c>
      <c r="G106" s="41" t="n">
        <f aca="false">IF($C106="",0,INDEX(Planos!$F$3:$F$27,5)+(8-1)*INDEX(Planos!$E$3:$E$27,5))</f>
        <v>0</v>
      </c>
      <c r="H106" s="40" t="str">
        <f aca="false">IF($C106="","",INDEX(Planos!$H$3:$H$27,5))</f>
        <v/>
      </c>
      <c r="I106" s="41" t="str">
        <f aca="false">IF($C106="","",IF(INDEX(Planos!$J$3:$AG$27,$A106,$B106)=0,"",INDEX(Planos!$J$3:$AG$27,$A106,$B106)))</f>
        <v/>
      </c>
      <c r="J106" s="26" t="str">
        <f aca="false">IF($C106="","",IF($I106&lt;&gt;"","Realizada",IF($G106&lt;INT(Parâmetros!$C$4),"Atrasada","Agendada")))</f>
        <v/>
      </c>
      <c r="K106" s="42" t="str">
        <f aca="false">IF($C106="","",IF($I106&lt;&gt;"",$I106-$G106,IF($J106="Atrasada",INT(Parâmetros!$C$4)-$G106,"")))</f>
        <v/>
      </c>
      <c r="L106" s="26" t="str">
        <f aca="false">IF($J106&lt;&gt;"Realizada","",IF($K106&lt;=0,"No prazo",IF($K106&lt;=7,"Até 7 dias",IF($K106&lt;=30,"Até 30 dias","Acima de 30"))))</f>
        <v/>
      </c>
      <c r="M106" s="26" t="str">
        <f aca="false">IF($C106="","",COUNTIFS($G$3:$G106,$G106))</f>
        <v/>
      </c>
      <c r="N106" s="26" t="str">
        <f aca="false">IF($C106="","",$G106&amp;"|"&amp;$M106)</f>
        <v/>
      </c>
    </row>
    <row r="107" customFormat="false" ht="18" hidden="false" customHeight="true" outlineLevel="0" collapsed="false">
      <c r="A107" s="26" t="n">
        <v>5</v>
      </c>
      <c r="B107" s="26" t="n">
        <v>9</v>
      </c>
      <c r="C107" s="26" t="str">
        <f aca="false">IF(INDEX(Planos!$B$3:$B$27,5)="","",IF(9&gt;INDEX(Planos!$G$3:$G$27,5),"",INDEX(Planos!$B$3:$B$27,5)))</f>
        <v/>
      </c>
      <c r="D107" s="40" t="str">
        <f aca="false">IF($C107="","",IFERROR(INDEX(Ativos!$B$3:$B$42,MATCH($C107,Ativos!$A$3:$A$42,0)),""))</f>
        <v/>
      </c>
      <c r="E107" s="40" t="str">
        <f aca="false">IF($C107="","",INDEX(Planos!$C$3:$C$27,5))</f>
        <v/>
      </c>
      <c r="F107" s="40" t="str">
        <f aca="false">IF($C107="","",INDEX(Planos!$D$3:$D$27,5))</f>
        <v/>
      </c>
      <c r="G107" s="41" t="n">
        <f aca="false">IF($C107="",0,INDEX(Planos!$F$3:$F$27,5)+(9-1)*INDEX(Planos!$E$3:$E$27,5))</f>
        <v>0</v>
      </c>
      <c r="H107" s="40" t="str">
        <f aca="false">IF($C107="","",INDEX(Planos!$H$3:$H$27,5))</f>
        <v/>
      </c>
      <c r="I107" s="41" t="str">
        <f aca="false">IF($C107="","",IF(INDEX(Planos!$J$3:$AG$27,$A107,$B107)=0,"",INDEX(Planos!$J$3:$AG$27,$A107,$B107)))</f>
        <v/>
      </c>
      <c r="J107" s="26" t="str">
        <f aca="false">IF($C107="","",IF($I107&lt;&gt;"","Realizada",IF($G107&lt;INT(Parâmetros!$C$4),"Atrasada","Agendada")))</f>
        <v/>
      </c>
      <c r="K107" s="42" t="str">
        <f aca="false">IF($C107="","",IF($I107&lt;&gt;"",$I107-$G107,IF($J107="Atrasada",INT(Parâmetros!$C$4)-$G107,"")))</f>
        <v/>
      </c>
      <c r="L107" s="26" t="str">
        <f aca="false">IF($J107&lt;&gt;"Realizada","",IF($K107&lt;=0,"No prazo",IF($K107&lt;=7,"Até 7 dias",IF($K107&lt;=30,"Até 30 dias","Acima de 30"))))</f>
        <v/>
      </c>
      <c r="M107" s="26" t="str">
        <f aca="false">IF($C107="","",COUNTIFS($G$3:$G107,$G107))</f>
        <v/>
      </c>
      <c r="N107" s="26" t="str">
        <f aca="false">IF($C107="","",$G107&amp;"|"&amp;$M107)</f>
        <v/>
      </c>
    </row>
    <row r="108" customFormat="false" ht="18" hidden="false" customHeight="true" outlineLevel="0" collapsed="false">
      <c r="A108" s="26" t="n">
        <v>5</v>
      </c>
      <c r="B108" s="26" t="n">
        <v>10</v>
      </c>
      <c r="C108" s="26" t="str">
        <f aca="false">IF(INDEX(Planos!$B$3:$B$27,5)="","",IF(10&gt;INDEX(Planos!$G$3:$G$27,5),"",INDEX(Planos!$B$3:$B$27,5)))</f>
        <v/>
      </c>
      <c r="D108" s="40" t="str">
        <f aca="false">IF($C108="","",IFERROR(INDEX(Ativos!$B$3:$B$42,MATCH($C108,Ativos!$A$3:$A$42,0)),""))</f>
        <v/>
      </c>
      <c r="E108" s="40" t="str">
        <f aca="false">IF($C108="","",INDEX(Planos!$C$3:$C$27,5))</f>
        <v/>
      </c>
      <c r="F108" s="40" t="str">
        <f aca="false">IF($C108="","",INDEX(Planos!$D$3:$D$27,5))</f>
        <v/>
      </c>
      <c r="G108" s="41" t="n">
        <f aca="false">IF($C108="",0,INDEX(Planos!$F$3:$F$27,5)+(10-1)*INDEX(Planos!$E$3:$E$27,5))</f>
        <v>0</v>
      </c>
      <c r="H108" s="40" t="str">
        <f aca="false">IF($C108="","",INDEX(Planos!$H$3:$H$27,5))</f>
        <v/>
      </c>
      <c r="I108" s="41" t="str">
        <f aca="false">IF($C108="","",IF(INDEX(Planos!$J$3:$AG$27,$A108,$B108)=0,"",INDEX(Planos!$J$3:$AG$27,$A108,$B108)))</f>
        <v/>
      </c>
      <c r="J108" s="26" t="str">
        <f aca="false">IF($C108="","",IF($I108&lt;&gt;"","Realizada",IF($G108&lt;INT(Parâmetros!$C$4),"Atrasada","Agendada")))</f>
        <v/>
      </c>
      <c r="K108" s="42" t="str">
        <f aca="false">IF($C108="","",IF($I108&lt;&gt;"",$I108-$G108,IF($J108="Atrasada",INT(Parâmetros!$C$4)-$G108,"")))</f>
        <v/>
      </c>
      <c r="L108" s="26" t="str">
        <f aca="false">IF($J108&lt;&gt;"Realizada","",IF($K108&lt;=0,"No prazo",IF($K108&lt;=7,"Até 7 dias",IF($K108&lt;=30,"Até 30 dias","Acima de 30"))))</f>
        <v/>
      </c>
      <c r="M108" s="26" t="str">
        <f aca="false">IF($C108="","",COUNTIFS($G$3:$G108,$G108))</f>
        <v/>
      </c>
      <c r="N108" s="26" t="str">
        <f aca="false">IF($C108="","",$G108&amp;"|"&amp;$M108)</f>
        <v/>
      </c>
    </row>
    <row r="109" customFormat="false" ht="18" hidden="false" customHeight="true" outlineLevel="0" collapsed="false">
      <c r="A109" s="26" t="n">
        <v>5</v>
      </c>
      <c r="B109" s="26" t="n">
        <v>11</v>
      </c>
      <c r="C109" s="26" t="str">
        <f aca="false">IF(INDEX(Planos!$B$3:$B$27,5)="","",IF(11&gt;INDEX(Planos!$G$3:$G$27,5),"",INDEX(Planos!$B$3:$B$27,5)))</f>
        <v/>
      </c>
      <c r="D109" s="40" t="str">
        <f aca="false">IF($C109="","",IFERROR(INDEX(Ativos!$B$3:$B$42,MATCH($C109,Ativos!$A$3:$A$42,0)),""))</f>
        <v/>
      </c>
      <c r="E109" s="40" t="str">
        <f aca="false">IF($C109="","",INDEX(Planos!$C$3:$C$27,5))</f>
        <v/>
      </c>
      <c r="F109" s="40" t="str">
        <f aca="false">IF($C109="","",INDEX(Planos!$D$3:$D$27,5))</f>
        <v/>
      </c>
      <c r="G109" s="41" t="n">
        <f aca="false">IF($C109="",0,INDEX(Planos!$F$3:$F$27,5)+(11-1)*INDEX(Planos!$E$3:$E$27,5))</f>
        <v>0</v>
      </c>
      <c r="H109" s="40" t="str">
        <f aca="false">IF($C109="","",INDEX(Planos!$H$3:$H$27,5))</f>
        <v/>
      </c>
      <c r="I109" s="41" t="str">
        <f aca="false">IF($C109="","",IF(INDEX(Planos!$J$3:$AG$27,$A109,$B109)=0,"",INDEX(Planos!$J$3:$AG$27,$A109,$B109)))</f>
        <v/>
      </c>
      <c r="J109" s="26" t="str">
        <f aca="false">IF($C109="","",IF($I109&lt;&gt;"","Realizada",IF($G109&lt;INT(Parâmetros!$C$4),"Atrasada","Agendada")))</f>
        <v/>
      </c>
      <c r="K109" s="42" t="str">
        <f aca="false">IF($C109="","",IF($I109&lt;&gt;"",$I109-$G109,IF($J109="Atrasada",INT(Parâmetros!$C$4)-$G109,"")))</f>
        <v/>
      </c>
      <c r="L109" s="26" t="str">
        <f aca="false">IF($J109&lt;&gt;"Realizada","",IF($K109&lt;=0,"No prazo",IF($K109&lt;=7,"Até 7 dias",IF($K109&lt;=30,"Até 30 dias","Acima de 30"))))</f>
        <v/>
      </c>
      <c r="M109" s="26" t="str">
        <f aca="false">IF($C109="","",COUNTIFS($G$3:$G109,$G109))</f>
        <v/>
      </c>
      <c r="N109" s="26" t="str">
        <f aca="false">IF($C109="","",$G109&amp;"|"&amp;$M109)</f>
        <v/>
      </c>
    </row>
    <row r="110" customFormat="false" ht="18" hidden="false" customHeight="true" outlineLevel="0" collapsed="false">
      <c r="A110" s="26" t="n">
        <v>5</v>
      </c>
      <c r="B110" s="26" t="n">
        <v>12</v>
      </c>
      <c r="C110" s="26" t="str">
        <f aca="false">IF(INDEX(Planos!$B$3:$B$27,5)="","",IF(12&gt;INDEX(Planos!$G$3:$G$27,5),"",INDEX(Planos!$B$3:$B$27,5)))</f>
        <v/>
      </c>
      <c r="D110" s="40" t="str">
        <f aca="false">IF($C110="","",IFERROR(INDEX(Ativos!$B$3:$B$42,MATCH($C110,Ativos!$A$3:$A$42,0)),""))</f>
        <v/>
      </c>
      <c r="E110" s="40" t="str">
        <f aca="false">IF($C110="","",INDEX(Planos!$C$3:$C$27,5))</f>
        <v/>
      </c>
      <c r="F110" s="40" t="str">
        <f aca="false">IF($C110="","",INDEX(Planos!$D$3:$D$27,5))</f>
        <v/>
      </c>
      <c r="G110" s="41" t="n">
        <f aca="false">IF($C110="",0,INDEX(Planos!$F$3:$F$27,5)+(12-1)*INDEX(Planos!$E$3:$E$27,5))</f>
        <v>0</v>
      </c>
      <c r="H110" s="40" t="str">
        <f aca="false">IF($C110="","",INDEX(Planos!$H$3:$H$27,5))</f>
        <v/>
      </c>
      <c r="I110" s="41" t="str">
        <f aca="false">IF($C110="","",IF(INDEX(Planos!$J$3:$AG$27,$A110,$B110)=0,"",INDEX(Planos!$J$3:$AG$27,$A110,$B110)))</f>
        <v/>
      </c>
      <c r="J110" s="26" t="str">
        <f aca="false">IF($C110="","",IF($I110&lt;&gt;"","Realizada",IF($G110&lt;INT(Parâmetros!$C$4),"Atrasada","Agendada")))</f>
        <v/>
      </c>
      <c r="K110" s="42" t="str">
        <f aca="false">IF($C110="","",IF($I110&lt;&gt;"",$I110-$G110,IF($J110="Atrasada",INT(Parâmetros!$C$4)-$G110,"")))</f>
        <v/>
      </c>
      <c r="L110" s="26" t="str">
        <f aca="false">IF($J110&lt;&gt;"Realizada","",IF($K110&lt;=0,"No prazo",IF($K110&lt;=7,"Até 7 dias",IF($K110&lt;=30,"Até 30 dias","Acima de 30"))))</f>
        <v/>
      </c>
      <c r="M110" s="26" t="str">
        <f aca="false">IF($C110="","",COUNTIFS($G$3:$G110,$G110))</f>
        <v/>
      </c>
      <c r="N110" s="26" t="str">
        <f aca="false">IF($C110="","",$G110&amp;"|"&amp;$M110)</f>
        <v/>
      </c>
    </row>
    <row r="111" customFormat="false" ht="18" hidden="false" customHeight="true" outlineLevel="0" collapsed="false">
      <c r="A111" s="26" t="n">
        <v>5</v>
      </c>
      <c r="B111" s="26" t="n">
        <v>13</v>
      </c>
      <c r="C111" s="26" t="str">
        <f aca="false">IF(INDEX(Planos!$B$3:$B$27,5)="","",IF(13&gt;INDEX(Planos!$G$3:$G$27,5),"",INDEX(Planos!$B$3:$B$27,5)))</f>
        <v/>
      </c>
      <c r="D111" s="40" t="str">
        <f aca="false">IF($C111="","",IFERROR(INDEX(Ativos!$B$3:$B$42,MATCH($C111,Ativos!$A$3:$A$42,0)),""))</f>
        <v/>
      </c>
      <c r="E111" s="40" t="str">
        <f aca="false">IF($C111="","",INDEX(Planos!$C$3:$C$27,5))</f>
        <v/>
      </c>
      <c r="F111" s="40" t="str">
        <f aca="false">IF($C111="","",INDEX(Planos!$D$3:$D$27,5))</f>
        <v/>
      </c>
      <c r="G111" s="41" t="n">
        <f aca="false">IF($C111="",0,INDEX(Planos!$F$3:$F$27,5)+(13-1)*INDEX(Planos!$E$3:$E$27,5))</f>
        <v>0</v>
      </c>
      <c r="H111" s="40" t="str">
        <f aca="false">IF($C111="","",INDEX(Planos!$H$3:$H$27,5))</f>
        <v/>
      </c>
      <c r="I111" s="41" t="str">
        <f aca="false">IF($C111="","",IF(INDEX(Planos!$J$3:$AG$27,$A111,$B111)=0,"",INDEX(Planos!$J$3:$AG$27,$A111,$B111)))</f>
        <v/>
      </c>
      <c r="J111" s="26" t="str">
        <f aca="false">IF($C111="","",IF($I111&lt;&gt;"","Realizada",IF($G111&lt;INT(Parâmetros!$C$4),"Atrasada","Agendada")))</f>
        <v/>
      </c>
      <c r="K111" s="42" t="str">
        <f aca="false">IF($C111="","",IF($I111&lt;&gt;"",$I111-$G111,IF($J111="Atrasada",INT(Parâmetros!$C$4)-$G111,"")))</f>
        <v/>
      </c>
      <c r="L111" s="26" t="str">
        <f aca="false">IF($J111&lt;&gt;"Realizada","",IF($K111&lt;=0,"No prazo",IF($K111&lt;=7,"Até 7 dias",IF($K111&lt;=30,"Até 30 dias","Acima de 30"))))</f>
        <v/>
      </c>
      <c r="M111" s="26" t="str">
        <f aca="false">IF($C111="","",COUNTIFS($G$3:$G111,$G111))</f>
        <v/>
      </c>
      <c r="N111" s="26" t="str">
        <f aca="false">IF($C111="","",$G111&amp;"|"&amp;$M111)</f>
        <v/>
      </c>
    </row>
    <row r="112" customFormat="false" ht="18" hidden="false" customHeight="true" outlineLevel="0" collapsed="false">
      <c r="A112" s="26" t="n">
        <v>5</v>
      </c>
      <c r="B112" s="26" t="n">
        <v>14</v>
      </c>
      <c r="C112" s="26" t="str">
        <f aca="false">IF(INDEX(Planos!$B$3:$B$27,5)="","",IF(14&gt;INDEX(Planos!$G$3:$G$27,5),"",INDEX(Planos!$B$3:$B$27,5)))</f>
        <v/>
      </c>
      <c r="D112" s="40" t="str">
        <f aca="false">IF($C112="","",IFERROR(INDEX(Ativos!$B$3:$B$42,MATCH($C112,Ativos!$A$3:$A$42,0)),""))</f>
        <v/>
      </c>
      <c r="E112" s="40" t="str">
        <f aca="false">IF($C112="","",INDEX(Planos!$C$3:$C$27,5))</f>
        <v/>
      </c>
      <c r="F112" s="40" t="str">
        <f aca="false">IF($C112="","",INDEX(Planos!$D$3:$D$27,5))</f>
        <v/>
      </c>
      <c r="G112" s="41" t="n">
        <f aca="false">IF($C112="",0,INDEX(Planos!$F$3:$F$27,5)+(14-1)*INDEX(Planos!$E$3:$E$27,5))</f>
        <v>0</v>
      </c>
      <c r="H112" s="40" t="str">
        <f aca="false">IF($C112="","",INDEX(Planos!$H$3:$H$27,5))</f>
        <v/>
      </c>
      <c r="I112" s="41" t="str">
        <f aca="false">IF($C112="","",IF(INDEX(Planos!$J$3:$AG$27,$A112,$B112)=0,"",INDEX(Planos!$J$3:$AG$27,$A112,$B112)))</f>
        <v/>
      </c>
      <c r="J112" s="26" t="str">
        <f aca="false">IF($C112="","",IF($I112&lt;&gt;"","Realizada",IF($G112&lt;INT(Parâmetros!$C$4),"Atrasada","Agendada")))</f>
        <v/>
      </c>
      <c r="K112" s="42" t="str">
        <f aca="false">IF($C112="","",IF($I112&lt;&gt;"",$I112-$G112,IF($J112="Atrasada",INT(Parâmetros!$C$4)-$G112,"")))</f>
        <v/>
      </c>
      <c r="L112" s="26" t="str">
        <f aca="false">IF($J112&lt;&gt;"Realizada","",IF($K112&lt;=0,"No prazo",IF($K112&lt;=7,"Até 7 dias",IF($K112&lt;=30,"Até 30 dias","Acima de 30"))))</f>
        <v/>
      </c>
      <c r="M112" s="26" t="str">
        <f aca="false">IF($C112="","",COUNTIFS($G$3:$G112,$G112))</f>
        <v/>
      </c>
      <c r="N112" s="26" t="str">
        <f aca="false">IF($C112="","",$G112&amp;"|"&amp;$M112)</f>
        <v/>
      </c>
    </row>
    <row r="113" customFormat="false" ht="18" hidden="false" customHeight="true" outlineLevel="0" collapsed="false">
      <c r="A113" s="26" t="n">
        <v>5</v>
      </c>
      <c r="B113" s="26" t="n">
        <v>15</v>
      </c>
      <c r="C113" s="26" t="str">
        <f aca="false">IF(INDEX(Planos!$B$3:$B$27,5)="","",IF(15&gt;INDEX(Planos!$G$3:$G$27,5),"",INDEX(Planos!$B$3:$B$27,5)))</f>
        <v/>
      </c>
      <c r="D113" s="40" t="str">
        <f aca="false">IF($C113="","",IFERROR(INDEX(Ativos!$B$3:$B$42,MATCH($C113,Ativos!$A$3:$A$42,0)),""))</f>
        <v/>
      </c>
      <c r="E113" s="40" t="str">
        <f aca="false">IF($C113="","",INDEX(Planos!$C$3:$C$27,5))</f>
        <v/>
      </c>
      <c r="F113" s="40" t="str">
        <f aca="false">IF($C113="","",INDEX(Planos!$D$3:$D$27,5))</f>
        <v/>
      </c>
      <c r="G113" s="41" t="n">
        <f aca="false">IF($C113="",0,INDEX(Planos!$F$3:$F$27,5)+(15-1)*INDEX(Planos!$E$3:$E$27,5))</f>
        <v>0</v>
      </c>
      <c r="H113" s="40" t="str">
        <f aca="false">IF($C113="","",INDEX(Planos!$H$3:$H$27,5))</f>
        <v/>
      </c>
      <c r="I113" s="41" t="str">
        <f aca="false">IF($C113="","",IF(INDEX(Planos!$J$3:$AG$27,$A113,$B113)=0,"",INDEX(Planos!$J$3:$AG$27,$A113,$B113)))</f>
        <v/>
      </c>
      <c r="J113" s="26" t="str">
        <f aca="false">IF($C113="","",IF($I113&lt;&gt;"","Realizada",IF($G113&lt;INT(Parâmetros!$C$4),"Atrasada","Agendada")))</f>
        <v/>
      </c>
      <c r="K113" s="42" t="str">
        <f aca="false">IF($C113="","",IF($I113&lt;&gt;"",$I113-$G113,IF($J113="Atrasada",INT(Parâmetros!$C$4)-$G113,"")))</f>
        <v/>
      </c>
      <c r="L113" s="26" t="str">
        <f aca="false">IF($J113&lt;&gt;"Realizada","",IF($K113&lt;=0,"No prazo",IF($K113&lt;=7,"Até 7 dias",IF($K113&lt;=30,"Até 30 dias","Acima de 30"))))</f>
        <v/>
      </c>
      <c r="M113" s="26" t="str">
        <f aca="false">IF($C113="","",COUNTIFS($G$3:$G113,$G113))</f>
        <v/>
      </c>
      <c r="N113" s="26" t="str">
        <f aca="false">IF($C113="","",$G113&amp;"|"&amp;$M113)</f>
        <v/>
      </c>
    </row>
    <row r="114" customFormat="false" ht="18" hidden="false" customHeight="true" outlineLevel="0" collapsed="false">
      <c r="A114" s="26" t="n">
        <v>5</v>
      </c>
      <c r="B114" s="26" t="n">
        <v>16</v>
      </c>
      <c r="C114" s="26" t="str">
        <f aca="false">IF(INDEX(Planos!$B$3:$B$27,5)="","",IF(16&gt;INDEX(Planos!$G$3:$G$27,5),"",INDEX(Planos!$B$3:$B$27,5)))</f>
        <v/>
      </c>
      <c r="D114" s="40" t="str">
        <f aca="false">IF($C114="","",IFERROR(INDEX(Ativos!$B$3:$B$42,MATCH($C114,Ativos!$A$3:$A$42,0)),""))</f>
        <v/>
      </c>
      <c r="E114" s="40" t="str">
        <f aca="false">IF($C114="","",INDEX(Planos!$C$3:$C$27,5))</f>
        <v/>
      </c>
      <c r="F114" s="40" t="str">
        <f aca="false">IF($C114="","",INDEX(Planos!$D$3:$D$27,5))</f>
        <v/>
      </c>
      <c r="G114" s="41" t="n">
        <f aca="false">IF($C114="",0,INDEX(Planos!$F$3:$F$27,5)+(16-1)*INDEX(Planos!$E$3:$E$27,5))</f>
        <v>0</v>
      </c>
      <c r="H114" s="40" t="str">
        <f aca="false">IF($C114="","",INDEX(Planos!$H$3:$H$27,5))</f>
        <v/>
      </c>
      <c r="I114" s="41" t="str">
        <f aca="false">IF($C114="","",IF(INDEX(Planos!$J$3:$AG$27,$A114,$B114)=0,"",INDEX(Planos!$J$3:$AG$27,$A114,$B114)))</f>
        <v/>
      </c>
      <c r="J114" s="26" t="str">
        <f aca="false">IF($C114="","",IF($I114&lt;&gt;"","Realizada",IF($G114&lt;INT(Parâmetros!$C$4),"Atrasada","Agendada")))</f>
        <v/>
      </c>
      <c r="K114" s="42" t="str">
        <f aca="false">IF($C114="","",IF($I114&lt;&gt;"",$I114-$G114,IF($J114="Atrasada",INT(Parâmetros!$C$4)-$G114,"")))</f>
        <v/>
      </c>
      <c r="L114" s="26" t="str">
        <f aca="false">IF($J114&lt;&gt;"Realizada","",IF($K114&lt;=0,"No prazo",IF($K114&lt;=7,"Até 7 dias",IF($K114&lt;=30,"Até 30 dias","Acima de 30"))))</f>
        <v/>
      </c>
      <c r="M114" s="26" t="str">
        <f aca="false">IF($C114="","",COUNTIFS($G$3:$G114,$G114))</f>
        <v/>
      </c>
      <c r="N114" s="26" t="str">
        <f aca="false">IF($C114="","",$G114&amp;"|"&amp;$M114)</f>
        <v/>
      </c>
    </row>
    <row r="115" customFormat="false" ht="18" hidden="false" customHeight="true" outlineLevel="0" collapsed="false">
      <c r="A115" s="26" t="n">
        <v>5</v>
      </c>
      <c r="B115" s="26" t="n">
        <v>17</v>
      </c>
      <c r="C115" s="26" t="str">
        <f aca="false">IF(INDEX(Planos!$B$3:$B$27,5)="","",IF(17&gt;INDEX(Planos!$G$3:$G$27,5),"",INDEX(Planos!$B$3:$B$27,5)))</f>
        <v/>
      </c>
      <c r="D115" s="40" t="str">
        <f aca="false">IF($C115="","",IFERROR(INDEX(Ativos!$B$3:$B$42,MATCH($C115,Ativos!$A$3:$A$42,0)),""))</f>
        <v/>
      </c>
      <c r="E115" s="40" t="str">
        <f aca="false">IF($C115="","",INDEX(Planos!$C$3:$C$27,5))</f>
        <v/>
      </c>
      <c r="F115" s="40" t="str">
        <f aca="false">IF($C115="","",INDEX(Planos!$D$3:$D$27,5))</f>
        <v/>
      </c>
      <c r="G115" s="41" t="n">
        <f aca="false">IF($C115="",0,INDEX(Planos!$F$3:$F$27,5)+(17-1)*INDEX(Planos!$E$3:$E$27,5))</f>
        <v>0</v>
      </c>
      <c r="H115" s="40" t="str">
        <f aca="false">IF($C115="","",INDEX(Planos!$H$3:$H$27,5))</f>
        <v/>
      </c>
      <c r="I115" s="41" t="str">
        <f aca="false">IF($C115="","",IF(INDEX(Planos!$J$3:$AG$27,$A115,$B115)=0,"",INDEX(Planos!$J$3:$AG$27,$A115,$B115)))</f>
        <v/>
      </c>
      <c r="J115" s="26" t="str">
        <f aca="false">IF($C115="","",IF($I115&lt;&gt;"","Realizada",IF($G115&lt;INT(Parâmetros!$C$4),"Atrasada","Agendada")))</f>
        <v/>
      </c>
      <c r="K115" s="42" t="str">
        <f aca="false">IF($C115="","",IF($I115&lt;&gt;"",$I115-$G115,IF($J115="Atrasada",INT(Parâmetros!$C$4)-$G115,"")))</f>
        <v/>
      </c>
      <c r="L115" s="26" t="str">
        <f aca="false">IF($J115&lt;&gt;"Realizada","",IF($K115&lt;=0,"No prazo",IF($K115&lt;=7,"Até 7 dias",IF($K115&lt;=30,"Até 30 dias","Acima de 30"))))</f>
        <v/>
      </c>
      <c r="M115" s="26" t="str">
        <f aca="false">IF($C115="","",COUNTIFS($G$3:$G115,$G115))</f>
        <v/>
      </c>
      <c r="N115" s="26" t="str">
        <f aca="false">IF($C115="","",$G115&amp;"|"&amp;$M115)</f>
        <v/>
      </c>
    </row>
    <row r="116" customFormat="false" ht="18" hidden="false" customHeight="true" outlineLevel="0" collapsed="false">
      <c r="A116" s="26" t="n">
        <v>5</v>
      </c>
      <c r="B116" s="26" t="n">
        <v>18</v>
      </c>
      <c r="C116" s="26" t="str">
        <f aca="false">IF(INDEX(Planos!$B$3:$B$27,5)="","",IF(18&gt;INDEX(Planos!$G$3:$G$27,5),"",INDEX(Planos!$B$3:$B$27,5)))</f>
        <v/>
      </c>
      <c r="D116" s="40" t="str">
        <f aca="false">IF($C116="","",IFERROR(INDEX(Ativos!$B$3:$B$42,MATCH($C116,Ativos!$A$3:$A$42,0)),""))</f>
        <v/>
      </c>
      <c r="E116" s="40" t="str">
        <f aca="false">IF($C116="","",INDEX(Planos!$C$3:$C$27,5))</f>
        <v/>
      </c>
      <c r="F116" s="40" t="str">
        <f aca="false">IF($C116="","",INDEX(Planos!$D$3:$D$27,5))</f>
        <v/>
      </c>
      <c r="G116" s="41" t="n">
        <f aca="false">IF($C116="",0,INDEX(Planos!$F$3:$F$27,5)+(18-1)*INDEX(Planos!$E$3:$E$27,5))</f>
        <v>0</v>
      </c>
      <c r="H116" s="40" t="str">
        <f aca="false">IF($C116="","",INDEX(Planos!$H$3:$H$27,5))</f>
        <v/>
      </c>
      <c r="I116" s="41" t="str">
        <f aca="false">IF($C116="","",IF(INDEX(Planos!$J$3:$AG$27,$A116,$B116)=0,"",INDEX(Planos!$J$3:$AG$27,$A116,$B116)))</f>
        <v/>
      </c>
      <c r="J116" s="26" t="str">
        <f aca="false">IF($C116="","",IF($I116&lt;&gt;"","Realizada",IF($G116&lt;INT(Parâmetros!$C$4),"Atrasada","Agendada")))</f>
        <v/>
      </c>
      <c r="K116" s="42" t="str">
        <f aca="false">IF($C116="","",IF($I116&lt;&gt;"",$I116-$G116,IF($J116="Atrasada",INT(Parâmetros!$C$4)-$G116,"")))</f>
        <v/>
      </c>
      <c r="L116" s="26" t="str">
        <f aca="false">IF($J116&lt;&gt;"Realizada","",IF($K116&lt;=0,"No prazo",IF($K116&lt;=7,"Até 7 dias",IF($K116&lt;=30,"Até 30 dias","Acima de 30"))))</f>
        <v/>
      </c>
      <c r="M116" s="26" t="str">
        <f aca="false">IF($C116="","",COUNTIFS($G$3:$G116,$G116))</f>
        <v/>
      </c>
      <c r="N116" s="26" t="str">
        <f aca="false">IF($C116="","",$G116&amp;"|"&amp;$M116)</f>
        <v/>
      </c>
    </row>
    <row r="117" customFormat="false" ht="18" hidden="false" customHeight="true" outlineLevel="0" collapsed="false">
      <c r="A117" s="26" t="n">
        <v>5</v>
      </c>
      <c r="B117" s="26" t="n">
        <v>19</v>
      </c>
      <c r="C117" s="26" t="str">
        <f aca="false">IF(INDEX(Planos!$B$3:$B$27,5)="","",IF(19&gt;INDEX(Planos!$G$3:$G$27,5),"",INDEX(Planos!$B$3:$B$27,5)))</f>
        <v/>
      </c>
      <c r="D117" s="40" t="str">
        <f aca="false">IF($C117="","",IFERROR(INDEX(Ativos!$B$3:$B$42,MATCH($C117,Ativos!$A$3:$A$42,0)),""))</f>
        <v/>
      </c>
      <c r="E117" s="40" t="str">
        <f aca="false">IF($C117="","",INDEX(Planos!$C$3:$C$27,5))</f>
        <v/>
      </c>
      <c r="F117" s="40" t="str">
        <f aca="false">IF($C117="","",INDEX(Planos!$D$3:$D$27,5))</f>
        <v/>
      </c>
      <c r="G117" s="41" t="n">
        <f aca="false">IF($C117="",0,INDEX(Planos!$F$3:$F$27,5)+(19-1)*INDEX(Planos!$E$3:$E$27,5))</f>
        <v>0</v>
      </c>
      <c r="H117" s="40" t="str">
        <f aca="false">IF($C117="","",INDEX(Planos!$H$3:$H$27,5))</f>
        <v/>
      </c>
      <c r="I117" s="41" t="str">
        <f aca="false">IF($C117="","",IF(INDEX(Planos!$J$3:$AG$27,$A117,$B117)=0,"",INDEX(Planos!$J$3:$AG$27,$A117,$B117)))</f>
        <v/>
      </c>
      <c r="J117" s="26" t="str">
        <f aca="false">IF($C117="","",IF($I117&lt;&gt;"","Realizada",IF($G117&lt;INT(Parâmetros!$C$4),"Atrasada","Agendada")))</f>
        <v/>
      </c>
      <c r="K117" s="42" t="str">
        <f aca="false">IF($C117="","",IF($I117&lt;&gt;"",$I117-$G117,IF($J117="Atrasada",INT(Parâmetros!$C$4)-$G117,"")))</f>
        <v/>
      </c>
      <c r="L117" s="26" t="str">
        <f aca="false">IF($J117&lt;&gt;"Realizada","",IF($K117&lt;=0,"No prazo",IF($K117&lt;=7,"Até 7 dias",IF($K117&lt;=30,"Até 30 dias","Acima de 30"))))</f>
        <v/>
      </c>
      <c r="M117" s="26" t="str">
        <f aca="false">IF($C117="","",COUNTIFS($G$3:$G117,$G117))</f>
        <v/>
      </c>
      <c r="N117" s="26" t="str">
        <f aca="false">IF($C117="","",$G117&amp;"|"&amp;$M117)</f>
        <v/>
      </c>
    </row>
    <row r="118" customFormat="false" ht="18" hidden="false" customHeight="true" outlineLevel="0" collapsed="false">
      <c r="A118" s="26" t="n">
        <v>5</v>
      </c>
      <c r="B118" s="26" t="n">
        <v>20</v>
      </c>
      <c r="C118" s="26" t="str">
        <f aca="false">IF(INDEX(Planos!$B$3:$B$27,5)="","",IF(20&gt;INDEX(Planos!$G$3:$G$27,5),"",INDEX(Planos!$B$3:$B$27,5)))</f>
        <v/>
      </c>
      <c r="D118" s="40" t="str">
        <f aca="false">IF($C118="","",IFERROR(INDEX(Ativos!$B$3:$B$42,MATCH($C118,Ativos!$A$3:$A$42,0)),""))</f>
        <v/>
      </c>
      <c r="E118" s="40" t="str">
        <f aca="false">IF($C118="","",INDEX(Planos!$C$3:$C$27,5))</f>
        <v/>
      </c>
      <c r="F118" s="40" t="str">
        <f aca="false">IF($C118="","",INDEX(Planos!$D$3:$D$27,5))</f>
        <v/>
      </c>
      <c r="G118" s="41" t="n">
        <f aca="false">IF($C118="",0,INDEX(Planos!$F$3:$F$27,5)+(20-1)*INDEX(Planos!$E$3:$E$27,5))</f>
        <v>0</v>
      </c>
      <c r="H118" s="40" t="str">
        <f aca="false">IF($C118="","",INDEX(Planos!$H$3:$H$27,5))</f>
        <v/>
      </c>
      <c r="I118" s="41" t="str">
        <f aca="false">IF($C118="","",IF(INDEX(Planos!$J$3:$AG$27,$A118,$B118)=0,"",INDEX(Planos!$J$3:$AG$27,$A118,$B118)))</f>
        <v/>
      </c>
      <c r="J118" s="26" t="str">
        <f aca="false">IF($C118="","",IF($I118&lt;&gt;"","Realizada",IF($G118&lt;INT(Parâmetros!$C$4),"Atrasada","Agendada")))</f>
        <v/>
      </c>
      <c r="K118" s="42" t="str">
        <f aca="false">IF($C118="","",IF($I118&lt;&gt;"",$I118-$G118,IF($J118="Atrasada",INT(Parâmetros!$C$4)-$G118,"")))</f>
        <v/>
      </c>
      <c r="L118" s="26" t="str">
        <f aca="false">IF($J118&lt;&gt;"Realizada","",IF($K118&lt;=0,"No prazo",IF($K118&lt;=7,"Até 7 dias",IF($K118&lt;=30,"Até 30 dias","Acima de 30"))))</f>
        <v/>
      </c>
      <c r="M118" s="26" t="str">
        <f aca="false">IF($C118="","",COUNTIFS($G$3:$G118,$G118))</f>
        <v/>
      </c>
      <c r="N118" s="26" t="str">
        <f aca="false">IF($C118="","",$G118&amp;"|"&amp;$M118)</f>
        <v/>
      </c>
    </row>
    <row r="119" customFormat="false" ht="18" hidden="false" customHeight="true" outlineLevel="0" collapsed="false">
      <c r="A119" s="26" t="n">
        <v>5</v>
      </c>
      <c r="B119" s="26" t="n">
        <v>21</v>
      </c>
      <c r="C119" s="26" t="str">
        <f aca="false">IF(INDEX(Planos!$B$3:$B$27,5)="","",IF(21&gt;INDEX(Planos!$G$3:$G$27,5),"",INDEX(Planos!$B$3:$B$27,5)))</f>
        <v/>
      </c>
      <c r="D119" s="40" t="str">
        <f aca="false">IF($C119="","",IFERROR(INDEX(Ativos!$B$3:$B$42,MATCH($C119,Ativos!$A$3:$A$42,0)),""))</f>
        <v/>
      </c>
      <c r="E119" s="40" t="str">
        <f aca="false">IF($C119="","",INDEX(Planos!$C$3:$C$27,5))</f>
        <v/>
      </c>
      <c r="F119" s="40" t="str">
        <f aca="false">IF($C119="","",INDEX(Planos!$D$3:$D$27,5))</f>
        <v/>
      </c>
      <c r="G119" s="41" t="n">
        <f aca="false">IF($C119="",0,INDEX(Planos!$F$3:$F$27,5)+(21-1)*INDEX(Planos!$E$3:$E$27,5))</f>
        <v>0</v>
      </c>
      <c r="H119" s="40" t="str">
        <f aca="false">IF($C119="","",INDEX(Planos!$H$3:$H$27,5))</f>
        <v/>
      </c>
      <c r="I119" s="41" t="str">
        <f aca="false">IF($C119="","",IF(INDEX(Planos!$J$3:$AG$27,$A119,$B119)=0,"",INDEX(Planos!$J$3:$AG$27,$A119,$B119)))</f>
        <v/>
      </c>
      <c r="J119" s="26" t="str">
        <f aca="false">IF($C119="","",IF($I119&lt;&gt;"","Realizada",IF($G119&lt;INT(Parâmetros!$C$4),"Atrasada","Agendada")))</f>
        <v/>
      </c>
      <c r="K119" s="42" t="str">
        <f aca="false">IF($C119="","",IF($I119&lt;&gt;"",$I119-$G119,IF($J119="Atrasada",INT(Parâmetros!$C$4)-$G119,"")))</f>
        <v/>
      </c>
      <c r="L119" s="26" t="str">
        <f aca="false">IF($J119&lt;&gt;"Realizada","",IF($K119&lt;=0,"No prazo",IF($K119&lt;=7,"Até 7 dias",IF($K119&lt;=30,"Até 30 dias","Acima de 30"))))</f>
        <v/>
      </c>
      <c r="M119" s="26" t="str">
        <f aca="false">IF($C119="","",COUNTIFS($G$3:$G119,$G119))</f>
        <v/>
      </c>
      <c r="N119" s="26" t="str">
        <f aca="false">IF($C119="","",$G119&amp;"|"&amp;$M119)</f>
        <v/>
      </c>
    </row>
    <row r="120" customFormat="false" ht="18" hidden="false" customHeight="true" outlineLevel="0" collapsed="false">
      <c r="A120" s="26" t="n">
        <v>5</v>
      </c>
      <c r="B120" s="26" t="n">
        <v>22</v>
      </c>
      <c r="C120" s="26" t="str">
        <f aca="false">IF(INDEX(Planos!$B$3:$B$27,5)="","",IF(22&gt;INDEX(Planos!$G$3:$G$27,5),"",INDEX(Planos!$B$3:$B$27,5)))</f>
        <v/>
      </c>
      <c r="D120" s="40" t="str">
        <f aca="false">IF($C120="","",IFERROR(INDEX(Ativos!$B$3:$B$42,MATCH($C120,Ativos!$A$3:$A$42,0)),""))</f>
        <v/>
      </c>
      <c r="E120" s="40" t="str">
        <f aca="false">IF($C120="","",INDEX(Planos!$C$3:$C$27,5))</f>
        <v/>
      </c>
      <c r="F120" s="40" t="str">
        <f aca="false">IF($C120="","",INDEX(Planos!$D$3:$D$27,5))</f>
        <v/>
      </c>
      <c r="G120" s="41" t="n">
        <f aca="false">IF($C120="",0,INDEX(Planos!$F$3:$F$27,5)+(22-1)*INDEX(Planos!$E$3:$E$27,5))</f>
        <v>0</v>
      </c>
      <c r="H120" s="40" t="str">
        <f aca="false">IF($C120="","",INDEX(Planos!$H$3:$H$27,5))</f>
        <v/>
      </c>
      <c r="I120" s="41" t="str">
        <f aca="false">IF($C120="","",IF(INDEX(Planos!$J$3:$AG$27,$A120,$B120)=0,"",INDEX(Planos!$J$3:$AG$27,$A120,$B120)))</f>
        <v/>
      </c>
      <c r="J120" s="26" t="str">
        <f aca="false">IF($C120="","",IF($I120&lt;&gt;"","Realizada",IF($G120&lt;INT(Parâmetros!$C$4),"Atrasada","Agendada")))</f>
        <v/>
      </c>
      <c r="K120" s="42" t="str">
        <f aca="false">IF($C120="","",IF($I120&lt;&gt;"",$I120-$G120,IF($J120="Atrasada",INT(Parâmetros!$C$4)-$G120,"")))</f>
        <v/>
      </c>
      <c r="L120" s="26" t="str">
        <f aca="false">IF($J120&lt;&gt;"Realizada","",IF($K120&lt;=0,"No prazo",IF($K120&lt;=7,"Até 7 dias",IF($K120&lt;=30,"Até 30 dias","Acima de 30"))))</f>
        <v/>
      </c>
      <c r="M120" s="26" t="str">
        <f aca="false">IF($C120="","",COUNTIFS($G$3:$G120,$G120))</f>
        <v/>
      </c>
      <c r="N120" s="26" t="str">
        <f aca="false">IF($C120="","",$G120&amp;"|"&amp;$M120)</f>
        <v/>
      </c>
    </row>
    <row r="121" customFormat="false" ht="18" hidden="false" customHeight="true" outlineLevel="0" collapsed="false">
      <c r="A121" s="26" t="n">
        <v>5</v>
      </c>
      <c r="B121" s="26" t="n">
        <v>23</v>
      </c>
      <c r="C121" s="26" t="str">
        <f aca="false">IF(INDEX(Planos!$B$3:$B$27,5)="","",IF(23&gt;INDEX(Planos!$G$3:$G$27,5),"",INDEX(Planos!$B$3:$B$27,5)))</f>
        <v/>
      </c>
      <c r="D121" s="40" t="str">
        <f aca="false">IF($C121="","",IFERROR(INDEX(Ativos!$B$3:$B$42,MATCH($C121,Ativos!$A$3:$A$42,0)),""))</f>
        <v/>
      </c>
      <c r="E121" s="40" t="str">
        <f aca="false">IF($C121="","",INDEX(Planos!$C$3:$C$27,5))</f>
        <v/>
      </c>
      <c r="F121" s="40" t="str">
        <f aca="false">IF($C121="","",INDEX(Planos!$D$3:$D$27,5))</f>
        <v/>
      </c>
      <c r="G121" s="41" t="n">
        <f aca="false">IF($C121="",0,INDEX(Planos!$F$3:$F$27,5)+(23-1)*INDEX(Planos!$E$3:$E$27,5))</f>
        <v>0</v>
      </c>
      <c r="H121" s="40" t="str">
        <f aca="false">IF($C121="","",INDEX(Planos!$H$3:$H$27,5))</f>
        <v/>
      </c>
      <c r="I121" s="41" t="str">
        <f aca="false">IF($C121="","",IF(INDEX(Planos!$J$3:$AG$27,$A121,$B121)=0,"",INDEX(Planos!$J$3:$AG$27,$A121,$B121)))</f>
        <v/>
      </c>
      <c r="J121" s="26" t="str">
        <f aca="false">IF($C121="","",IF($I121&lt;&gt;"","Realizada",IF($G121&lt;INT(Parâmetros!$C$4),"Atrasada","Agendada")))</f>
        <v/>
      </c>
      <c r="K121" s="42" t="str">
        <f aca="false">IF($C121="","",IF($I121&lt;&gt;"",$I121-$G121,IF($J121="Atrasada",INT(Parâmetros!$C$4)-$G121,"")))</f>
        <v/>
      </c>
      <c r="L121" s="26" t="str">
        <f aca="false">IF($J121&lt;&gt;"Realizada","",IF($K121&lt;=0,"No prazo",IF($K121&lt;=7,"Até 7 dias",IF($K121&lt;=30,"Até 30 dias","Acima de 30"))))</f>
        <v/>
      </c>
      <c r="M121" s="26" t="str">
        <f aca="false">IF($C121="","",COUNTIFS($G$3:$G121,$G121))</f>
        <v/>
      </c>
      <c r="N121" s="26" t="str">
        <f aca="false">IF($C121="","",$G121&amp;"|"&amp;$M121)</f>
        <v/>
      </c>
    </row>
    <row r="122" customFormat="false" ht="18" hidden="false" customHeight="true" outlineLevel="0" collapsed="false">
      <c r="A122" s="26" t="n">
        <v>5</v>
      </c>
      <c r="B122" s="26" t="n">
        <v>24</v>
      </c>
      <c r="C122" s="26" t="str">
        <f aca="false">IF(INDEX(Planos!$B$3:$B$27,5)="","",IF(24&gt;INDEX(Planos!$G$3:$G$27,5),"",INDEX(Planos!$B$3:$B$27,5)))</f>
        <v/>
      </c>
      <c r="D122" s="40" t="str">
        <f aca="false">IF($C122="","",IFERROR(INDEX(Ativos!$B$3:$B$42,MATCH($C122,Ativos!$A$3:$A$42,0)),""))</f>
        <v/>
      </c>
      <c r="E122" s="40" t="str">
        <f aca="false">IF($C122="","",INDEX(Planos!$C$3:$C$27,5))</f>
        <v/>
      </c>
      <c r="F122" s="40" t="str">
        <f aca="false">IF($C122="","",INDEX(Planos!$D$3:$D$27,5))</f>
        <v/>
      </c>
      <c r="G122" s="41" t="n">
        <f aca="false">IF($C122="",0,INDEX(Planos!$F$3:$F$27,5)+(24-1)*INDEX(Planos!$E$3:$E$27,5))</f>
        <v>0</v>
      </c>
      <c r="H122" s="40" t="str">
        <f aca="false">IF($C122="","",INDEX(Planos!$H$3:$H$27,5))</f>
        <v/>
      </c>
      <c r="I122" s="41" t="str">
        <f aca="false">IF($C122="","",IF(INDEX(Planos!$J$3:$AG$27,$A122,$B122)=0,"",INDEX(Planos!$J$3:$AG$27,$A122,$B122)))</f>
        <v/>
      </c>
      <c r="J122" s="26" t="str">
        <f aca="false">IF($C122="","",IF($I122&lt;&gt;"","Realizada",IF($G122&lt;INT(Parâmetros!$C$4),"Atrasada","Agendada")))</f>
        <v/>
      </c>
      <c r="K122" s="42" t="str">
        <f aca="false">IF($C122="","",IF($I122&lt;&gt;"",$I122-$G122,IF($J122="Atrasada",INT(Parâmetros!$C$4)-$G122,"")))</f>
        <v/>
      </c>
      <c r="L122" s="26" t="str">
        <f aca="false">IF($J122&lt;&gt;"Realizada","",IF($K122&lt;=0,"No prazo",IF($K122&lt;=7,"Até 7 dias",IF($K122&lt;=30,"Até 30 dias","Acima de 30"))))</f>
        <v/>
      </c>
      <c r="M122" s="26" t="str">
        <f aca="false">IF($C122="","",COUNTIFS($G$3:$G122,$G122))</f>
        <v/>
      </c>
      <c r="N122" s="26" t="str">
        <f aca="false">IF($C122="","",$G122&amp;"|"&amp;$M122)</f>
        <v/>
      </c>
    </row>
    <row r="123" customFormat="false" ht="18" hidden="false" customHeight="true" outlineLevel="0" collapsed="false">
      <c r="A123" s="26" t="n">
        <v>6</v>
      </c>
      <c r="B123" s="26" t="n">
        <v>1</v>
      </c>
      <c r="C123" s="26" t="str">
        <f aca="false">IF(INDEX(Planos!$B$3:$B$27,6)="","",IF(1&gt;INDEX(Planos!$G$3:$G$27,6),"",INDEX(Planos!$B$3:$B$27,6)))</f>
        <v>MS-001</v>
      </c>
      <c r="D123" s="40" t="str">
        <f aca="false">IF($C123="","",IFERROR(INDEX(Ativos!$B$3:$B$42,MATCH($C123,Ativos!$A$3:$A$42,0)),""))</f>
        <v>Máquina de solda MIG 350 A</v>
      </c>
      <c r="E123" s="40" t="str">
        <f aca="false">IF($C123="","",INDEX(Planos!$C$3:$C$27,6))</f>
        <v>Preventiva trimestral — tocha e garra</v>
      </c>
      <c r="F123" s="40" t="str">
        <f aca="false">IF($C123="","",INDEX(Planos!$D$3:$D$27,6))</f>
        <v>Manutenção preventiva</v>
      </c>
      <c r="G123" s="41" t="n">
        <f aca="false">IF($C123="",0,INDEX(Planos!$F$3:$F$27,6)+(1-1)*INDEX(Planos!$E$3:$E$27,6))</f>
        <v>46074</v>
      </c>
      <c r="H123" s="40" t="str">
        <f aca="false">IF($C123="","",INDEX(Planos!$H$3:$H$27,6))</f>
        <v>Juliana Reis</v>
      </c>
      <c r="I123" s="41" t="n">
        <f aca="false">IF($C123="","",IF(INDEX(Planos!$J$3:$AG$27,$A123,$B123)=0,"",INDEX(Planos!$J$3:$AG$27,$A123,$B123)))</f>
        <v>46074</v>
      </c>
      <c r="J123" s="26" t="str">
        <f aca="false">IF($C123="","",IF($I123&lt;&gt;"","Realizada",IF($G123&lt;INT(Parâmetros!$C$4),"Atrasada","Agendada")))</f>
        <v>Realizada</v>
      </c>
      <c r="K123" s="42" t="n">
        <f aca="false">IF($C123="","",IF($I123&lt;&gt;"",$I123-$G123,IF($J123="Atrasada",INT(Parâmetros!$C$4)-$G123,"")))</f>
        <v>0</v>
      </c>
      <c r="L123" s="26" t="str">
        <f aca="false">IF($J123&lt;&gt;"Realizada","",IF($K123&lt;=0,"No prazo",IF($K123&lt;=7,"Até 7 dias",IF($K123&lt;=30,"Até 30 dias","Acima de 30"))))</f>
        <v>No prazo</v>
      </c>
      <c r="M123" s="26" t="n">
        <f aca="false">IF($C123="","",COUNTIFS($G$3:$G123,$G123))</f>
        <v>1</v>
      </c>
      <c r="N123" s="26" t="str">
        <f aca="false">IF($C123="","",$G123&amp;"|"&amp;$M123)</f>
        <v>46074|1</v>
      </c>
    </row>
    <row r="124" customFormat="false" ht="18" hidden="false" customHeight="true" outlineLevel="0" collapsed="false">
      <c r="A124" s="26" t="n">
        <v>6</v>
      </c>
      <c r="B124" s="26" t="n">
        <v>2</v>
      </c>
      <c r="C124" s="26" t="str">
        <f aca="false">IF(INDEX(Planos!$B$3:$B$27,6)="","",IF(2&gt;INDEX(Planos!$G$3:$G$27,6),"",INDEX(Planos!$B$3:$B$27,6)))</f>
        <v>MS-001</v>
      </c>
      <c r="D124" s="40" t="str">
        <f aca="false">IF($C124="","",IFERROR(INDEX(Ativos!$B$3:$B$42,MATCH($C124,Ativos!$A$3:$A$42,0)),""))</f>
        <v>Máquina de solda MIG 350 A</v>
      </c>
      <c r="E124" s="40" t="str">
        <f aca="false">IF($C124="","",INDEX(Planos!$C$3:$C$27,6))</f>
        <v>Preventiva trimestral — tocha e garra</v>
      </c>
      <c r="F124" s="40" t="str">
        <f aca="false">IF($C124="","",INDEX(Planos!$D$3:$D$27,6))</f>
        <v>Manutenção preventiva</v>
      </c>
      <c r="G124" s="41" t="n">
        <f aca="false">IF($C124="",0,INDEX(Planos!$F$3:$F$27,6)+(2-1)*INDEX(Planos!$E$3:$E$27,6))</f>
        <v>46164</v>
      </c>
      <c r="H124" s="40" t="str">
        <f aca="false">IF($C124="","",INDEX(Planos!$H$3:$H$27,6))</f>
        <v>Juliana Reis</v>
      </c>
      <c r="I124" s="41" t="n">
        <f aca="false">IF($C124="","",IF(INDEX(Planos!$J$3:$AG$27,$A124,$B124)=0,"",INDEX(Planos!$J$3:$AG$27,$A124,$B124)))</f>
        <v>46176</v>
      </c>
      <c r="J124" s="26" t="str">
        <f aca="false">IF($C124="","",IF($I124&lt;&gt;"","Realizada",IF($G124&lt;INT(Parâmetros!$C$4),"Atrasada","Agendada")))</f>
        <v>Realizada</v>
      </c>
      <c r="K124" s="42" t="n">
        <f aca="false">IF($C124="","",IF($I124&lt;&gt;"",$I124-$G124,IF($J124="Atrasada",INT(Parâmetros!$C$4)-$G124,"")))</f>
        <v>12</v>
      </c>
      <c r="L124" s="26" t="str">
        <f aca="false">IF($J124&lt;&gt;"Realizada","",IF($K124&lt;=0,"No prazo",IF($K124&lt;=7,"Até 7 dias",IF($K124&lt;=30,"Até 30 dias","Acima de 30"))))</f>
        <v>Até 30 dias</v>
      </c>
      <c r="M124" s="26" t="n">
        <f aca="false">IF($C124="","",COUNTIFS($G$3:$G124,$G124))</f>
        <v>1</v>
      </c>
      <c r="N124" s="26" t="str">
        <f aca="false">IF($C124="","",$G124&amp;"|"&amp;$M124)</f>
        <v>46164|1</v>
      </c>
    </row>
    <row r="125" customFormat="false" ht="18" hidden="false" customHeight="true" outlineLevel="0" collapsed="false">
      <c r="A125" s="26" t="n">
        <v>6</v>
      </c>
      <c r="B125" s="26" t="n">
        <v>3</v>
      </c>
      <c r="C125" s="26" t="str">
        <f aca="false">IF(INDEX(Planos!$B$3:$B$27,6)="","",IF(3&gt;INDEX(Planos!$G$3:$G$27,6),"",INDEX(Planos!$B$3:$B$27,6)))</f>
        <v>MS-001</v>
      </c>
      <c r="D125" s="40" t="str">
        <f aca="false">IF($C125="","",IFERROR(INDEX(Ativos!$B$3:$B$42,MATCH($C125,Ativos!$A$3:$A$42,0)),""))</f>
        <v>Máquina de solda MIG 350 A</v>
      </c>
      <c r="E125" s="40" t="str">
        <f aca="false">IF($C125="","",INDEX(Planos!$C$3:$C$27,6))</f>
        <v>Preventiva trimestral — tocha e garra</v>
      </c>
      <c r="F125" s="40" t="str">
        <f aca="false">IF($C125="","",INDEX(Planos!$D$3:$D$27,6))</f>
        <v>Manutenção preventiva</v>
      </c>
      <c r="G125" s="41" t="n">
        <f aca="false">IF($C125="",0,INDEX(Planos!$F$3:$F$27,6)+(3-1)*INDEX(Planos!$E$3:$E$27,6))</f>
        <v>46254</v>
      </c>
      <c r="H125" s="40" t="str">
        <f aca="false">IF($C125="","",INDEX(Planos!$H$3:$H$27,6))</f>
        <v>Juliana Reis</v>
      </c>
      <c r="I125" s="41" t="str">
        <f aca="false">IF($C125="","",IF(INDEX(Planos!$J$3:$AG$27,$A125,$B125)=0,"",INDEX(Planos!$J$3:$AG$27,$A125,$B125)))</f>
        <v/>
      </c>
      <c r="J125" s="26" t="str">
        <f aca="false">IF($C125="","",IF($I125&lt;&gt;"","Realizada",IF($G125&lt;INT(Parâmetros!$C$4),"Atrasada","Agendada")))</f>
        <v>Agendada</v>
      </c>
      <c r="K125" s="42" t="str">
        <f aca="false">IF($C125="","",IF($I125&lt;&gt;"",$I125-$G125,IF($J125="Atrasada",INT(Parâmetros!$C$4)-$G125,"")))</f>
        <v/>
      </c>
      <c r="L125" s="26" t="str">
        <f aca="false">IF($J125&lt;&gt;"Realizada","",IF($K125&lt;=0,"No prazo",IF($K125&lt;=7,"Até 7 dias",IF($K125&lt;=30,"Até 30 dias","Acima de 30"))))</f>
        <v/>
      </c>
      <c r="M125" s="26" t="n">
        <f aca="false">IF($C125="","",COUNTIFS($G$3:$G125,$G125))</f>
        <v>1</v>
      </c>
      <c r="N125" s="26" t="str">
        <f aca="false">IF($C125="","",$G125&amp;"|"&amp;$M125)</f>
        <v>46254|1</v>
      </c>
    </row>
    <row r="126" customFormat="false" ht="18" hidden="false" customHeight="true" outlineLevel="0" collapsed="false">
      <c r="A126" s="26" t="n">
        <v>6</v>
      </c>
      <c r="B126" s="26" t="n">
        <v>4</v>
      </c>
      <c r="C126" s="26" t="str">
        <f aca="false">IF(INDEX(Planos!$B$3:$B$27,6)="","",IF(4&gt;INDEX(Planos!$G$3:$G$27,6),"",INDEX(Planos!$B$3:$B$27,6)))</f>
        <v>MS-001</v>
      </c>
      <c r="D126" s="40" t="str">
        <f aca="false">IF($C126="","",IFERROR(INDEX(Ativos!$B$3:$B$42,MATCH($C126,Ativos!$A$3:$A$42,0)),""))</f>
        <v>Máquina de solda MIG 350 A</v>
      </c>
      <c r="E126" s="40" t="str">
        <f aca="false">IF($C126="","",INDEX(Planos!$C$3:$C$27,6))</f>
        <v>Preventiva trimestral — tocha e garra</v>
      </c>
      <c r="F126" s="40" t="str">
        <f aca="false">IF($C126="","",INDEX(Planos!$D$3:$D$27,6))</f>
        <v>Manutenção preventiva</v>
      </c>
      <c r="G126" s="41" t="n">
        <f aca="false">IF($C126="",0,INDEX(Planos!$F$3:$F$27,6)+(4-1)*INDEX(Planos!$E$3:$E$27,6))</f>
        <v>46344</v>
      </c>
      <c r="H126" s="40" t="str">
        <f aca="false">IF($C126="","",INDEX(Planos!$H$3:$H$27,6))</f>
        <v>Juliana Reis</v>
      </c>
      <c r="I126" s="41" t="str">
        <f aca="false">IF($C126="","",IF(INDEX(Planos!$J$3:$AG$27,$A126,$B126)=0,"",INDEX(Planos!$J$3:$AG$27,$A126,$B126)))</f>
        <v/>
      </c>
      <c r="J126" s="26" t="str">
        <f aca="false">IF($C126="","",IF($I126&lt;&gt;"","Realizada",IF($G126&lt;INT(Parâmetros!$C$4),"Atrasada","Agendada")))</f>
        <v>Agendada</v>
      </c>
      <c r="K126" s="42" t="str">
        <f aca="false">IF($C126="","",IF($I126&lt;&gt;"",$I126-$G126,IF($J126="Atrasada",INT(Parâmetros!$C$4)-$G126,"")))</f>
        <v/>
      </c>
      <c r="L126" s="26" t="str">
        <f aca="false">IF($J126&lt;&gt;"Realizada","",IF($K126&lt;=0,"No prazo",IF($K126&lt;=7,"Até 7 dias",IF($K126&lt;=30,"Até 30 dias","Acima de 30"))))</f>
        <v/>
      </c>
      <c r="M126" s="26" t="n">
        <f aca="false">IF($C126="","",COUNTIFS($G$3:$G126,$G126))</f>
        <v>1</v>
      </c>
      <c r="N126" s="26" t="str">
        <f aca="false">IF($C126="","",$G126&amp;"|"&amp;$M126)</f>
        <v>46344|1</v>
      </c>
    </row>
    <row r="127" customFormat="false" ht="18" hidden="false" customHeight="true" outlineLevel="0" collapsed="false">
      <c r="A127" s="26" t="n">
        <v>6</v>
      </c>
      <c r="B127" s="26" t="n">
        <v>5</v>
      </c>
      <c r="C127" s="26" t="str">
        <f aca="false">IF(INDEX(Planos!$B$3:$B$27,6)="","",IF(5&gt;INDEX(Planos!$G$3:$G$27,6),"",INDEX(Planos!$B$3:$B$27,6)))</f>
        <v>MS-001</v>
      </c>
      <c r="D127" s="40" t="str">
        <f aca="false">IF($C127="","",IFERROR(INDEX(Ativos!$B$3:$B$42,MATCH($C127,Ativos!$A$3:$A$42,0)),""))</f>
        <v>Máquina de solda MIG 350 A</v>
      </c>
      <c r="E127" s="40" t="str">
        <f aca="false">IF($C127="","",INDEX(Planos!$C$3:$C$27,6))</f>
        <v>Preventiva trimestral — tocha e garra</v>
      </c>
      <c r="F127" s="40" t="str">
        <f aca="false">IF($C127="","",INDEX(Planos!$D$3:$D$27,6))</f>
        <v>Manutenção preventiva</v>
      </c>
      <c r="G127" s="41" t="n">
        <f aca="false">IF($C127="",0,INDEX(Planos!$F$3:$F$27,6)+(5-1)*INDEX(Planos!$E$3:$E$27,6))</f>
        <v>46434</v>
      </c>
      <c r="H127" s="40" t="str">
        <f aca="false">IF($C127="","",INDEX(Planos!$H$3:$H$27,6))</f>
        <v>Juliana Reis</v>
      </c>
      <c r="I127" s="41" t="str">
        <f aca="false">IF($C127="","",IF(INDEX(Planos!$J$3:$AG$27,$A127,$B127)=0,"",INDEX(Planos!$J$3:$AG$27,$A127,$B127)))</f>
        <v/>
      </c>
      <c r="J127" s="26" t="str">
        <f aca="false">IF($C127="","",IF($I127&lt;&gt;"","Realizada",IF($G127&lt;INT(Parâmetros!$C$4),"Atrasada","Agendada")))</f>
        <v>Agendada</v>
      </c>
      <c r="K127" s="42" t="str">
        <f aca="false">IF($C127="","",IF($I127&lt;&gt;"",$I127-$G127,IF($J127="Atrasada",INT(Parâmetros!$C$4)-$G127,"")))</f>
        <v/>
      </c>
      <c r="L127" s="26" t="str">
        <f aca="false">IF($J127&lt;&gt;"Realizada","",IF($K127&lt;=0,"No prazo",IF($K127&lt;=7,"Até 7 dias",IF($K127&lt;=30,"Até 30 dias","Acima de 30"))))</f>
        <v/>
      </c>
      <c r="M127" s="26" t="n">
        <f aca="false">IF($C127="","",COUNTIFS($G$3:$G127,$G127))</f>
        <v>1</v>
      </c>
      <c r="N127" s="26" t="str">
        <f aca="false">IF($C127="","",$G127&amp;"|"&amp;$M127)</f>
        <v>46434|1</v>
      </c>
    </row>
    <row r="128" customFormat="false" ht="18" hidden="false" customHeight="true" outlineLevel="0" collapsed="false">
      <c r="A128" s="26" t="n">
        <v>6</v>
      </c>
      <c r="B128" s="26" t="n">
        <v>6</v>
      </c>
      <c r="C128" s="26" t="str">
        <f aca="false">IF(INDEX(Planos!$B$3:$B$27,6)="","",IF(6&gt;INDEX(Planos!$G$3:$G$27,6),"",INDEX(Planos!$B$3:$B$27,6)))</f>
        <v>MS-001</v>
      </c>
      <c r="D128" s="40" t="str">
        <f aca="false">IF($C128="","",IFERROR(INDEX(Ativos!$B$3:$B$42,MATCH($C128,Ativos!$A$3:$A$42,0)),""))</f>
        <v>Máquina de solda MIG 350 A</v>
      </c>
      <c r="E128" s="40" t="str">
        <f aca="false">IF($C128="","",INDEX(Planos!$C$3:$C$27,6))</f>
        <v>Preventiva trimestral — tocha e garra</v>
      </c>
      <c r="F128" s="40" t="str">
        <f aca="false">IF($C128="","",INDEX(Planos!$D$3:$D$27,6))</f>
        <v>Manutenção preventiva</v>
      </c>
      <c r="G128" s="41" t="n">
        <f aca="false">IF($C128="",0,INDEX(Planos!$F$3:$F$27,6)+(6-1)*INDEX(Planos!$E$3:$E$27,6))</f>
        <v>46524</v>
      </c>
      <c r="H128" s="40" t="str">
        <f aca="false">IF($C128="","",INDEX(Planos!$H$3:$H$27,6))</f>
        <v>Juliana Reis</v>
      </c>
      <c r="I128" s="41" t="str">
        <f aca="false">IF($C128="","",IF(INDEX(Planos!$J$3:$AG$27,$A128,$B128)=0,"",INDEX(Planos!$J$3:$AG$27,$A128,$B128)))</f>
        <v/>
      </c>
      <c r="J128" s="26" t="str">
        <f aca="false">IF($C128="","",IF($I128&lt;&gt;"","Realizada",IF($G128&lt;INT(Parâmetros!$C$4),"Atrasada","Agendada")))</f>
        <v>Agendada</v>
      </c>
      <c r="K128" s="42" t="str">
        <f aca="false">IF($C128="","",IF($I128&lt;&gt;"",$I128-$G128,IF($J128="Atrasada",INT(Parâmetros!$C$4)-$G128,"")))</f>
        <v/>
      </c>
      <c r="L128" s="26" t="str">
        <f aca="false">IF($J128&lt;&gt;"Realizada","",IF($K128&lt;=0,"No prazo",IF($K128&lt;=7,"Até 7 dias",IF($K128&lt;=30,"Até 30 dias","Acima de 30"))))</f>
        <v/>
      </c>
      <c r="M128" s="26" t="n">
        <f aca="false">IF($C128="","",COUNTIFS($G$3:$G128,$G128))</f>
        <v>1</v>
      </c>
      <c r="N128" s="26" t="str">
        <f aca="false">IF($C128="","",$G128&amp;"|"&amp;$M128)</f>
        <v>46524|1</v>
      </c>
    </row>
    <row r="129" customFormat="false" ht="18" hidden="false" customHeight="true" outlineLevel="0" collapsed="false">
      <c r="A129" s="26" t="n">
        <v>6</v>
      </c>
      <c r="B129" s="26" t="n">
        <v>7</v>
      </c>
      <c r="C129" s="26" t="str">
        <f aca="false">IF(INDEX(Planos!$B$3:$B$27,6)="","",IF(7&gt;INDEX(Planos!$G$3:$G$27,6),"",INDEX(Planos!$B$3:$B$27,6)))</f>
        <v>MS-001</v>
      </c>
      <c r="D129" s="40" t="str">
        <f aca="false">IF($C129="","",IFERROR(INDEX(Ativos!$B$3:$B$42,MATCH($C129,Ativos!$A$3:$A$42,0)),""))</f>
        <v>Máquina de solda MIG 350 A</v>
      </c>
      <c r="E129" s="40" t="str">
        <f aca="false">IF($C129="","",INDEX(Planos!$C$3:$C$27,6))</f>
        <v>Preventiva trimestral — tocha e garra</v>
      </c>
      <c r="F129" s="40" t="str">
        <f aca="false">IF($C129="","",INDEX(Planos!$D$3:$D$27,6))</f>
        <v>Manutenção preventiva</v>
      </c>
      <c r="G129" s="41" t="n">
        <f aca="false">IF($C129="",0,INDEX(Planos!$F$3:$F$27,6)+(7-1)*INDEX(Planos!$E$3:$E$27,6))</f>
        <v>46614</v>
      </c>
      <c r="H129" s="40" t="str">
        <f aca="false">IF($C129="","",INDEX(Planos!$H$3:$H$27,6))</f>
        <v>Juliana Reis</v>
      </c>
      <c r="I129" s="41" t="str">
        <f aca="false">IF($C129="","",IF(INDEX(Planos!$J$3:$AG$27,$A129,$B129)=0,"",INDEX(Planos!$J$3:$AG$27,$A129,$B129)))</f>
        <v/>
      </c>
      <c r="J129" s="26" t="str">
        <f aca="false">IF($C129="","",IF($I129&lt;&gt;"","Realizada",IF($G129&lt;INT(Parâmetros!$C$4),"Atrasada","Agendada")))</f>
        <v>Agendada</v>
      </c>
      <c r="K129" s="42" t="str">
        <f aca="false">IF($C129="","",IF($I129&lt;&gt;"",$I129-$G129,IF($J129="Atrasada",INT(Parâmetros!$C$4)-$G129,"")))</f>
        <v/>
      </c>
      <c r="L129" s="26" t="str">
        <f aca="false">IF($J129&lt;&gt;"Realizada","",IF($K129&lt;=0,"No prazo",IF($K129&lt;=7,"Até 7 dias",IF($K129&lt;=30,"Até 30 dias","Acima de 30"))))</f>
        <v/>
      </c>
      <c r="M129" s="26" t="n">
        <f aca="false">IF($C129="","",COUNTIFS($G$3:$G129,$G129))</f>
        <v>1</v>
      </c>
      <c r="N129" s="26" t="str">
        <f aca="false">IF($C129="","",$G129&amp;"|"&amp;$M129)</f>
        <v>46614|1</v>
      </c>
    </row>
    <row r="130" customFormat="false" ht="18" hidden="false" customHeight="true" outlineLevel="0" collapsed="false">
      <c r="A130" s="26" t="n">
        <v>6</v>
      </c>
      <c r="B130" s="26" t="n">
        <v>8</v>
      </c>
      <c r="C130" s="26" t="str">
        <f aca="false">IF(INDEX(Planos!$B$3:$B$27,6)="","",IF(8&gt;INDEX(Planos!$G$3:$G$27,6),"",INDEX(Planos!$B$3:$B$27,6)))</f>
        <v>MS-001</v>
      </c>
      <c r="D130" s="40" t="str">
        <f aca="false">IF($C130="","",IFERROR(INDEX(Ativos!$B$3:$B$42,MATCH($C130,Ativos!$A$3:$A$42,0)),""))</f>
        <v>Máquina de solda MIG 350 A</v>
      </c>
      <c r="E130" s="40" t="str">
        <f aca="false">IF($C130="","",INDEX(Planos!$C$3:$C$27,6))</f>
        <v>Preventiva trimestral — tocha e garra</v>
      </c>
      <c r="F130" s="40" t="str">
        <f aca="false">IF($C130="","",INDEX(Planos!$D$3:$D$27,6))</f>
        <v>Manutenção preventiva</v>
      </c>
      <c r="G130" s="41" t="n">
        <f aca="false">IF($C130="",0,INDEX(Planos!$F$3:$F$27,6)+(8-1)*INDEX(Planos!$E$3:$E$27,6))</f>
        <v>46704</v>
      </c>
      <c r="H130" s="40" t="str">
        <f aca="false">IF($C130="","",INDEX(Planos!$H$3:$H$27,6))</f>
        <v>Juliana Reis</v>
      </c>
      <c r="I130" s="41" t="str">
        <f aca="false">IF($C130="","",IF(INDEX(Planos!$J$3:$AG$27,$A130,$B130)=0,"",INDEX(Planos!$J$3:$AG$27,$A130,$B130)))</f>
        <v/>
      </c>
      <c r="J130" s="26" t="str">
        <f aca="false">IF($C130="","",IF($I130&lt;&gt;"","Realizada",IF($G130&lt;INT(Parâmetros!$C$4),"Atrasada","Agendada")))</f>
        <v>Agendada</v>
      </c>
      <c r="K130" s="42" t="str">
        <f aca="false">IF($C130="","",IF($I130&lt;&gt;"",$I130-$G130,IF($J130="Atrasada",INT(Parâmetros!$C$4)-$G130,"")))</f>
        <v/>
      </c>
      <c r="L130" s="26" t="str">
        <f aca="false">IF($J130&lt;&gt;"Realizada","",IF($K130&lt;=0,"No prazo",IF($K130&lt;=7,"Até 7 dias",IF($K130&lt;=30,"Até 30 dias","Acima de 30"))))</f>
        <v/>
      </c>
      <c r="M130" s="26" t="n">
        <f aca="false">IF($C130="","",COUNTIFS($G$3:$G130,$G130))</f>
        <v>1</v>
      </c>
      <c r="N130" s="26" t="str">
        <f aca="false">IF($C130="","",$G130&amp;"|"&amp;$M130)</f>
        <v>46704|1</v>
      </c>
    </row>
    <row r="131" customFormat="false" ht="18" hidden="false" customHeight="true" outlineLevel="0" collapsed="false">
      <c r="A131" s="26" t="n">
        <v>6</v>
      </c>
      <c r="B131" s="26" t="n">
        <v>9</v>
      </c>
      <c r="C131" s="26" t="str">
        <f aca="false">IF(INDEX(Planos!$B$3:$B$27,6)="","",IF(9&gt;INDEX(Planos!$G$3:$G$27,6),"",INDEX(Planos!$B$3:$B$27,6)))</f>
        <v>MS-001</v>
      </c>
      <c r="D131" s="40" t="str">
        <f aca="false">IF($C131="","",IFERROR(INDEX(Ativos!$B$3:$B$42,MATCH($C131,Ativos!$A$3:$A$42,0)),""))</f>
        <v>Máquina de solda MIG 350 A</v>
      </c>
      <c r="E131" s="40" t="str">
        <f aca="false">IF($C131="","",INDEX(Planos!$C$3:$C$27,6))</f>
        <v>Preventiva trimestral — tocha e garra</v>
      </c>
      <c r="F131" s="40" t="str">
        <f aca="false">IF($C131="","",INDEX(Planos!$D$3:$D$27,6))</f>
        <v>Manutenção preventiva</v>
      </c>
      <c r="G131" s="41" t="n">
        <f aca="false">IF($C131="",0,INDEX(Planos!$F$3:$F$27,6)+(9-1)*INDEX(Planos!$E$3:$E$27,6))</f>
        <v>46794</v>
      </c>
      <c r="H131" s="40" t="str">
        <f aca="false">IF($C131="","",INDEX(Planos!$H$3:$H$27,6))</f>
        <v>Juliana Reis</v>
      </c>
      <c r="I131" s="41" t="str">
        <f aca="false">IF($C131="","",IF(INDEX(Planos!$J$3:$AG$27,$A131,$B131)=0,"",INDEX(Planos!$J$3:$AG$27,$A131,$B131)))</f>
        <v/>
      </c>
      <c r="J131" s="26" t="str">
        <f aca="false">IF($C131="","",IF($I131&lt;&gt;"","Realizada",IF($G131&lt;INT(Parâmetros!$C$4),"Atrasada","Agendada")))</f>
        <v>Agendada</v>
      </c>
      <c r="K131" s="42" t="str">
        <f aca="false">IF($C131="","",IF($I131&lt;&gt;"",$I131-$G131,IF($J131="Atrasada",INT(Parâmetros!$C$4)-$G131,"")))</f>
        <v/>
      </c>
      <c r="L131" s="26" t="str">
        <f aca="false">IF($J131&lt;&gt;"Realizada","",IF($K131&lt;=0,"No prazo",IF($K131&lt;=7,"Até 7 dias",IF($K131&lt;=30,"Até 30 dias","Acima de 30"))))</f>
        <v/>
      </c>
      <c r="M131" s="26" t="n">
        <f aca="false">IF($C131="","",COUNTIFS($G$3:$G131,$G131))</f>
        <v>1</v>
      </c>
      <c r="N131" s="26" t="str">
        <f aca="false">IF($C131="","",$G131&amp;"|"&amp;$M131)</f>
        <v>46794|1</v>
      </c>
    </row>
    <row r="132" customFormat="false" ht="18" hidden="false" customHeight="true" outlineLevel="0" collapsed="false">
      <c r="A132" s="26" t="n">
        <v>6</v>
      </c>
      <c r="B132" s="26" t="n">
        <v>10</v>
      </c>
      <c r="C132" s="26" t="str">
        <f aca="false">IF(INDEX(Planos!$B$3:$B$27,6)="","",IF(10&gt;INDEX(Planos!$G$3:$G$27,6),"",INDEX(Planos!$B$3:$B$27,6)))</f>
        <v>MS-001</v>
      </c>
      <c r="D132" s="40" t="str">
        <f aca="false">IF($C132="","",IFERROR(INDEX(Ativos!$B$3:$B$42,MATCH($C132,Ativos!$A$3:$A$42,0)),""))</f>
        <v>Máquina de solda MIG 350 A</v>
      </c>
      <c r="E132" s="40" t="str">
        <f aca="false">IF($C132="","",INDEX(Planos!$C$3:$C$27,6))</f>
        <v>Preventiva trimestral — tocha e garra</v>
      </c>
      <c r="F132" s="40" t="str">
        <f aca="false">IF($C132="","",INDEX(Planos!$D$3:$D$27,6))</f>
        <v>Manutenção preventiva</v>
      </c>
      <c r="G132" s="41" t="n">
        <f aca="false">IF($C132="",0,INDEX(Planos!$F$3:$F$27,6)+(10-1)*INDEX(Planos!$E$3:$E$27,6))</f>
        <v>46884</v>
      </c>
      <c r="H132" s="40" t="str">
        <f aca="false">IF($C132="","",INDEX(Planos!$H$3:$H$27,6))</f>
        <v>Juliana Reis</v>
      </c>
      <c r="I132" s="41" t="str">
        <f aca="false">IF($C132="","",IF(INDEX(Planos!$J$3:$AG$27,$A132,$B132)=0,"",INDEX(Planos!$J$3:$AG$27,$A132,$B132)))</f>
        <v/>
      </c>
      <c r="J132" s="26" t="str">
        <f aca="false">IF($C132="","",IF($I132&lt;&gt;"","Realizada",IF($G132&lt;INT(Parâmetros!$C$4),"Atrasada","Agendada")))</f>
        <v>Agendada</v>
      </c>
      <c r="K132" s="42" t="str">
        <f aca="false">IF($C132="","",IF($I132&lt;&gt;"",$I132-$G132,IF($J132="Atrasada",INT(Parâmetros!$C$4)-$G132,"")))</f>
        <v/>
      </c>
      <c r="L132" s="26" t="str">
        <f aca="false">IF($J132&lt;&gt;"Realizada","",IF($K132&lt;=0,"No prazo",IF($K132&lt;=7,"Até 7 dias",IF($K132&lt;=30,"Até 30 dias","Acima de 30"))))</f>
        <v/>
      </c>
      <c r="M132" s="26" t="n">
        <f aca="false">IF($C132="","",COUNTIFS($G$3:$G132,$G132))</f>
        <v>1</v>
      </c>
      <c r="N132" s="26" t="str">
        <f aca="false">IF($C132="","",$G132&amp;"|"&amp;$M132)</f>
        <v>46884|1</v>
      </c>
    </row>
    <row r="133" customFormat="false" ht="18" hidden="false" customHeight="true" outlineLevel="0" collapsed="false">
      <c r="A133" s="26" t="n">
        <v>6</v>
      </c>
      <c r="B133" s="26" t="n">
        <v>11</v>
      </c>
      <c r="C133" s="26" t="str">
        <f aca="false">IF(INDEX(Planos!$B$3:$B$27,6)="","",IF(11&gt;INDEX(Planos!$G$3:$G$27,6),"",INDEX(Planos!$B$3:$B$27,6)))</f>
        <v>MS-001</v>
      </c>
      <c r="D133" s="40" t="str">
        <f aca="false">IF($C133="","",IFERROR(INDEX(Ativos!$B$3:$B$42,MATCH($C133,Ativos!$A$3:$A$42,0)),""))</f>
        <v>Máquina de solda MIG 350 A</v>
      </c>
      <c r="E133" s="40" t="str">
        <f aca="false">IF($C133="","",INDEX(Planos!$C$3:$C$27,6))</f>
        <v>Preventiva trimestral — tocha e garra</v>
      </c>
      <c r="F133" s="40" t="str">
        <f aca="false">IF($C133="","",INDEX(Planos!$D$3:$D$27,6))</f>
        <v>Manutenção preventiva</v>
      </c>
      <c r="G133" s="41" t="n">
        <f aca="false">IF($C133="",0,INDEX(Planos!$F$3:$F$27,6)+(11-1)*INDEX(Planos!$E$3:$E$27,6))</f>
        <v>46974</v>
      </c>
      <c r="H133" s="40" t="str">
        <f aca="false">IF($C133="","",INDEX(Planos!$H$3:$H$27,6))</f>
        <v>Juliana Reis</v>
      </c>
      <c r="I133" s="41" t="str">
        <f aca="false">IF($C133="","",IF(INDEX(Planos!$J$3:$AG$27,$A133,$B133)=0,"",INDEX(Planos!$J$3:$AG$27,$A133,$B133)))</f>
        <v/>
      </c>
      <c r="J133" s="26" t="str">
        <f aca="false">IF($C133="","",IF($I133&lt;&gt;"","Realizada",IF($G133&lt;INT(Parâmetros!$C$4),"Atrasada","Agendada")))</f>
        <v>Agendada</v>
      </c>
      <c r="K133" s="42" t="str">
        <f aca="false">IF($C133="","",IF($I133&lt;&gt;"",$I133-$G133,IF($J133="Atrasada",INT(Parâmetros!$C$4)-$G133,"")))</f>
        <v/>
      </c>
      <c r="L133" s="26" t="str">
        <f aca="false">IF($J133&lt;&gt;"Realizada","",IF($K133&lt;=0,"No prazo",IF($K133&lt;=7,"Até 7 dias",IF($K133&lt;=30,"Até 30 dias","Acima de 30"))))</f>
        <v/>
      </c>
      <c r="M133" s="26" t="n">
        <f aca="false">IF($C133="","",COUNTIFS($G$3:$G133,$G133))</f>
        <v>1</v>
      </c>
      <c r="N133" s="26" t="str">
        <f aca="false">IF($C133="","",$G133&amp;"|"&amp;$M133)</f>
        <v>46974|1</v>
      </c>
    </row>
    <row r="134" customFormat="false" ht="18" hidden="false" customHeight="true" outlineLevel="0" collapsed="false">
      <c r="A134" s="26" t="n">
        <v>6</v>
      </c>
      <c r="B134" s="26" t="n">
        <v>12</v>
      </c>
      <c r="C134" s="26" t="str">
        <f aca="false">IF(INDEX(Planos!$B$3:$B$27,6)="","",IF(12&gt;INDEX(Planos!$G$3:$G$27,6),"",INDEX(Planos!$B$3:$B$27,6)))</f>
        <v>MS-001</v>
      </c>
      <c r="D134" s="40" t="str">
        <f aca="false">IF($C134="","",IFERROR(INDEX(Ativos!$B$3:$B$42,MATCH($C134,Ativos!$A$3:$A$42,0)),""))</f>
        <v>Máquina de solda MIG 350 A</v>
      </c>
      <c r="E134" s="40" t="str">
        <f aca="false">IF($C134="","",INDEX(Planos!$C$3:$C$27,6))</f>
        <v>Preventiva trimestral — tocha e garra</v>
      </c>
      <c r="F134" s="40" t="str">
        <f aca="false">IF($C134="","",INDEX(Planos!$D$3:$D$27,6))</f>
        <v>Manutenção preventiva</v>
      </c>
      <c r="G134" s="41" t="n">
        <f aca="false">IF($C134="",0,INDEX(Planos!$F$3:$F$27,6)+(12-1)*INDEX(Planos!$E$3:$E$27,6))</f>
        <v>47064</v>
      </c>
      <c r="H134" s="40" t="str">
        <f aca="false">IF($C134="","",INDEX(Planos!$H$3:$H$27,6))</f>
        <v>Juliana Reis</v>
      </c>
      <c r="I134" s="41" t="str">
        <f aca="false">IF($C134="","",IF(INDEX(Planos!$J$3:$AG$27,$A134,$B134)=0,"",INDEX(Planos!$J$3:$AG$27,$A134,$B134)))</f>
        <v/>
      </c>
      <c r="J134" s="26" t="str">
        <f aca="false">IF($C134="","",IF($I134&lt;&gt;"","Realizada",IF($G134&lt;INT(Parâmetros!$C$4),"Atrasada","Agendada")))</f>
        <v>Agendada</v>
      </c>
      <c r="K134" s="42" t="str">
        <f aca="false">IF($C134="","",IF($I134&lt;&gt;"",$I134-$G134,IF($J134="Atrasada",INT(Parâmetros!$C$4)-$G134,"")))</f>
        <v/>
      </c>
      <c r="L134" s="26" t="str">
        <f aca="false">IF($J134&lt;&gt;"Realizada","",IF($K134&lt;=0,"No prazo",IF($K134&lt;=7,"Até 7 dias",IF($K134&lt;=30,"Até 30 dias","Acima de 30"))))</f>
        <v/>
      </c>
      <c r="M134" s="26" t="n">
        <f aca="false">IF($C134="","",COUNTIFS($G$3:$G134,$G134))</f>
        <v>1</v>
      </c>
      <c r="N134" s="26" t="str">
        <f aca="false">IF($C134="","",$G134&amp;"|"&amp;$M134)</f>
        <v>47064|1</v>
      </c>
    </row>
    <row r="135" customFormat="false" ht="18" hidden="false" customHeight="true" outlineLevel="0" collapsed="false">
      <c r="A135" s="26" t="n">
        <v>6</v>
      </c>
      <c r="B135" s="26" t="n">
        <v>13</v>
      </c>
      <c r="C135" s="26" t="str">
        <f aca="false">IF(INDEX(Planos!$B$3:$B$27,6)="","",IF(13&gt;INDEX(Planos!$G$3:$G$27,6),"",INDEX(Planos!$B$3:$B$27,6)))</f>
        <v/>
      </c>
      <c r="D135" s="40" t="str">
        <f aca="false">IF($C135="","",IFERROR(INDEX(Ativos!$B$3:$B$42,MATCH($C135,Ativos!$A$3:$A$42,0)),""))</f>
        <v/>
      </c>
      <c r="E135" s="40" t="str">
        <f aca="false">IF($C135="","",INDEX(Planos!$C$3:$C$27,6))</f>
        <v/>
      </c>
      <c r="F135" s="40" t="str">
        <f aca="false">IF($C135="","",INDEX(Planos!$D$3:$D$27,6))</f>
        <v/>
      </c>
      <c r="G135" s="41" t="n">
        <f aca="false">IF($C135="",0,INDEX(Planos!$F$3:$F$27,6)+(13-1)*INDEX(Planos!$E$3:$E$27,6))</f>
        <v>0</v>
      </c>
      <c r="H135" s="40" t="str">
        <f aca="false">IF($C135="","",INDEX(Planos!$H$3:$H$27,6))</f>
        <v/>
      </c>
      <c r="I135" s="41" t="str">
        <f aca="false">IF($C135="","",IF(INDEX(Planos!$J$3:$AG$27,$A135,$B135)=0,"",INDEX(Planos!$J$3:$AG$27,$A135,$B135)))</f>
        <v/>
      </c>
      <c r="J135" s="26" t="str">
        <f aca="false">IF($C135="","",IF($I135&lt;&gt;"","Realizada",IF($G135&lt;INT(Parâmetros!$C$4),"Atrasada","Agendada")))</f>
        <v/>
      </c>
      <c r="K135" s="42" t="str">
        <f aca="false">IF($C135="","",IF($I135&lt;&gt;"",$I135-$G135,IF($J135="Atrasada",INT(Parâmetros!$C$4)-$G135,"")))</f>
        <v/>
      </c>
      <c r="L135" s="26" t="str">
        <f aca="false">IF($J135&lt;&gt;"Realizada","",IF($K135&lt;=0,"No prazo",IF($K135&lt;=7,"Até 7 dias",IF($K135&lt;=30,"Até 30 dias","Acima de 30"))))</f>
        <v/>
      </c>
      <c r="M135" s="26" t="str">
        <f aca="false">IF($C135="","",COUNTIFS($G$3:$G135,$G135))</f>
        <v/>
      </c>
      <c r="N135" s="26" t="str">
        <f aca="false">IF($C135="","",$G135&amp;"|"&amp;$M135)</f>
        <v/>
      </c>
    </row>
    <row r="136" customFormat="false" ht="18" hidden="false" customHeight="true" outlineLevel="0" collapsed="false">
      <c r="A136" s="26" t="n">
        <v>6</v>
      </c>
      <c r="B136" s="26" t="n">
        <v>14</v>
      </c>
      <c r="C136" s="26" t="str">
        <f aca="false">IF(INDEX(Planos!$B$3:$B$27,6)="","",IF(14&gt;INDEX(Planos!$G$3:$G$27,6),"",INDEX(Planos!$B$3:$B$27,6)))</f>
        <v/>
      </c>
      <c r="D136" s="40" t="str">
        <f aca="false">IF($C136="","",IFERROR(INDEX(Ativos!$B$3:$B$42,MATCH($C136,Ativos!$A$3:$A$42,0)),""))</f>
        <v/>
      </c>
      <c r="E136" s="40" t="str">
        <f aca="false">IF($C136="","",INDEX(Planos!$C$3:$C$27,6))</f>
        <v/>
      </c>
      <c r="F136" s="40" t="str">
        <f aca="false">IF($C136="","",INDEX(Planos!$D$3:$D$27,6))</f>
        <v/>
      </c>
      <c r="G136" s="41" t="n">
        <f aca="false">IF($C136="",0,INDEX(Planos!$F$3:$F$27,6)+(14-1)*INDEX(Planos!$E$3:$E$27,6))</f>
        <v>0</v>
      </c>
      <c r="H136" s="40" t="str">
        <f aca="false">IF($C136="","",INDEX(Planos!$H$3:$H$27,6))</f>
        <v/>
      </c>
      <c r="I136" s="41" t="str">
        <f aca="false">IF($C136="","",IF(INDEX(Planos!$J$3:$AG$27,$A136,$B136)=0,"",INDEX(Planos!$J$3:$AG$27,$A136,$B136)))</f>
        <v/>
      </c>
      <c r="J136" s="26" t="str">
        <f aca="false">IF($C136="","",IF($I136&lt;&gt;"","Realizada",IF($G136&lt;INT(Parâmetros!$C$4),"Atrasada","Agendada")))</f>
        <v/>
      </c>
      <c r="K136" s="42" t="str">
        <f aca="false">IF($C136="","",IF($I136&lt;&gt;"",$I136-$G136,IF($J136="Atrasada",INT(Parâmetros!$C$4)-$G136,"")))</f>
        <v/>
      </c>
      <c r="L136" s="26" t="str">
        <f aca="false">IF($J136&lt;&gt;"Realizada","",IF($K136&lt;=0,"No prazo",IF($K136&lt;=7,"Até 7 dias",IF($K136&lt;=30,"Até 30 dias","Acima de 30"))))</f>
        <v/>
      </c>
      <c r="M136" s="26" t="str">
        <f aca="false">IF($C136="","",COUNTIFS($G$3:$G136,$G136))</f>
        <v/>
      </c>
      <c r="N136" s="26" t="str">
        <f aca="false">IF($C136="","",$G136&amp;"|"&amp;$M136)</f>
        <v/>
      </c>
    </row>
    <row r="137" customFormat="false" ht="18" hidden="false" customHeight="true" outlineLevel="0" collapsed="false">
      <c r="A137" s="26" t="n">
        <v>6</v>
      </c>
      <c r="B137" s="26" t="n">
        <v>15</v>
      </c>
      <c r="C137" s="26" t="str">
        <f aca="false">IF(INDEX(Planos!$B$3:$B$27,6)="","",IF(15&gt;INDEX(Planos!$G$3:$G$27,6),"",INDEX(Planos!$B$3:$B$27,6)))</f>
        <v/>
      </c>
      <c r="D137" s="40" t="str">
        <f aca="false">IF($C137="","",IFERROR(INDEX(Ativos!$B$3:$B$42,MATCH($C137,Ativos!$A$3:$A$42,0)),""))</f>
        <v/>
      </c>
      <c r="E137" s="40" t="str">
        <f aca="false">IF($C137="","",INDEX(Planos!$C$3:$C$27,6))</f>
        <v/>
      </c>
      <c r="F137" s="40" t="str">
        <f aca="false">IF($C137="","",INDEX(Planos!$D$3:$D$27,6))</f>
        <v/>
      </c>
      <c r="G137" s="41" t="n">
        <f aca="false">IF($C137="",0,INDEX(Planos!$F$3:$F$27,6)+(15-1)*INDEX(Planos!$E$3:$E$27,6))</f>
        <v>0</v>
      </c>
      <c r="H137" s="40" t="str">
        <f aca="false">IF($C137="","",INDEX(Planos!$H$3:$H$27,6))</f>
        <v/>
      </c>
      <c r="I137" s="41" t="str">
        <f aca="false">IF($C137="","",IF(INDEX(Planos!$J$3:$AG$27,$A137,$B137)=0,"",INDEX(Planos!$J$3:$AG$27,$A137,$B137)))</f>
        <v/>
      </c>
      <c r="J137" s="26" t="str">
        <f aca="false">IF($C137="","",IF($I137&lt;&gt;"","Realizada",IF($G137&lt;INT(Parâmetros!$C$4),"Atrasada","Agendada")))</f>
        <v/>
      </c>
      <c r="K137" s="42" t="str">
        <f aca="false">IF($C137="","",IF($I137&lt;&gt;"",$I137-$G137,IF($J137="Atrasada",INT(Parâmetros!$C$4)-$G137,"")))</f>
        <v/>
      </c>
      <c r="L137" s="26" t="str">
        <f aca="false">IF($J137&lt;&gt;"Realizada","",IF($K137&lt;=0,"No prazo",IF($K137&lt;=7,"Até 7 dias",IF($K137&lt;=30,"Até 30 dias","Acima de 30"))))</f>
        <v/>
      </c>
      <c r="M137" s="26" t="str">
        <f aca="false">IF($C137="","",COUNTIFS($G$3:$G137,$G137))</f>
        <v/>
      </c>
      <c r="N137" s="26" t="str">
        <f aca="false">IF($C137="","",$G137&amp;"|"&amp;$M137)</f>
        <v/>
      </c>
    </row>
    <row r="138" customFormat="false" ht="18" hidden="false" customHeight="true" outlineLevel="0" collapsed="false">
      <c r="A138" s="26" t="n">
        <v>6</v>
      </c>
      <c r="B138" s="26" t="n">
        <v>16</v>
      </c>
      <c r="C138" s="26" t="str">
        <f aca="false">IF(INDEX(Planos!$B$3:$B$27,6)="","",IF(16&gt;INDEX(Planos!$G$3:$G$27,6),"",INDEX(Planos!$B$3:$B$27,6)))</f>
        <v/>
      </c>
      <c r="D138" s="40" t="str">
        <f aca="false">IF($C138="","",IFERROR(INDEX(Ativos!$B$3:$B$42,MATCH($C138,Ativos!$A$3:$A$42,0)),""))</f>
        <v/>
      </c>
      <c r="E138" s="40" t="str">
        <f aca="false">IF($C138="","",INDEX(Planos!$C$3:$C$27,6))</f>
        <v/>
      </c>
      <c r="F138" s="40" t="str">
        <f aca="false">IF($C138="","",INDEX(Planos!$D$3:$D$27,6))</f>
        <v/>
      </c>
      <c r="G138" s="41" t="n">
        <f aca="false">IF($C138="",0,INDEX(Planos!$F$3:$F$27,6)+(16-1)*INDEX(Planos!$E$3:$E$27,6))</f>
        <v>0</v>
      </c>
      <c r="H138" s="40" t="str">
        <f aca="false">IF($C138="","",INDEX(Planos!$H$3:$H$27,6))</f>
        <v/>
      </c>
      <c r="I138" s="41" t="str">
        <f aca="false">IF($C138="","",IF(INDEX(Planos!$J$3:$AG$27,$A138,$B138)=0,"",INDEX(Planos!$J$3:$AG$27,$A138,$B138)))</f>
        <v/>
      </c>
      <c r="J138" s="26" t="str">
        <f aca="false">IF($C138="","",IF($I138&lt;&gt;"","Realizada",IF($G138&lt;INT(Parâmetros!$C$4),"Atrasada","Agendada")))</f>
        <v/>
      </c>
      <c r="K138" s="42" t="str">
        <f aca="false">IF($C138="","",IF($I138&lt;&gt;"",$I138-$G138,IF($J138="Atrasada",INT(Parâmetros!$C$4)-$G138,"")))</f>
        <v/>
      </c>
      <c r="L138" s="26" t="str">
        <f aca="false">IF($J138&lt;&gt;"Realizada","",IF($K138&lt;=0,"No prazo",IF($K138&lt;=7,"Até 7 dias",IF($K138&lt;=30,"Até 30 dias","Acima de 30"))))</f>
        <v/>
      </c>
      <c r="M138" s="26" t="str">
        <f aca="false">IF($C138="","",COUNTIFS($G$3:$G138,$G138))</f>
        <v/>
      </c>
      <c r="N138" s="26" t="str">
        <f aca="false">IF($C138="","",$G138&amp;"|"&amp;$M138)</f>
        <v/>
      </c>
    </row>
    <row r="139" customFormat="false" ht="18" hidden="false" customHeight="true" outlineLevel="0" collapsed="false">
      <c r="A139" s="26" t="n">
        <v>6</v>
      </c>
      <c r="B139" s="26" t="n">
        <v>17</v>
      </c>
      <c r="C139" s="26" t="str">
        <f aca="false">IF(INDEX(Planos!$B$3:$B$27,6)="","",IF(17&gt;INDEX(Planos!$G$3:$G$27,6),"",INDEX(Planos!$B$3:$B$27,6)))</f>
        <v/>
      </c>
      <c r="D139" s="40" t="str">
        <f aca="false">IF($C139="","",IFERROR(INDEX(Ativos!$B$3:$B$42,MATCH($C139,Ativos!$A$3:$A$42,0)),""))</f>
        <v/>
      </c>
      <c r="E139" s="40" t="str">
        <f aca="false">IF($C139="","",INDEX(Planos!$C$3:$C$27,6))</f>
        <v/>
      </c>
      <c r="F139" s="40" t="str">
        <f aca="false">IF($C139="","",INDEX(Planos!$D$3:$D$27,6))</f>
        <v/>
      </c>
      <c r="G139" s="41" t="n">
        <f aca="false">IF($C139="",0,INDEX(Planos!$F$3:$F$27,6)+(17-1)*INDEX(Planos!$E$3:$E$27,6))</f>
        <v>0</v>
      </c>
      <c r="H139" s="40" t="str">
        <f aca="false">IF($C139="","",INDEX(Planos!$H$3:$H$27,6))</f>
        <v/>
      </c>
      <c r="I139" s="41" t="str">
        <f aca="false">IF($C139="","",IF(INDEX(Planos!$J$3:$AG$27,$A139,$B139)=0,"",INDEX(Planos!$J$3:$AG$27,$A139,$B139)))</f>
        <v/>
      </c>
      <c r="J139" s="26" t="str">
        <f aca="false">IF($C139="","",IF($I139&lt;&gt;"","Realizada",IF($G139&lt;INT(Parâmetros!$C$4),"Atrasada","Agendada")))</f>
        <v/>
      </c>
      <c r="K139" s="42" t="str">
        <f aca="false">IF($C139="","",IF($I139&lt;&gt;"",$I139-$G139,IF($J139="Atrasada",INT(Parâmetros!$C$4)-$G139,"")))</f>
        <v/>
      </c>
      <c r="L139" s="26" t="str">
        <f aca="false">IF($J139&lt;&gt;"Realizada","",IF($K139&lt;=0,"No prazo",IF($K139&lt;=7,"Até 7 dias",IF($K139&lt;=30,"Até 30 dias","Acima de 30"))))</f>
        <v/>
      </c>
      <c r="M139" s="26" t="str">
        <f aca="false">IF($C139="","",COUNTIFS($G$3:$G139,$G139))</f>
        <v/>
      </c>
      <c r="N139" s="26" t="str">
        <f aca="false">IF($C139="","",$G139&amp;"|"&amp;$M139)</f>
        <v/>
      </c>
    </row>
    <row r="140" customFormat="false" ht="18" hidden="false" customHeight="true" outlineLevel="0" collapsed="false">
      <c r="A140" s="26" t="n">
        <v>6</v>
      </c>
      <c r="B140" s="26" t="n">
        <v>18</v>
      </c>
      <c r="C140" s="26" t="str">
        <f aca="false">IF(INDEX(Planos!$B$3:$B$27,6)="","",IF(18&gt;INDEX(Planos!$G$3:$G$27,6),"",INDEX(Planos!$B$3:$B$27,6)))</f>
        <v/>
      </c>
      <c r="D140" s="40" t="str">
        <f aca="false">IF($C140="","",IFERROR(INDEX(Ativos!$B$3:$B$42,MATCH($C140,Ativos!$A$3:$A$42,0)),""))</f>
        <v/>
      </c>
      <c r="E140" s="40" t="str">
        <f aca="false">IF($C140="","",INDEX(Planos!$C$3:$C$27,6))</f>
        <v/>
      </c>
      <c r="F140" s="40" t="str">
        <f aca="false">IF($C140="","",INDEX(Planos!$D$3:$D$27,6))</f>
        <v/>
      </c>
      <c r="G140" s="41" t="n">
        <f aca="false">IF($C140="",0,INDEX(Planos!$F$3:$F$27,6)+(18-1)*INDEX(Planos!$E$3:$E$27,6))</f>
        <v>0</v>
      </c>
      <c r="H140" s="40" t="str">
        <f aca="false">IF($C140="","",INDEX(Planos!$H$3:$H$27,6))</f>
        <v/>
      </c>
      <c r="I140" s="41" t="str">
        <f aca="false">IF($C140="","",IF(INDEX(Planos!$J$3:$AG$27,$A140,$B140)=0,"",INDEX(Planos!$J$3:$AG$27,$A140,$B140)))</f>
        <v/>
      </c>
      <c r="J140" s="26" t="str">
        <f aca="false">IF($C140="","",IF($I140&lt;&gt;"","Realizada",IF($G140&lt;INT(Parâmetros!$C$4),"Atrasada","Agendada")))</f>
        <v/>
      </c>
      <c r="K140" s="42" t="str">
        <f aca="false">IF($C140="","",IF($I140&lt;&gt;"",$I140-$G140,IF($J140="Atrasada",INT(Parâmetros!$C$4)-$G140,"")))</f>
        <v/>
      </c>
      <c r="L140" s="26" t="str">
        <f aca="false">IF($J140&lt;&gt;"Realizada","",IF($K140&lt;=0,"No prazo",IF($K140&lt;=7,"Até 7 dias",IF($K140&lt;=30,"Até 30 dias","Acima de 30"))))</f>
        <v/>
      </c>
      <c r="M140" s="26" t="str">
        <f aca="false">IF($C140="","",COUNTIFS($G$3:$G140,$G140))</f>
        <v/>
      </c>
      <c r="N140" s="26" t="str">
        <f aca="false">IF($C140="","",$G140&amp;"|"&amp;$M140)</f>
        <v/>
      </c>
    </row>
    <row r="141" customFormat="false" ht="18" hidden="false" customHeight="true" outlineLevel="0" collapsed="false">
      <c r="A141" s="26" t="n">
        <v>6</v>
      </c>
      <c r="B141" s="26" t="n">
        <v>19</v>
      </c>
      <c r="C141" s="26" t="str">
        <f aca="false">IF(INDEX(Planos!$B$3:$B$27,6)="","",IF(19&gt;INDEX(Planos!$G$3:$G$27,6),"",INDEX(Planos!$B$3:$B$27,6)))</f>
        <v/>
      </c>
      <c r="D141" s="40" t="str">
        <f aca="false">IF($C141="","",IFERROR(INDEX(Ativos!$B$3:$B$42,MATCH($C141,Ativos!$A$3:$A$42,0)),""))</f>
        <v/>
      </c>
      <c r="E141" s="40" t="str">
        <f aca="false">IF($C141="","",INDEX(Planos!$C$3:$C$27,6))</f>
        <v/>
      </c>
      <c r="F141" s="40" t="str">
        <f aca="false">IF($C141="","",INDEX(Planos!$D$3:$D$27,6))</f>
        <v/>
      </c>
      <c r="G141" s="41" t="n">
        <f aca="false">IF($C141="",0,INDEX(Planos!$F$3:$F$27,6)+(19-1)*INDEX(Planos!$E$3:$E$27,6))</f>
        <v>0</v>
      </c>
      <c r="H141" s="40" t="str">
        <f aca="false">IF($C141="","",INDEX(Planos!$H$3:$H$27,6))</f>
        <v/>
      </c>
      <c r="I141" s="41" t="str">
        <f aca="false">IF($C141="","",IF(INDEX(Planos!$J$3:$AG$27,$A141,$B141)=0,"",INDEX(Planos!$J$3:$AG$27,$A141,$B141)))</f>
        <v/>
      </c>
      <c r="J141" s="26" t="str">
        <f aca="false">IF($C141="","",IF($I141&lt;&gt;"","Realizada",IF($G141&lt;INT(Parâmetros!$C$4),"Atrasada","Agendada")))</f>
        <v/>
      </c>
      <c r="K141" s="42" t="str">
        <f aca="false">IF($C141="","",IF($I141&lt;&gt;"",$I141-$G141,IF($J141="Atrasada",INT(Parâmetros!$C$4)-$G141,"")))</f>
        <v/>
      </c>
      <c r="L141" s="26" t="str">
        <f aca="false">IF($J141&lt;&gt;"Realizada","",IF($K141&lt;=0,"No prazo",IF($K141&lt;=7,"Até 7 dias",IF($K141&lt;=30,"Até 30 dias","Acima de 30"))))</f>
        <v/>
      </c>
      <c r="M141" s="26" t="str">
        <f aca="false">IF($C141="","",COUNTIFS($G$3:$G141,$G141))</f>
        <v/>
      </c>
      <c r="N141" s="26" t="str">
        <f aca="false">IF($C141="","",$G141&amp;"|"&amp;$M141)</f>
        <v/>
      </c>
    </row>
    <row r="142" customFormat="false" ht="18" hidden="false" customHeight="true" outlineLevel="0" collapsed="false">
      <c r="A142" s="26" t="n">
        <v>6</v>
      </c>
      <c r="B142" s="26" t="n">
        <v>20</v>
      </c>
      <c r="C142" s="26" t="str">
        <f aca="false">IF(INDEX(Planos!$B$3:$B$27,6)="","",IF(20&gt;INDEX(Planos!$G$3:$G$27,6),"",INDEX(Planos!$B$3:$B$27,6)))</f>
        <v/>
      </c>
      <c r="D142" s="40" t="str">
        <f aca="false">IF($C142="","",IFERROR(INDEX(Ativos!$B$3:$B$42,MATCH($C142,Ativos!$A$3:$A$42,0)),""))</f>
        <v/>
      </c>
      <c r="E142" s="40" t="str">
        <f aca="false">IF($C142="","",INDEX(Planos!$C$3:$C$27,6))</f>
        <v/>
      </c>
      <c r="F142" s="40" t="str">
        <f aca="false">IF($C142="","",INDEX(Planos!$D$3:$D$27,6))</f>
        <v/>
      </c>
      <c r="G142" s="41" t="n">
        <f aca="false">IF($C142="",0,INDEX(Planos!$F$3:$F$27,6)+(20-1)*INDEX(Planos!$E$3:$E$27,6))</f>
        <v>0</v>
      </c>
      <c r="H142" s="40" t="str">
        <f aca="false">IF($C142="","",INDEX(Planos!$H$3:$H$27,6))</f>
        <v/>
      </c>
      <c r="I142" s="41" t="str">
        <f aca="false">IF($C142="","",IF(INDEX(Planos!$J$3:$AG$27,$A142,$B142)=0,"",INDEX(Planos!$J$3:$AG$27,$A142,$B142)))</f>
        <v/>
      </c>
      <c r="J142" s="26" t="str">
        <f aca="false">IF($C142="","",IF($I142&lt;&gt;"","Realizada",IF($G142&lt;INT(Parâmetros!$C$4),"Atrasada","Agendada")))</f>
        <v/>
      </c>
      <c r="K142" s="42" t="str">
        <f aca="false">IF($C142="","",IF($I142&lt;&gt;"",$I142-$G142,IF($J142="Atrasada",INT(Parâmetros!$C$4)-$G142,"")))</f>
        <v/>
      </c>
      <c r="L142" s="26" t="str">
        <f aca="false">IF($J142&lt;&gt;"Realizada","",IF($K142&lt;=0,"No prazo",IF($K142&lt;=7,"Até 7 dias",IF($K142&lt;=30,"Até 30 dias","Acima de 30"))))</f>
        <v/>
      </c>
      <c r="M142" s="26" t="str">
        <f aca="false">IF($C142="","",COUNTIFS($G$3:$G142,$G142))</f>
        <v/>
      </c>
      <c r="N142" s="26" t="str">
        <f aca="false">IF($C142="","",$G142&amp;"|"&amp;$M142)</f>
        <v/>
      </c>
    </row>
    <row r="143" customFormat="false" ht="18" hidden="false" customHeight="true" outlineLevel="0" collapsed="false">
      <c r="A143" s="26" t="n">
        <v>6</v>
      </c>
      <c r="B143" s="26" t="n">
        <v>21</v>
      </c>
      <c r="C143" s="26" t="str">
        <f aca="false">IF(INDEX(Planos!$B$3:$B$27,6)="","",IF(21&gt;INDEX(Planos!$G$3:$G$27,6),"",INDEX(Planos!$B$3:$B$27,6)))</f>
        <v/>
      </c>
      <c r="D143" s="40" t="str">
        <f aca="false">IF($C143="","",IFERROR(INDEX(Ativos!$B$3:$B$42,MATCH($C143,Ativos!$A$3:$A$42,0)),""))</f>
        <v/>
      </c>
      <c r="E143" s="40" t="str">
        <f aca="false">IF($C143="","",INDEX(Planos!$C$3:$C$27,6))</f>
        <v/>
      </c>
      <c r="F143" s="40" t="str">
        <f aca="false">IF($C143="","",INDEX(Planos!$D$3:$D$27,6))</f>
        <v/>
      </c>
      <c r="G143" s="41" t="n">
        <f aca="false">IF($C143="",0,INDEX(Planos!$F$3:$F$27,6)+(21-1)*INDEX(Planos!$E$3:$E$27,6))</f>
        <v>0</v>
      </c>
      <c r="H143" s="40" t="str">
        <f aca="false">IF($C143="","",INDEX(Planos!$H$3:$H$27,6))</f>
        <v/>
      </c>
      <c r="I143" s="41" t="str">
        <f aca="false">IF($C143="","",IF(INDEX(Planos!$J$3:$AG$27,$A143,$B143)=0,"",INDEX(Planos!$J$3:$AG$27,$A143,$B143)))</f>
        <v/>
      </c>
      <c r="J143" s="26" t="str">
        <f aca="false">IF($C143="","",IF($I143&lt;&gt;"","Realizada",IF($G143&lt;INT(Parâmetros!$C$4),"Atrasada","Agendada")))</f>
        <v/>
      </c>
      <c r="K143" s="42" t="str">
        <f aca="false">IF($C143="","",IF($I143&lt;&gt;"",$I143-$G143,IF($J143="Atrasada",INT(Parâmetros!$C$4)-$G143,"")))</f>
        <v/>
      </c>
      <c r="L143" s="26" t="str">
        <f aca="false">IF($J143&lt;&gt;"Realizada","",IF($K143&lt;=0,"No prazo",IF($K143&lt;=7,"Até 7 dias",IF($K143&lt;=30,"Até 30 dias","Acima de 30"))))</f>
        <v/>
      </c>
      <c r="M143" s="26" t="str">
        <f aca="false">IF($C143="","",COUNTIFS($G$3:$G143,$G143))</f>
        <v/>
      </c>
      <c r="N143" s="26" t="str">
        <f aca="false">IF($C143="","",$G143&amp;"|"&amp;$M143)</f>
        <v/>
      </c>
    </row>
    <row r="144" customFormat="false" ht="18" hidden="false" customHeight="true" outlineLevel="0" collapsed="false">
      <c r="A144" s="26" t="n">
        <v>6</v>
      </c>
      <c r="B144" s="26" t="n">
        <v>22</v>
      </c>
      <c r="C144" s="26" t="str">
        <f aca="false">IF(INDEX(Planos!$B$3:$B$27,6)="","",IF(22&gt;INDEX(Planos!$G$3:$G$27,6),"",INDEX(Planos!$B$3:$B$27,6)))</f>
        <v/>
      </c>
      <c r="D144" s="40" t="str">
        <f aca="false">IF($C144="","",IFERROR(INDEX(Ativos!$B$3:$B$42,MATCH($C144,Ativos!$A$3:$A$42,0)),""))</f>
        <v/>
      </c>
      <c r="E144" s="40" t="str">
        <f aca="false">IF($C144="","",INDEX(Planos!$C$3:$C$27,6))</f>
        <v/>
      </c>
      <c r="F144" s="40" t="str">
        <f aca="false">IF($C144="","",INDEX(Planos!$D$3:$D$27,6))</f>
        <v/>
      </c>
      <c r="G144" s="41" t="n">
        <f aca="false">IF($C144="",0,INDEX(Planos!$F$3:$F$27,6)+(22-1)*INDEX(Planos!$E$3:$E$27,6))</f>
        <v>0</v>
      </c>
      <c r="H144" s="40" t="str">
        <f aca="false">IF($C144="","",INDEX(Planos!$H$3:$H$27,6))</f>
        <v/>
      </c>
      <c r="I144" s="41" t="str">
        <f aca="false">IF($C144="","",IF(INDEX(Planos!$J$3:$AG$27,$A144,$B144)=0,"",INDEX(Planos!$J$3:$AG$27,$A144,$B144)))</f>
        <v/>
      </c>
      <c r="J144" s="26" t="str">
        <f aca="false">IF($C144="","",IF($I144&lt;&gt;"","Realizada",IF($G144&lt;INT(Parâmetros!$C$4),"Atrasada","Agendada")))</f>
        <v/>
      </c>
      <c r="K144" s="42" t="str">
        <f aca="false">IF($C144="","",IF($I144&lt;&gt;"",$I144-$G144,IF($J144="Atrasada",INT(Parâmetros!$C$4)-$G144,"")))</f>
        <v/>
      </c>
      <c r="L144" s="26" t="str">
        <f aca="false">IF($J144&lt;&gt;"Realizada","",IF($K144&lt;=0,"No prazo",IF($K144&lt;=7,"Até 7 dias",IF($K144&lt;=30,"Até 30 dias","Acima de 30"))))</f>
        <v/>
      </c>
      <c r="M144" s="26" t="str">
        <f aca="false">IF($C144="","",COUNTIFS($G$3:$G144,$G144))</f>
        <v/>
      </c>
      <c r="N144" s="26" t="str">
        <f aca="false">IF($C144="","",$G144&amp;"|"&amp;$M144)</f>
        <v/>
      </c>
    </row>
    <row r="145" customFormat="false" ht="18" hidden="false" customHeight="true" outlineLevel="0" collapsed="false">
      <c r="A145" s="26" t="n">
        <v>6</v>
      </c>
      <c r="B145" s="26" t="n">
        <v>23</v>
      </c>
      <c r="C145" s="26" t="str">
        <f aca="false">IF(INDEX(Planos!$B$3:$B$27,6)="","",IF(23&gt;INDEX(Planos!$G$3:$G$27,6),"",INDEX(Planos!$B$3:$B$27,6)))</f>
        <v/>
      </c>
      <c r="D145" s="40" t="str">
        <f aca="false">IF($C145="","",IFERROR(INDEX(Ativos!$B$3:$B$42,MATCH($C145,Ativos!$A$3:$A$42,0)),""))</f>
        <v/>
      </c>
      <c r="E145" s="40" t="str">
        <f aca="false">IF($C145="","",INDEX(Planos!$C$3:$C$27,6))</f>
        <v/>
      </c>
      <c r="F145" s="40" t="str">
        <f aca="false">IF($C145="","",INDEX(Planos!$D$3:$D$27,6))</f>
        <v/>
      </c>
      <c r="G145" s="41" t="n">
        <f aca="false">IF($C145="",0,INDEX(Planos!$F$3:$F$27,6)+(23-1)*INDEX(Planos!$E$3:$E$27,6))</f>
        <v>0</v>
      </c>
      <c r="H145" s="40" t="str">
        <f aca="false">IF($C145="","",INDEX(Planos!$H$3:$H$27,6))</f>
        <v/>
      </c>
      <c r="I145" s="41" t="str">
        <f aca="false">IF($C145="","",IF(INDEX(Planos!$J$3:$AG$27,$A145,$B145)=0,"",INDEX(Planos!$J$3:$AG$27,$A145,$B145)))</f>
        <v/>
      </c>
      <c r="J145" s="26" t="str">
        <f aca="false">IF($C145="","",IF($I145&lt;&gt;"","Realizada",IF($G145&lt;INT(Parâmetros!$C$4),"Atrasada","Agendada")))</f>
        <v/>
      </c>
      <c r="K145" s="42" t="str">
        <f aca="false">IF($C145="","",IF($I145&lt;&gt;"",$I145-$G145,IF($J145="Atrasada",INT(Parâmetros!$C$4)-$G145,"")))</f>
        <v/>
      </c>
      <c r="L145" s="26" t="str">
        <f aca="false">IF($J145&lt;&gt;"Realizada","",IF($K145&lt;=0,"No prazo",IF($K145&lt;=7,"Até 7 dias",IF($K145&lt;=30,"Até 30 dias","Acima de 30"))))</f>
        <v/>
      </c>
      <c r="M145" s="26" t="str">
        <f aca="false">IF($C145="","",COUNTIFS($G$3:$G145,$G145))</f>
        <v/>
      </c>
      <c r="N145" s="26" t="str">
        <f aca="false">IF($C145="","",$G145&amp;"|"&amp;$M145)</f>
        <v/>
      </c>
    </row>
    <row r="146" customFormat="false" ht="18" hidden="false" customHeight="true" outlineLevel="0" collapsed="false">
      <c r="A146" s="26" t="n">
        <v>6</v>
      </c>
      <c r="B146" s="26" t="n">
        <v>24</v>
      </c>
      <c r="C146" s="26" t="str">
        <f aca="false">IF(INDEX(Planos!$B$3:$B$27,6)="","",IF(24&gt;INDEX(Planos!$G$3:$G$27,6),"",INDEX(Planos!$B$3:$B$27,6)))</f>
        <v/>
      </c>
      <c r="D146" s="40" t="str">
        <f aca="false">IF($C146="","",IFERROR(INDEX(Ativos!$B$3:$B$42,MATCH($C146,Ativos!$A$3:$A$42,0)),""))</f>
        <v/>
      </c>
      <c r="E146" s="40" t="str">
        <f aca="false">IF($C146="","",INDEX(Planos!$C$3:$C$27,6))</f>
        <v/>
      </c>
      <c r="F146" s="40" t="str">
        <f aca="false">IF($C146="","",INDEX(Planos!$D$3:$D$27,6))</f>
        <v/>
      </c>
      <c r="G146" s="41" t="n">
        <f aca="false">IF($C146="",0,INDEX(Planos!$F$3:$F$27,6)+(24-1)*INDEX(Planos!$E$3:$E$27,6))</f>
        <v>0</v>
      </c>
      <c r="H146" s="40" t="str">
        <f aca="false">IF($C146="","",INDEX(Planos!$H$3:$H$27,6))</f>
        <v/>
      </c>
      <c r="I146" s="41" t="str">
        <f aca="false">IF($C146="","",IF(INDEX(Planos!$J$3:$AG$27,$A146,$B146)=0,"",INDEX(Planos!$J$3:$AG$27,$A146,$B146)))</f>
        <v/>
      </c>
      <c r="J146" s="26" t="str">
        <f aca="false">IF($C146="","",IF($I146&lt;&gt;"","Realizada",IF($G146&lt;INT(Parâmetros!$C$4),"Atrasada","Agendada")))</f>
        <v/>
      </c>
      <c r="K146" s="42" t="str">
        <f aca="false">IF($C146="","",IF($I146&lt;&gt;"",$I146-$G146,IF($J146="Atrasada",INT(Parâmetros!$C$4)-$G146,"")))</f>
        <v/>
      </c>
      <c r="L146" s="26" t="str">
        <f aca="false">IF($J146&lt;&gt;"Realizada","",IF($K146&lt;=0,"No prazo",IF($K146&lt;=7,"Até 7 dias",IF($K146&lt;=30,"Até 30 dias","Acima de 30"))))</f>
        <v/>
      </c>
      <c r="M146" s="26" t="str">
        <f aca="false">IF($C146="","",COUNTIFS($G$3:$G146,$G146))</f>
        <v/>
      </c>
      <c r="N146" s="26" t="str">
        <f aca="false">IF($C146="","",$G146&amp;"|"&amp;$M146)</f>
        <v/>
      </c>
    </row>
    <row r="147" customFormat="false" ht="18" hidden="false" customHeight="true" outlineLevel="0" collapsed="false">
      <c r="A147" s="26" t="n">
        <v>7</v>
      </c>
      <c r="B147" s="26" t="n">
        <v>1</v>
      </c>
      <c r="C147" s="26" t="str">
        <f aca="false">IF(INDEX(Planos!$B$3:$B$27,7)="","",IF(1&gt;INDEX(Planos!$G$3:$G$27,7),"",INDEX(Planos!$B$3:$B$27,7)))</f>
        <v>FB-001</v>
      </c>
      <c r="D147" s="40" t="str">
        <f aca="false">IF($C147="","",IFERROR(INDEX(Ativos!$B$3:$B$42,MATCH($C147,Ativos!$A$3:$A$42,0)),""))</f>
        <v>Furadeira de bancada 5/8"</v>
      </c>
      <c r="E147" s="40" t="str">
        <f aca="false">IF($C147="","",INDEX(Planos!$C$3:$C$27,7))</f>
        <v>Preventiva trimestral — mandril e polias</v>
      </c>
      <c r="F147" s="40" t="str">
        <f aca="false">IF($C147="","",INDEX(Planos!$D$3:$D$27,7))</f>
        <v>Manutenção preventiva</v>
      </c>
      <c r="G147" s="41" t="n">
        <f aca="false">IF($C147="",0,INDEX(Planos!$F$3:$F$27,7)+(1-1)*INDEX(Planos!$E$3:$E$27,7))</f>
        <v>46078</v>
      </c>
      <c r="H147" s="40" t="str">
        <f aca="false">IF($C147="","",INDEX(Planos!$H$3:$H$27,7))</f>
        <v>Juliana Reis</v>
      </c>
      <c r="I147" s="41" t="n">
        <f aca="false">IF($C147="","",IF(INDEX(Planos!$J$3:$AG$27,$A147,$B147)=0,"",INDEX(Planos!$J$3:$AG$27,$A147,$B147)))</f>
        <v>46078</v>
      </c>
      <c r="J147" s="26" t="str">
        <f aca="false">IF($C147="","",IF($I147&lt;&gt;"","Realizada",IF($G147&lt;INT(Parâmetros!$C$4),"Atrasada","Agendada")))</f>
        <v>Realizada</v>
      </c>
      <c r="K147" s="42" t="n">
        <f aca="false">IF($C147="","",IF($I147&lt;&gt;"",$I147-$G147,IF($J147="Atrasada",INT(Parâmetros!$C$4)-$G147,"")))</f>
        <v>0</v>
      </c>
      <c r="L147" s="26" t="str">
        <f aca="false">IF($J147&lt;&gt;"Realizada","",IF($K147&lt;=0,"No prazo",IF($K147&lt;=7,"Até 7 dias",IF($K147&lt;=30,"Até 30 dias","Acima de 30"))))</f>
        <v>No prazo</v>
      </c>
      <c r="M147" s="26" t="n">
        <f aca="false">IF($C147="","",COUNTIFS($G$3:$G147,$G147))</f>
        <v>1</v>
      </c>
      <c r="N147" s="26" t="str">
        <f aca="false">IF($C147="","",$G147&amp;"|"&amp;$M147)</f>
        <v>46078|1</v>
      </c>
    </row>
    <row r="148" customFormat="false" ht="18" hidden="false" customHeight="true" outlineLevel="0" collapsed="false">
      <c r="A148" s="26" t="n">
        <v>7</v>
      </c>
      <c r="B148" s="26" t="n">
        <v>2</v>
      </c>
      <c r="C148" s="26" t="str">
        <f aca="false">IF(INDEX(Planos!$B$3:$B$27,7)="","",IF(2&gt;INDEX(Planos!$G$3:$G$27,7),"",INDEX(Planos!$B$3:$B$27,7)))</f>
        <v>FB-001</v>
      </c>
      <c r="D148" s="40" t="str">
        <f aca="false">IF($C148="","",IFERROR(INDEX(Ativos!$B$3:$B$42,MATCH($C148,Ativos!$A$3:$A$42,0)),""))</f>
        <v>Furadeira de bancada 5/8"</v>
      </c>
      <c r="E148" s="40" t="str">
        <f aca="false">IF($C148="","",INDEX(Planos!$C$3:$C$27,7))</f>
        <v>Preventiva trimestral — mandril e polias</v>
      </c>
      <c r="F148" s="40" t="str">
        <f aca="false">IF($C148="","",INDEX(Planos!$D$3:$D$27,7))</f>
        <v>Manutenção preventiva</v>
      </c>
      <c r="G148" s="41" t="n">
        <f aca="false">IF($C148="",0,INDEX(Planos!$F$3:$F$27,7)+(2-1)*INDEX(Planos!$E$3:$E$27,7))</f>
        <v>46168</v>
      </c>
      <c r="H148" s="40" t="str">
        <f aca="false">IF($C148="","",INDEX(Planos!$H$3:$H$27,7))</f>
        <v>Juliana Reis</v>
      </c>
      <c r="I148" s="41" t="n">
        <f aca="false">IF($C148="","",IF(INDEX(Planos!$J$3:$AG$27,$A148,$B148)=0,"",INDEX(Planos!$J$3:$AG$27,$A148,$B148)))</f>
        <v>46168</v>
      </c>
      <c r="J148" s="26" t="str">
        <f aca="false">IF($C148="","",IF($I148&lt;&gt;"","Realizada",IF($G148&lt;INT(Parâmetros!$C$4),"Atrasada","Agendada")))</f>
        <v>Realizada</v>
      </c>
      <c r="K148" s="42" t="n">
        <f aca="false">IF($C148="","",IF($I148&lt;&gt;"",$I148-$G148,IF($J148="Atrasada",INT(Parâmetros!$C$4)-$G148,"")))</f>
        <v>0</v>
      </c>
      <c r="L148" s="26" t="str">
        <f aca="false">IF($J148&lt;&gt;"Realizada","",IF($K148&lt;=0,"No prazo",IF($K148&lt;=7,"Até 7 dias",IF($K148&lt;=30,"Até 30 dias","Acima de 30"))))</f>
        <v>No prazo</v>
      </c>
      <c r="M148" s="26" t="n">
        <f aca="false">IF($C148="","",COUNTIFS($G$3:$G148,$G148))</f>
        <v>1</v>
      </c>
      <c r="N148" s="26" t="str">
        <f aca="false">IF($C148="","",$G148&amp;"|"&amp;$M148)</f>
        <v>46168|1</v>
      </c>
    </row>
    <row r="149" customFormat="false" ht="18" hidden="false" customHeight="true" outlineLevel="0" collapsed="false">
      <c r="A149" s="26" t="n">
        <v>7</v>
      </c>
      <c r="B149" s="26" t="n">
        <v>3</v>
      </c>
      <c r="C149" s="26" t="str">
        <f aca="false">IF(INDEX(Planos!$B$3:$B$27,7)="","",IF(3&gt;INDEX(Planos!$G$3:$G$27,7),"",INDEX(Planos!$B$3:$B$27,7)))</f>
        <v>FB-001</v>
      </c>
      <c r="D149" s="40" t="str">
        <f aca="false">IF($C149="","",IFERROR(INDEX(Ativos!$B$3:$B$42,MATCH($C149,Ativos!$A$3:$A$42,0)),""))</f>
        <v>Furadeira de bancada 5/8"</v>
      </c>
      <c r="E149" s="40" t="str">
        <f aca="false">IF($C149="","",INDEX(Planos!$C$3:$C$27,7))</f>
        <v>Preventiva trimestral — mandril e polias</v>
      </c>
      <c r="F149" s="40" t="str">
        <f aca="false">IF($C149="","",INDEX(Planos!$D$3:$D$27,7))</f>
        <v>Manutenção preventiva</v>
      </c>
      <c r="G149" s="41" t="n">
        <f aca="false">IF($C149="",0,INDEX(Planos!$F$3:$F$27,7)+(3-1)*INDEX(Planos!$E$3:$E$27,7))</f>
        <v>46258</v>
      </c>
      <c r="H149" s="40" t="str">
        <f aca="false">IF($C149="","",INDEX(Planos!$H$3:$H$27,7))</f>
        <v>Juliana Reis</v>
      </c>
      <c r="I149" s="41" t="str">
        <f aca="false">IF($C149="","",IF(INDEX(Planos!$J$3:$AG$27,$A149,$B149)=0,"",INDEX(Planos!$J$3:$AG$27,$A149,$B149)))</f>
        <v/>
      </c>
      <c r="J149" s="26" t="str">
        <f aca="false">IF($C149="","",IF($I149&lt;&gt;"","Realizada",IF($G149&lt;INT(Parâmetros!$C$4),"Atrasada","Agendada")))</f>
        <v>Agendada</v>
      </c>
      <c r="K149" s="42" t="str">
        <f aca="false">IF($C149="","",IF($I149&lt;&gt;"",$I149-$G149,IF($J149="Atrasada",INT(Parâmetros!$C$4)-$G149,"")))</f>
        <v/>
      </c>
      <c r="L149" s="26" t="str">
        <f aca="false">IF($J149&lt;&gt;"Realizada","",IF($K149&lt;=0,"No prazo",IF($K149&lt;=7,"Até 7 dias",IF($K149&lt;=30,"Até 30 dias","Acima de 30"))))</f>
        <v/>
      </c>
      <c r="M149" s="26" t="n">
        <f aca="false">IF($C149="","",COUNTIFS($G$3:$G149,$G149))</f>
        <v>1</v>
      </c>
      <c r="N149" s="26" t="str">
        <f aca="false">IF($C149="","",$G149&amp;"|"&amp;$M149)</f>
        <v>46258|1</v>
      </c>
    </row>
    <row r="150" customFormat="false" ht="18" hidden="false" customHeight="true" outlineLevel="0" collapsed="false">
      <c r="A150" s="26" t="n">
        <v>7</v>
      </c>
      <c r="B150" s="26" t="n">
        <v>4</v>
      </c>
      <c r="C150" s="26" t="str">
        <f aca="false">IF(INDEX(Planos!$B$3:$B$27,7)="","",IF(4&gt;INDEX(Planos!$G$3:$G$27,7),"",INDEX(Planos!$B$3:$B$27,7)))</f>
        <v>FB-001</v>
      </c>
      <c r="D150" s="40" t="str">
        <f aca="false">IF($C150="","",IFERROR(INDEX(Ativos!$B$3:$B$42,MATCH($C150,Ativos!$A$3:$A$42,0)),""))</f>
        <v>Furadeira de bancada 5/8"</v>
      </c>
      <c r="E150" s="40" t="str">
        <f aca="false">IF($C150="","",INDEX(Planos!$C$3:$C$27,7))</f>
        <v>Preventiva trimestral — mandril e polias</v>
      </c>
      <c r="F150" s="40" t="str">
        <f aca="false">IF($C150="","",INDEX(Planos!$D$3:$D$27,7))</f>
        <v>Manutenção preventiva</v>
      </c>
      <c r="G150" s="41" t="n">
        <f aca="false">IF($C150="",0,INDEX(Planos!$F$3:$F$27,7)+(4-1)*INDEX(Planos!$E$3:$E$27,7))</f>
        <v>46348</v>
      </c>
      <c r="H150" s="40" t="str">
        <f aca="false">IF($C150="","",INDEX(Planos!$H$3:$H$27,7))</f>
        <v>Juliana Reis</v>
      </c>
      <c r="I150" s="41" t="str">
        <f aca="false">IF($C150="","",IF(INDEX(Planos!$J$3:$AG$27,$A150,$B150)=0,"",INDEX(Planos!$J$3:$AG$27,$A150,$B150)))</f>
        <v/>
      </c>
      <c r="J150" s="26" t="str">
        <f aca="false">IF($C150="","",IF($I150&lt;&gt;"","Realizada",IF($G150&lt;INT(Parâmetros!$C$4),"Atrasada","Agendada")))</f>
        <v>Agendada</v>
      </c>
      <c r="K150" s="42" t="str">
        <f aca="false">IF($C150="","",IF($I150&lt;&gt;"",$I150-$G150,IF($J150="Atrasada",INT(Parâmetros!$C$4)-$G150,"")))</f>
        <v/>
      </c>
      <c r="L150" s="26" t="str">
        <f aca="false">IF($J150&lt;&gt;"Realizada","",IF($K150&lt;=0,"No prazo",IF($K150&lt;=7,"Até 7 dias",IF($K150&lt;=30,"Até 30 dias","Acima de 30"))))</f>
        <v/>
      </c>
      <c r="M150" s="26" t="n">
        <f aca="false">IF($C150="","",COUNTIFS($G$3:$G150,$G150))</f>
        <v>1</v>
      </c>
      <c r="N150" s="26" t="str">
        <f aca="false">IF($C150="","",$G150&amp;"|"&amp;$M150)</f>
        <v>46348|1</v>
      </c>
    </row>
    <row r="151" customFormat="false" ht="18" hidden="false" customHeight="true" outlineLevel="0" collapsed="false">
      <c r="A151" s="26" t="n">
        <v>7</v>
      </c>
      <c r="B151" s="26" t="n">
        <v>5</v>
      </c>
      <c r="C151" s="26" t="str">
        <f aca="false">IF(INDEX(Planos!$B$3:$B$27,7)="","",IF(5&gt;INDEX(Planos!$G$3:$G$27,7),"",INDEX(Planos!$B$3:$B$27,7)))</f>
        <v>FB-001</v>
      </c>
      <c r="D151" s="40" t="str">
        <f aca="false">IF($C151="","",IFERROR(INDEX(Ativos!$B$3:$B$42,MATCH($C151,Ativos!$A$3:$A$42,0)),""))</f>
        <v>Furadeira de bancada 5/8"</v>
      </c>
      <c r="E151" s="40" t="str">
        <f aca="false">IF($C151="","",INDEX(Planos!$C$3:$C$27,7))</f>
        <v>Preventiva trimestral — mandril e polias</v>
      </c>
      <c r="F151" s="40" t="str">
        <f aca="false">IF($C151="","",INDEX(Planos!$D$3:$D$27,7))</f>
        <v>Manutenção preventiva</v>
      </c>
      <c r="G151" s="41" t="n">
        <f aca="false">IF($C151="",0,INDEX(Planos!$F$3:$F$27,7)+(5-1)*INDEX(Planos!$E$3:$E$27,7))</f>
        <v>46438</v>
      </c>
      <c r="H151" s="40" t="str">
        <f aca="false">IF($C151="","",INDEX(Planos!$H$3:$H$27,7))</f>
        <v>Juliana Reis</v>
      </c>
      <c r="I151" s="41" t="str">
        <f aca="false">IF($C151="","",IF(INDEX(Planos!$J$3:$AG$27,$A151,$B151)=0,"",INDEX(Planos!$J$3:$AG$27,$A151,$B151)))</f>
        <v/>
      </c>
      <c r="J151" s="26" t="str">
        <f aca="false">IF($C151="","",IF($I151&lt;&gt;"","Realizada",IF($G151&lt;INT(Parâmetros!$C$4),"Atrasada","Agendada")))</f>
        <v>Agendada</v>
      </c>
      <c r="K151" s="42" t="str">
        <f aca="false">IF($C151="","",IF($I151&lt;&gt;"",$I151-$G151,IF($J151="Atrasada",INT(Parâmetros!$C$4)-$G151,"")))</f>
        <v/>
      </c>
      <c r="L151" s="26" t="str">
        <f aca="false">IF($J151&lt;&gt;"Realizada","",IF($K151&lt;=0,"No prazo",IF($K151&lt;=7,"Até 7 dias",IF($K151&lt;=30,"Até 30 dias","Acima de 30"))))</f>
        <v/>
      </c>
      <c r="M151" s="26" t="n">
        <f aca="false">IF($C151="","",COUNTIFS($G$3:$G151,$G151))</f>
        <v>1</v>
      </c>
      <c r="N151" s="26" t="str">
        <f aca="false">IF($C151="","",$G151&amp;"|"&amp;$M151)</f>
        <v>46438|1</v>
      </c>
    </row>
    <row r="152" customFormat="false" ht="18" hidden="false" customHeight="true" outlineLevel="0" collapsed="false">
      <c r="A152" s="26" t="n">
        <v>7</v>
      </c>
      <c r="B152" s="26" t="n">
        <v>6</v>
      </c>
      <c r="C152" s="26" t="str">
        <f aca="false">IF(INDEX(Planos!$B$3:$B$27,7)="","",IF(6&gt;INDEX(Planos!$G$3:$G$27,7),"",INDEX(Planos!$B$3:$B$27,7)))</f>
        <v>FB-001</v>
      </c>
      <c r="D152" s="40" t="str">
        <f aca="false">IF($C152="","",IFERROR(INDEX(Ativos!$B$3:$B$42,MATCH($C152,Ativos!$A$3:$A$42,0)),""))</f>
        <v>Furadeira de bancada 5/8"</v>
      </c>
      <c r="E152" s="40" t="str">
        <f aca="false">IF($C152="","",INDEX(Planos!$C$3:$C$27,7))</f>
        <v>Preventiva trimestral — mandril e polias</v>
      </c>
      <c r="F152" s="40" t="str">
        <f aca="false">IF($C152="","",INDEX(Planos!$D$3:$D$27,7))</f>
        <v>Manutenção preventiva</v>
      </c>
      <c r="G152" s="41" t="n">
        <f aca="false">IF($C152="",0,INDEX(Planos!$F$3:$F$27,7)+(6-1)*INDEX(Planos!$E$3:$E$27,7))</f>
        <v>46528</v>
      </c>
      <c r="H152" s="40" t="str">
        <f aca="false">IF($C152="","",INDEX(Planos!$H$3:$H$27,7))</f>
        <v>Juliana Reis</v>
      </c>
      <c r="I152" s="41" t="str">
        <f aca="false">IF($C152="","",IF(INDEX(Planos!$J$3:$AG$27,$A152,$B152)=0,"",INDEX(Planos!$J$3:$AG$27,$A152,$B152)))</f>
        <v/>
      </c>
      <c r="J152" s="26" t="str">
        <f aca="false">IF($C152="","",IF($I152&lt;&gt;"","Realizada",IF($G152&lt;INT(Parâmetros!$C$4),"Atrasada","Agendada")))</f>
        <v>Agendada</v>
      </c>
      <c r="K152" s="42" t="str">
        <f aca="false">IF($C152="","",IF($I152&lt;&gt;"",$I152-$G152,IF($J152="Atrasada",INT(Parâmetros!$C$4)-$G152,"")))</f>
        <v/>
      </c>
      <c r="L152" s="26" t="str">
        <f aca="false">IF($J152&lt;&gt;"Realizada","",IF($K152&lt;=0,"No prazo",IF($K152&lt;=7,"Até 7 dias",IF($K152&lt;=30,"Até 30 dias","Acima de 30"))))</f>
        <v/>
      </c>
      <c r="M152" s="26" t="n">
        <f aca="false">IF($C152="","",COUNTIFS($G$3:$G152,$G152))</f>
        <v>1</v>
      </c>
      <c r="N152" s="26" t="str">
        <f aca="false">IF($C152="","",$G152&amp;"|"&amp;$M152)</f>
        <v>46528|1</v>
      </c>
    </row>
    <row r="153" customFormat="false" ht="18" hidden="false" customHeight="true" outlineLevel="0" collapsed="false">
      <c r="A153" s="26" t="n">
        <v>7</v>
      </c>
      <c r="B153" s="26" t="n">
        <v>7</v>
      </c>
      <c r="C153" s="26" t="str">
        <f aca="false">IF(INDEX(Planos!$B$3:$B$27,7)="","",IF(7&gt;INDEX(Planos!$G$3:$G$27,7),"",INDEX(Planos!$B$3:$B$27,7)))</f>
        <v>FB-001</v>
      </c>
      <c r="D153" s="40" t="str">
        <f aca="false">IF($C153="","",IFERROR(INDEX(Ativos!$B$3:$B$42,MATCH($C153,Ativos!$A$3:$A$42,0)),""))</f>
        <v>Furadeira de bancada 5/8"</v>
      </c>
      <c r="E153" s="40" t="str">
        <f aca="false">IF($C153="","",INDEX(Planos!$C$3:$C$27,7))</f>
        <v>Preventiva trimestral — mandril e polias</v>
      </c>
      <c r="F153" s="40" t="str">
        <f aca="false">IF($C153="","",INDEX(Planos!$D$3:$D$27,7))</f>
        <v>Manutenção preventiva</v>
      </c>
      <c r="G153" s="41" t="n">
        <f aca="false">IF($C153="",0,INDEX(Planos!$F$3:$F$27,7)+(7-1)*INDEX(Planos!$E$3:$E$27,7))</f>
        <v>46618</v>
      </c>
      <c r="H153" s="40" t="str">
        <f aca="false">IF($C153="","",INDEX(Planos!$H$3:$H$27,7))</f>
        <v>Juliana Reis</v>
      </c>
      <c r="I153" s="41" t="str">
        <f aca="false">IF($C153="","",IF(INDEX(Planos!$J$3:$AG$27,$A153,$B153)=0,"",INDEX(Planos!$J$3:$AG$27,$A153,$B153)))</f>
        <v/>
      </c>
      <c r="J153" s="26" t="str">
        <f aca="false">IF($C153="","",IF($I153&lt;&gt;"","Realizada",IF($G153&lt;INT(Parâmetros!$C$4),"Atrasada","Agendada")))</f>
        <v>Agendada</v>
      </c>
      <c r="K153" s="42" t="str">
        <f aca="false">IF($C153="","",IF($I153&lt;&gt;"",$I153-$G153,IF($J153="Atrasada",INT(Parâmetros!$C$4)-$G153,"")))</f>
        <v/>
      </c>
      <c r="L153" s="26" t="str">
        <f aca="false">IF($J153&lt;&gt;"Realizada","",IF($K153&lt;=0,"No prazo",IF($K153&lt;=7,"Até 7 dias",IF($K153&lt;=30,"Até 30 dias","Acima de 30"))))</f>
        <v/>
      </c>
      <c r="M153" s="26" t="n">
        <f aca="false">IF($C153="","",COUNTIFS($G$3:$G153,$G153))</f>
        <v>1</v>
      </c>
      <c r="N153" s="26" t="str">
        <f aca="false">IF($C153="","",$G153&amp;"|"&amp;$M153)</f>
        <v>46618|1</v>
      </c>
    </row>
    <row r="154" customFormat="false" ht="18" hidden="false" customHeight="true" outlineLevel="0" collapsed="false">
      <c r="A154" s="26" t="n">
        <v>7</v>
      </c>
      <c r="B154" s="26" t="n">
        <v>8</v>
      </c>
      <c r="C154" s="26" t="str">
        <f aca="false">IF(INDEX(Planos!$B$3:$B$27,7)="","",IF(8&gt;INDEX(Planos!$G$3:$G$27,7),"",INDEX(Planos!$B$3:$B$27,7)))</f>
        <v>FB-001</v>
      </c>
      <c r="D154" s="40" t="str">
        <f aca="false">IF($C154="","",IFERROR(INDEX(Ativos!$B$3:$B$42,MATCH($C154,Ativos!$A$3:$A$42,0)),""))</f>
        <v>Furadeira de bancada 5/8"</v>
      </c>
      <c r="E154" s="40" t="str">
        <f aca="false">IF($C154="","",INDEX(Planos!$C$3:$C$27,7))</f>
        <v>Preventiva trimestral — mandril e polias</v>
      </c>
      <c r="F154" s="40" t="str">
        <f aca="false">IF($C154="","",INDEX(Planos!$D$3:$D$27,7))</f>
        <v>Manutenção preventiva</v>
      </c>
      <c r="G154" s="41" t="n">
        <f aca="false">IF($C154="",0,INDEX(Planos!$F$3:$F$27,7)+(8-1)*INDEX(Planos!$E$3:$E$27,7))</f>
        <v>46708</v>
      </c>
      <c r="H154" s="40" t="str">
        <f aca="false">IF($C154="","",INDEX(Planos!$H$3:$H$27,7))</f>
        <v>Juliana Reis</v>
      </c>
      <c r="I154" s="41" t="str">
        <f aca="false">IF($C154="","",IF(INDEX(Planos!$J$3:$AG$27,$A154,$B154)=0,"",INDEX(Planos!$J$3:$AG$27,$A154,$B154)))</f>
        <v/>
      </c>
      <c r="J154" s="26" t="str">
        <f aca="false">IF($C154="","",IF($I154&lt;&gt;"","Realizada",IF($G154&lt;INT(Parâmetros!$C$4),"Atrasada","Agendada")))</f>
        <v>Agendada</v>
      </c>
      <c r="K154" s="42" t="str">
        <f aca="false">IF($C154="","",IF($I154&lt;&gt;"",$I154-$G154,IF($J154="Atrasada",INT(Parâmetros!$C$4)-$G154,"")))</f>
        <v/>
      </c>
      <c r="L154" s="26" t="str">
        <f aca="false">IF($J154&lt;&gt;"Realizada","",IF($K154&lt;=0,"No prazo",IF($K154&lt;=7,"Até 7 dias",IF($K154&lt;=30,"Até 30 dias","Acima de 30"))))</f>
        <v/>
      </c>
      <c r="M154" s="26" t="n">
        <f aca="false">IF($C154="","",COUNTIFS($G$3:$G154,$G154))</f>
        <v>1</v>
      </c>
      <c r="N154" s="26" t="str">
        <f aca="false">IF($C154="","",$G154&amp;"|"&amp;$M154)</f>
        <v>46708|1</v>
      </c>
    </row>
    <row r="155" customFormat="false" ht="18" hidden="false" customHeight="true" outlineLevel="0" collapsed="false">
      <c r="A155" s="26" t="n">
        <v>7</v>
      </c>
      <c r="B155" s="26" t="n">
        <v>9</v>
      </c>
      <c r="C155" s="26" t="str">
        <f aca="false">IF(INDEX(Planos!$B$3:$B$27,7)="","",IF(9&gt;INDEX(Planos!$G$3:$G$27,7),"",INDEX(Planos!$B$3:$B$27,7)))</f>
        <v>FB-001</v>
      </c>
      <c r="D155" s="40" t="str">
        <f aca="false">IF($C155="","",IFERROR(INDEX(Ativos!$B$3:$B$42,MATCH($C155,Ativos!$A$3:$A$42,0)),""))</f>
        <v>Furadeira de bancada 5/8"</v>
      </c>
      <c r="E155" s="40" t="str">
        <f aca="false">IF($C155="","",INDEX(Planos!$C$3:$C$27,7))</f>
        <v>Preventiva trimestral — mandril e polias</v>
      </c>
      <c r="F155" s="40" t="str">
        <f aca="false">IF($C155="","",INDEX(Planos!$D$3:$D$27,7))</f>
        <v>Manutenção preventiva</v>
      </c>
      <c r="G155" s="41" t="n">
        <f aca="false">IF($C155="",0,INDEX(Planos!$F$3:$F$27,7)+(9-1)*INDEX(Planos!$E$3:$E$27,7))</f>
        <v>46798</v>
      </c>
      <c r="H155" s="40" t="str">
        <f aca="false">IF($C155="","",INDEX(Planos!$H$3:$H$27,7))</f>
        <v>Juliana Reis</v>
      </c>
      <c r="I155" s="41" t="str">
        <f aca="false">IF($C155="","",IF(INDEX(Planos!$J$3:$AG$27,$A155,$B155)=0,"",INDEX(Planos!$J$3:$AG$27,$A155,$B155)))</f>
        <v/>
      </c>
      <c r="J155" s="26" t="str">
        <f aca="false">IF($C155="","",IF($I155&lt;&gt;"","Realizada",IF($G155&lt;INT(Parâmetros!$C$4),"Atrasada","Agendada")))</f>
        <v>Agendada</v>
      </c>
      <c r="K155" s="42" t="str">
        <f aca="false">IF($C155="","",IF($I155&lt;&gt;"",$I155-$G155,IF($J155="Atrasada",INT(Parâmetros!$C$4)-$G155,"")))</f>
        <v/>
      </c>
      <c r="L155" s="26" t="str">
        <f aca="false">IF($J155&lt;&gt;"Realizada","",IF($K155&lt;=0,"No prazo",IF($K155&lt;=7,"Até 7 dias",IF($K155&lt;=30,"Até 30 dias","Acima de 30"))))</f>
        <v/>
      </c>
      <c r="M155" s="26" t="n">
        <f aca="false">IF($C155="","",COUNTIFS($G$3:$G155,$G155))</f>
        <v>1</v>
      </c>
      <c r="N155" s="26" t="str">
        <f aca="false">IF($C155="","",$G155&amp;"|"&amp;$M155)</f>
        <v>46798|1</v>
      </c>
    </row>
    <row r="156" customFormat="false" ht="18" hidden="false" customHeight="true" outlineLevel="0" collapsed="false">
      <c r="A156" s="26" t="n">
        <v>7</v>
      </c>
      <c r="B156" s="26" t="n">
        <v>10</v>
      </c>
      <c r="C156" s="26" t="str">
        <f aca="false">IF(INDEX(Planos!$B$3:$B$27,7)="","",IF(10&gt;INDEX(Planos!$G$3:$G$27,7),"",INDEX(Planos!$B$3:$B$27,7)))</f>
        <v>FB-001</v>
      </c>
      <c r="D156" s="40" t="str">
        <f aca="false">IF($C156="","",IFERROR(INDEX(Ativos!$B$3:$B$42,MATCH($C156,Ativos!$A$3:$A$42,0)),""))</f>
        <v>Furadeira de bancada 5/8"</v>
      </c>
      <c r="E156" s="40" t="str">
        <f aca="false">IF($C156="","",INDEX(Planos!$C$3:$C$27,7))</f>
        <v>Preventiva trimestral — mandril e polias</v>
      </c>
      <c r="F156" s="40" t="str">
        <f aca="false">IF($C156="","",INDEX(Planos!$D$3:$D$27,7))</f>
        <v>Manutenção preventiva</v>
      </c>
      <c r="G156" s="41" t="n">
        <f aca="false">IF($C156="",0,INDEX(Planos!$F$3:$F$27,7)+(10-1)*INDEX(Planos!$E$3:$E$27,7))</f>
        <v>46888</v>
      </c>
      <c r="H156" s="40" t="str">
        <f aca="false">IF($C156="","",INDEX(Planos!$H$3:$H$27,7))</f>
        <v>Juliana Reis</v>
      </c>
      <c r="I156" s="41" t="str">
        <f aca="false">IF($C156="","",IF(INDEX(Planos!$J$3:$AG$27,$A156,$B156)=0,"",INDEX(Planos!$J$3:$AG$27,$A156,$B156)))</f>
        <v/>
      </c>
      <c r="J156" s="26" t="str">
        <f aca="false">IF($C156="","",IF($I156&lt;&gt;"","Realizada",IF($G156&lt;INT(Parâmetros!$C$4),"Atrasada","Agendada")))</f>
        <v>Agendada</v>
      </c>
      <c r="K156" s="42" t="str">
        <f aca="false">IF($C156="","",IF($I156&lt;&gt;"",$I156-$G156,IF($J156="Atrasada",INT(Parâmetros!$C$4)-$G156,"")))</f>
        <v/>
      </c>
      <c r="L156" s="26" t="str">
        <f aca="false">IF($J156&lt;&gt;"Realizada","",IF($K156&lt;=0,"No prazo",IF($K156&lt;=7,"Até 7 dias",IF($K156&lt;=30,"Até 30 dias","Acima de 30"))))</f>
        <v/>
      </c>
      <c r="M156" s="26" t="n">
        <f aca="false">IF($C156="","",COUNTIFS($G$3:$G156,$G156))</f>
        <v>1</v>
      </c>
      <c r="N156" s="26" t="str">
        <f aca="false">IF($C156="","",$G156&amp;"|"&amp;$M156)</f>
        <v>46888|1</v>
      </c>
    </row>
    <row r="157" customFormat="false" ht="18" hidden="false" customHeight="true" outlineLevel="0" collapsed="false">
      <c r="A157" s="26" t="n">
        <v>7</v>
      </c>
      <c r="B157" s="26" t="n">
        <v>11</v>
      </c>
      <c r="C157" s="26" t="str">
        <f aca="false">IF(INDEX(Planos!$B$3:$B$27,7)="","",IF(11&gt;INDEX(Planos!$G$3:$G$27,7),"",INDEX(Planos!$B$3:$B$27,7)))</f>
        <v>FB-001</v>
      </c>
      <c r="D157" s="40" t="str">
        <f aca="false">IF($C157="","",IFERROR(INDEX(Ativos!$B$3:$B$42,MATCH($C157,Ativos!$A$3:$A$42,0)),""))</f>
        <v>Furadeira de bancada 5/8"</v>
      </c>
      <c r="E157" s="40" t="str">
        <f aca="false">IF($C157="","",INDEX(Planos!$C$3:$C$27,7))</f>
        <v>Preventiva trimestral — mandril e polias</v>
      </c>
      <c r="F157" s="40" t="str">
        <f aca="false">IF($C157="","",INDEX(Planos!$D$3:$D$27,7))</f>
        <v>Manutenção preventiva</v>
      </c>
      <c r="G157" s="41" t="n">
        <f aca="false">IF($C157="",0,INDEX(Planos!$F$3:$F$27,7)+(11-1)*INDEX(Planos!$E$3:$E$27,7))</f>
        <v>46978</v>
      </c>
      <c r="H157" s="40" t="str">
        <f aca="false">IF($C157="","",INDEX(Planos!$H$3:$H$27,7))</f>
        <v>Juliana Reis</v>
      </c>
      <c r="I157" s="41" t="str">
        <f aca="false">IF($C157="","",IF(INDEX(Planos!$J$3:$AG$27,$A157,$B157)=0,"",INDEX(Planos!$J$3:$AG$27,$A157,$B157)))</f>
        <v/>
      </c>
      <c r="J157" s="26" t="str">
        <f aca="false">IF($C157="","",IF($I157&lt;&gt;"","Realizada",IF($G157&lt;INT(Parâmetros!$C$4),"Atrasada","Agendada")))</f>
        <v>Agendada</v>
      </c>
      <c r="K157" s="42" t="str">
        <f aca="false">IF($C157="","",IF($I157&lt;&gt;"",$I157-$G157,IF($J157="Atrasada",INT(Parâmetros!$C$4)-$G157,"")))</f>
        <v/>
      </c>
      <c r="L157" s="26" t="str">
        <f aca="false">IF($J157&lt;&gt;"Realizada","",IF($K157&lt;=0,"No prazo",IF($K157&lt;=7,"Até 7 dias",IF($K157&lt;=30,"Até 30 dias","Acima de 30"))))</f>
        <v/>
      </c>
      <c r="M157" s="26" t="n">
        <f aca="false">IF($C157="","",COUNTIFS($G$3:$G157,$G157))</f>
        <v>1</v>
      </c>
      <c r="N157" s="26" t="str">
        <f aca="false">IF($C157="","",$G157&amp;"|"&amp;$M157)</f>
        <v>46978|1</v>
      </c>
    </row>
    <row r="158" customFormat="false" ht="18" hidden="false" customHeight="true" outlineLevel="0" collapsed="false">
      <c r="A158" s="26" t="n">
        <v>7</v>
      </c>
      <c r="B158" s="26" t="n">
        <v>12</v>
      </c>
      <c r="C158" s="26" t="str">
        <f aca="false">IF(INDEX(Planos!$B$3:$B$27,7)="","",IF(12&gt;INDEX(Planos!$G$3:$G$27,7),"",INDEX(Planos!$B$3:$B$27,7)))</f>
        <v>FB-001</v>
      </c>
      <c r="D158" s="40" t="str">
        <f aca="false">IF($C158="","",IFERROR(INDEX(Ativos!$B$3:$B$42,MATCH($C158,Ativos!$A$3:$A$42,0)),""))</f>
        <v>Furadeira de bancada 5/8"</v>
      </c>
      <c r="E158" s="40" t="str">
        <f aca="false">IF($C158="","",INDEX(Planos!$C$3:$C$27,7))</f>
        <v>Preventiva trimestral — mandril e polias</v>
      </c>
      <c r="F158" s="40" t="str">
        <f aca="false">IF($C158="","",INDEX(Planos!$D$3:$D$27,7))</f>
        <v>Manutenção preventiva</v>
      </c>
      <c r="G158" s="41" t="n">
        <f aca="false">IF($C158="",0,INDEX(Planos!$F$3:$F$27,7)+(12-1)*INDEX(Planos!$E$3:$E$27,7))</f>
        <v>47068</v>
      </c>
      <c r="H158" s="40" t="str">
        <f aca="false">IF($C158="","",INDEX(Planos!$H$3:$H$27,7))</f>
        <v>Juliana Reis</v>
      </c>
      <c r="I158" s="41" t="str">
        <f aca="false">IF($C158="","",IF(INDEX(Planos!$J$3:$AG$27,$A158,$B158)=0,"",INDEX(Planos!$J$3:$AG$27,$A158,$B158)))</f>
        <v/>
      </c>
      <c r="J158" s="26" t="str">
        <f aca="false">IF($C158="","",IF($I158&lt;&gt;"","Realizada",IF($G158&lt;INT(Parâmetros!$C$4),"Atrasada","Agendada")))</f>
        <v>Agendada</v>
      </c>
      <c r="K158" s="42" t="str">
        <f aca="false">IF($C158="","",IF($I158&lt;&gt;"",$I158-$G158,IF($J158="Atrasada",INT(Parâmetros!$C$4)-$G158,"")))</f>
        <v/>
      </c>
      <c r="L158" s="26" t="str">
        <f aca="false">IF($J158&lt;&gt;"Realizada","",IF($K158&lt;=0,"No prazo",IF($K158&lt;=7,"Até 7 dias",IF($K158&lt;=30,"Até 30 dias","Acima de 30"))))</f>
        <v/>
      </c>
      <c r="M158" s="26" t="n">
        <f aca="false">IF($C158="","",COUNTIFS($G$3:$G158,$G158))</f>
        <v>1</v>
      </c>
      <c r="N158" s="26" t="str">
        <f aca="false">IF($C158="","",$G158&amp;"|"&amp;$M158)</f>
        <v>47068|1</v>
      </c>
    </row>
    <row r="159" customFormat="false" ht="18" hidden="false" customHeight="true" outlineLevel="0" collapsed="false">
      <c r="A159" s="26" t="n">
        <v>7</v>
      </c>
      <c r="B159" s="26" t="n">
        <v>13</v>
      </c>
      <c r="C159" s="26" t="str">
        <f aca="false">IF(INDEX(Planos!$B$3:$B$27,7)="","",IF(13&gt;INDEX(Planos!$G$3:$G$27,7),"",INDEX(Planos!$B$3:$B$27,7)))</f>
        <v/>
      </c>
      <c r="D159" s="40" t="str">
        <f aca="false">IF($C159="","",IFERROR(INDEX(Ativos!$B$3:$B$42,MATCH($C159,Ativos!$A$3:$A$42,0)),""))</f>
        <v/>
      </c>
      <c r="E159" s="40" t="str">
        <f aca="false">IF($C159="","",INDEX(Planos!$C$3:$C$27,7))</f>
        <v/>
      </c>
      <c r="F159" s="40" t="str">
        <f aca="false">IF($C159="","",INDEX(Planos!$D$3:$D$27,7))</f>
        <v/>
      </c>
      <c r="G159" s="41" t="n">
        <f aca="false">IF($C159="",0,INDEX(Planos!$F$3:$F$27,7)+(13-1)*INDEX(Planos!$E$3:$E$27,7))</f>
        <v>0</v>
      </c>
      <c r="H159" s="40" t="str">
        <f aca="false">IF($C159="","",INDEX(Planos!$H$3:$H$27,7))</f>
        <v/>
      </c>
      <c r="I159" s="41" t="str">
        <f aca="false">IF($C159="","",IF(INDEX(Planos!$J$3:$AG$27,$A159,$B159)=0,"",INDEX(Planos!$J$3:$AG$27,$A159,$B159)))</f>
        <v/>
      </c>
      <c r="J159" s="26" t="str">
        <f aca="false">IF($C159="","",IF($I159&lt;&gt;"","Realizada",IF($G159&lt;INT(Parâmetros!$C$4),"Atrasada","Agendada")))</f>
        <v/>
      </c>
      <c r="K159" s="42" t="str">
        <f aca="false">IF($C159="","",IF($I159&lt;&gt;"",$I159-$G159,IF($J159="Atrasada",INT(Parâmetros!$C$4)-$G159,"")))</f>
        <v/>
      </c>
      <c r="L159" s="26" t="str">
        <f aca="false">IF($J159&lt;&gt;"Realizada","",IF($K159&lt;=0,"No prazo",IF($K159&lt;=7,"Até 7 dias",IF($K159&lt;=30,"Até 30 dias","Acima de 30"))))</f>
        <v/>
      </c>
      <c r="M159" s="26" t="str">
        <f aca="false">IF($C159="","",COUNTIFS($G$3:$G159,$G159))</f>
        <v/>
      </c>
      <c r="N159" s="26" t="str">
        <f aca="false">IF($C159="","",$G159&amp;"|"&amp;$M159)</f>
        <v/>
      </c>
    </row>
    <row r="160" customFormat="false" ht="18" hidden="false" customHeight="true" outlineLevel="0" collapsed="false">
      <c r="A160" s="26" t="n">
        <v>7</v>
      </c>
      <c r="B160" s="26" t="n">
        <v>14</v>
      </c>
      <c r="C160" s="26" t="str">
        <f aca="false">IF(INDEX(Planos!$B$3:$B$27,7)="","",IF(14&gt;INDEX(Planos!$G$3:$G$27,7),"",INDEX(Planos!$B$3:$B$27,7)))</f>
        <v/>
      </c>
      <c r="D160" s="40" t="str">
        <f aca="false">IF($C160="","",IFERROR(INDEX(Ativos!$B$3:$B$42,MATCH($C160,Ativos!$A$3:$A$42,0)),""))</f>
        <v/>
      </c>
      <c r="E160" s="40" t="str">
        <f aca="false">IF($C160="","",INDEX(Planos!$C$3:$C$27,7))</f>
        <v/>
      </c>
      <c r="F160" s="40" t="str">
        <f aca="false">IF($C160="","",INDEX(Planos!$D$3:$D$27,7))</f>
        <v/>
      </c>
      <c r="G160" s="41" t="n">
        <f aca="false">IF($C160="",0,INDEX(Planos!$F$3:$F$27,7)+(14-1)*INDEX(Planos!$E$3:$E$27,7))</f>
        <v>0</v>
      </c>
      <c r="H160" s="40" t="str">
        <f aca="false">IF($C160="","",INDEX(Planos!$H$3:$H$27,7))</f>
        <v/>
      </c>
      <c r="I160" s="41" t="str">
        <f aca="false">IF($C160="","",IF(INDEX(Planos!$J$3:$AG$27,$A160,$B160)=0,"",INDEX(Planos!$J$3:$AG$27,$A160,$B160)))</f>
        <v/>
      </c>
      <c r="J160" s="26" t="str">
        <f aca="false">IF($C160="","",IF($I160&lt;&gt;"","Realizada",IF($G160&lt;INT(Parâmetros!$C$4),"Atrasada","Agendada")))</f>
        <v/>
      </c>
      <c r="K160" s="42" t="str">
        <f aca="false">IF($C160="","",IF($I160&lt;&gt;"",$I160-$G160,IF($J160="Atrasada",INT(Parâmetros!$C$4)-$G160,"")))</f>
        <v/>
      </c>
      <c r="L160" s="26" t="str">
        <f aca="false">IF($J160&lt;&gt;"Realizada","",IF($K160&lt;=0,"No prazo",IF($K160&lt;=7,"Até 7 dias",IF($K160&lt;=30,"Até 30 dias","Acima de 30"))))</f>
        <v/>
      </c>
      <c r="M160" s="26" t="str">
        <f aca="false">IF($C160="","",COUNTIFS($G$3:$G160,$G160))</f>
        <v/>
      </c>
      <c r="N160" s="26" t="str">
        <f aca="false">IF($C160="","",$G160&amp;"|"&amp;$M160)</f>
        <v/>
      </c>
    </row>
    <row r="161" customFormat="false" ht="18" hidden="false" customHeight="true" outlineLevel="0" collapsed="false">
      <c r="A161" s="26" t="n">
        <v>7</v>
      </c>
      <c r="B161" s="26" t="n">
        <v>15</v>
      </c>
      <c r="C161" s="26" t="str">
        <f aca="false">IF(INDEX(Planos!$B$3:$B$27,7)="","",IF(15&gt;INDEX(Planos!$G$3:$G$27,7),"",INDEX(Planos!$B$3:$B$27,7)))</f>
        <v/>
      </c>
      <c r="D161" s="40" t="str">
        <f aca="false">IF($C161="","",IFERROR(INDEX(Ativos!$B$3:$B$42,MATCH($C161,Ativos!$A$3:$A$42,0)),""))</f>
        <v/>
      </c>
      <c r="E161" s="40" t="str">
        <f aca="false">IF($C161="","",INDEX(Planos!$C$3:$C$27,7))</f>
        <v/>
      </c>
      <c r="F161" s="40" t="str">
        <f aca="false">IF($C161="","",INDEX(Planos!$D$3:$D$27,7))</f>
        <v/>
      </c>
      <c r="G161" s="41" t="n">
        <f aca="false">IF($C161="",0,INDEX(Planos!$F$3:$F$27,7)+(15-1)*INDEX(Planos!$E$3:$E$27,7))</f>
        <v>0</v>
      </c>
      <c r="H161" s="40" t="str">
        <f aca="false">IF($C161="","",INDEX(Planos!$H$3:$H$27,7))</f>
        <v/>
      </c>
      <c r="I161" s="41" t="str">
        <f aca="false">IF($C161="","",IF(INDEX(Planos!$J$3:$AG$27,$A161,$B161)=0,"",INDEX(Planos!$J$3:$AG$27,$A161,$B161)))</f>
        <v/>
      </c>
      <c r="J161" s="26" t="str">
        <f aca="false">IF($C161="","",IF($I161&lt;&gt;"","Realizada",IF($G161&lt;INT(Parâmetros!$C$4),"Atrasada","Agendada")))</f>
        <v/>
      </c>
      <c r="K161" s="42" t="str">
        <f aca="false">IF($C161="","",IF($I161&lt;&gt;"",$I161-$G161,IF($J161="Atrasada",INT(Parâmetros!$C$4)-$G161,"")))</f>
        <v/>
      </c>
      <c r="L161" s="26" t="str">
        <f aca="false">IF($J161&lt;&gt;"Realizada","",IF($K161&lt;=0,"No prazo",IF($K161&lt;=7,"Até 7 dias",IF($K161&lt;=30,"Até 30 dias","Acima de 30"))))</f>
        <v/>
      </c>
      <c r="M161" s="26" t="str">
        <f aca="false">IF($C161="","",COUNTIFS($G$3:$G161,$G161))</f>
        <v/>
      </c>
      <c r="N161" s="26" t="str">
        <f aca="false">IF($C161="","",$G161&amp;"|"&amp;$M161)</f>
        <v/>
      </c>
    </row>
    <row r="162" customFormat="false" ht="18" hidden="false" customHeight="true" outlineLevel="0" collapsed="false">
      <c r="A162" s="26" t="n">
        <v>7</v>
      </c>
      <c r="B162" s="26" t="n">
        <v>16</v>
      </c>
      <c r="C162" s="26" t="str">
        <f aca="false">IF(INDEX(Planos!$B$3:$B$27,7)="","",IF(16&gt;INDEX(Planos!$G$3:$G$27,7),"",INDEX(Planos!$B$3:$B$27,7)))</f>
        <v/>
      </c>
      <c r="D162" s="40" t="str">
        <f aca="false">IF($C162="","",IFERROR(INDEX(Ativos!$B$3:$B$42,MATCH($C162,Ativos!$A$3:$A$42,0)),""))</f>
        <v/>
      </c>
      <c r="E162" s="40" t="str">
        <f aca="false">IF($C162="","",INDEX(Planos!$C$3:$C$27,7))</f>
        <v/>
      </c>
      <c r="F162" s="40" t="str">
        <f aca="false">IF($C162="","",INDEX(Planos!$D$3:$D$27,7))</f>
        <v/>
      </c>
      <c r="G162" s="41" t="n">
        <f aca="false">IF($C162="",0,INDEX(Planos!$F$3:$F$27,7)+(16-1)*INDEX(Planos!$E$3:$E$27,7))</f>
        <v>0</v>
      </c>
      <c r="H162" s="40" t="str">
        <f aca="false">IF($C162="","",INDEX(Planos!$H$3:$H$27,7))</f>
        <v/>
      </c>
      <c r="I162" s="41" t="str">
        <f aca="false">IF($C162="","",IF(INDEX(Planos!$J$3:$AG$27,$A162,$B162)=0,"",INDEX(Planos!$J$3:$AG$27,$A162,$B162)))</f>
        <v/>
      </c>
      <c r="J162" s="26" t="str">
        <f aca="false">IF($C162="","",IF($I162&lt;&gt;"","Realizada",IF($G162&lt;INT(Parâmetros!$C$4),"Atrasada","Agendada")))</f>
        <v/>
      </c>
      <c r="K162" s="42" t="str">
        <f aca="false">IF($C162="","",IF($I162&lt;&gt;"",$I162-$G162,IF($J162="Atrasada",INT(Parâmetros!$C$4)-$G162,"")))</f>
        <v/>
      </c>
      <c r="L162" s="26" t="str">
        <f aca="false">IF($J162&lt;&gt;"Realizada","",IF($K162&lt;=0,"No prazo",IF($K162&lt;=7,"Até 7 dias",IF($K162&lt;=30,"Até 30 dias","Acima de 30"))))</f>
        <v/>
      </c>
      <c r="M162" s="26" t="str">
        <f aca="false">IF($C162="","",COUNTIFS($G$3:$G162,$G162))</f>
        <v/>
      </c>
      <c r="N162" s="26" t="str">
        <f aca="false">IF($C162="","",$G162&amp;"|"&amp;$M162)</f>
        <v/>
      </c>
    </row>
    <row r="163" customFormat="false" ht="18" hidden="false" customHeight="true" outlineLevel="0" collapsed="false">
      <c r="A163" s="26" t="n">
        <v>7</v>
      </c>
      <c r="B163" s="26" t="n">
        <v>17</v>
      </c>
      <c r="C163" s="26" t="str">
        <f aca="false">IF(INDEX(Planos!$B$3:$B$27,7)="","",IF(17&gt;INDEX(Planos!$G$3:$G$27,7),"",INDEX(Planos!$B$3:$B$27,7)))</f>
        <v/>
      </c>
      <c r="D163" s="40" t="str">
        <f aca="false">IF($C163="","",IFERROR(INDEX(Ativos!$B$3:$B$42,MATCH($C163,Ativos!$A$3:$A$42,0)),""))</f>
        <v/>
      </c>
      <c r="E163" s="40" t="str">
        <f aca="false">IF($C163="","",INDEX(Planos!$C$3:$C$27,7))</f>
        <v/>
      </c>
      <c r="F163" s="40" t="str">
        <f aca="false">IF($C163="","",INDEX(Planos!$D$3:$D$27,7))</f>
        <v/>
      </c>
      <c r="G163" s="41" t="n">
        <f aca="false">IF($C163="",0,INDEX(Planos!$F$3:$F$27,7)+(17-1)*INDEX(Planos!$E$3:$E$27,7))</f>
        <v>0</v>
      </c>
      <c r="H163" s="40" t="str">
        <f aca="false">IF($C163="","",INDEX(Planos!$H$3:$H$27,7))</f>
        <v/>
      </c>
      <c r="I163" s="41" t="str">
        <f aca="false">IF($C163="","",IF(INDEX(Planos!$J$3:$AG$27,$A163,$B163)=0,"",INDEX(Planos!$J$3:$AG$27,$A163,$B163)))</f>
        <v/>
      </c>
      <c r="J163" s="26" t="str">
        <f aca="false">IF($C163="","",IF($I163&lt;&gt;"","Realizada",IF($G163&lt;INT(Parâmetros!$C$4),"Atrasada","Agendada")))</f>
        <v/>
      </c>
      <c r="K163" s="42" t="str">
        <f aca="false">IF($C163="","",IF($I163&lt;&gt;"",$I163-$G163,IF($J163="Atrasada",INT(Parâmetros!$C$4)-$G163,"")))</f>
        <v/>
      </c>
      <c r="L163" s="26" t="str">
        <f aca="false">IF($J163&lt;&gt;"Realizada","",IF($K163&lt;=0,"No prazo",IF($K163&lt;=7,"Até 7 dias",IF($K163&lt;=30,"Até 30 dias","Acima de 30"))))</f>
        <v/>
      </c>
      <c r="M163" s="26" t="str">
        <f aca="false">IF($C163="","",COUNTIFS($G$3:$G163,$G163))</f>
        <v/>
      </c>
      <c r="N163" s="26" t="str">
        <f aca="false">IF($C163="","",$G163&amp;"|"&amp;$M163)</f>
        <v/>
      </c>
    </row>
    <row r="164" customFormat="false" ht="18" hidden="false" customHeight="true" outlineLevel="0" collapsed="false">
      <c r="A164" s="26" t="n">
        <v>7</v>
      </c>
      <c r="B164" s="26" t="n">
        <v>18</v>
      </c>
      <c r="C164" s="26" t="str">
        <f aca="false">IF(INDEX(Planos!$B$3:$B$27,7)="","",IF(18&gt;INDEX(Planos!$G$3:$G$27,7),"",INDEX(Planos!$B$3:$B$27,7)))</f>
        <v/>
      </c>
      <c r="D164" s="40" t="str">
        <f aca="false">IF($C164="","",IFERROR(INDEX(Ativos!$B$3:$B$42,MATCH($C164,Ativos!$A$3:$A$42,0)),""))</f>
        <v/>
      </c>
      <c r="E164" s="40" t="str">
        <f aca="false">IF($C164="","",INDEX(Planos!$C$3:$C$27,7))</f>
        <v/>
      </c>
      <c r="F164" s="40" t="str">
        <f aca="false">IF($C164="","",INDEX(Planos!$D$3:$D$27,7))</f>
        <v/>
      </c>
      <c r="G164" s="41" t="n">
        <f aca="false">IF($C164="",0,INDEX(Planos!$F$3:$F$27,7)+(18-1)*INDEX(Planos!$E$3:$E$27,7))</f>
        <v>0</v>
      </c>
      <c r="H164" s="40" t="str">
        <f aca="false">IF($C164="","",INDEX(Planos!$H$3:$H$27,7))</f>
        <v/>
      </c>
      <c r="I164" s="41" t="str">
        <f aca="false">IF($C164="","",IF(INDEX(Planos!$J$3:$AG$27,$A164,$B164)=0,"",INDEX(Planos!$J$3:$AG$27,$A164,$B164)))</f>
        <v/>
      </c>
      <c r="J164" s="26" t="str">
        <f aca="false">IF($C164="","",IF($I164&lt;&gt;"","Realizada",IF($G164&lt;INT(Parâmetros!$C$4),"Atrasada","Agendada")))</f>
        <v/>
      </c>
      <c r="K164" s="42" t="str">
        <f aca="false">IF($C164="","",IF($I164&lt;&gt;"",$I164-$G164,IF($J164="Atrasada",INT(Parâmetros!$C$4)-$G164,"")))</f>
        <v/>
      </c>
      <c r="L164" s="26" t="str">
        <f aca="false">IF($J164&lt;&gt;"Realizada","",IF($K164&lt;=0,"No prazo",IF($K164&lt;=7,"Até 7 dias",IF($K164&lt;=30,"Até 30 dias","Acima de 30"))))</f>
        <v/>
      </c>
      <c r="M164" s="26" t="str">
        <f aca="false">IF($C164="","",COUNTIFS($G$3:$G164,$G164))</f>
        <v/>
      </c>
      <c r="N164" s="26" t="str">
        <f aca="false">IF($C164="","",$G164&amp;"|"&amp;$M164)</f>
        <v/>
      </c>
    </row>
    <row r="165" customFormat="false" ht="18" hidden="false" customHeight="true" outlineLevel="0" collapsed="false">
      <c r="A165" s="26" t="n">
        <v>7</v>
      </c>
      <c r="B165" s="26" t="n">
        <v>19</v>
      </c>
      <c r="C165" s="26" t="str">
        <f aca="false">IF(INDEX(Planos!$B$3:$B$27,7)="","",IF(19&gt;INDEX(Planos!$G$3:$G$27,7),"",INDEX(Planos!$B$3:$B$27,7)))</f>
        <v/>
      </c>
      <c r="D165" s="40" t="str">
        <f aca="false">IF($C165="","",IFERROR(INDEX(Ativos!$B$3:$B$42,MATCH($C165,Ativos!$A$3:$A$42,0)),""))</f>
        <v/>
      </c>
      <c r="E165" s="40" t="str">
        <f aca="false">IF($C165="","",INDEX(Planos!$C$3:$C$27,7))</f>
        <v/>
      </c>
      <c r="F165" s="40" t="str">
        <f aca="false">IF($C165="","",INDEX(Planos!$D$3:$D$27,7))</f>
        <v/>
      </c>
      <c r="G165" s="41" t="n">
        <f aca="false">IF($C165="",0,INDEX(Planos!$F$3:$F$27,7)+(19-1)*INDEX(Planos!$E$3:$E$27,7))</f>
        <v>0</v>
      </c>
      <c r="H165" s="40" t="str">
        <f aca="false">IF($C165="","",INDEX(Planos!$H$3:$H$27,7))</f>
        <v/>
      </c>
      <c r="I165" s="41" t="str">
        <f aca="false">IF($C165="","",IF(INDEX(Planos!$J$3:$AG$27,$A165,$B165)=0,"",INDEX(Planos!$J$3:$AG$27,$A165,$B165)))</f>
        <v/>
      </c>
      <c r="J165" s="26" t="str">
        <f aca="false">IF($C165="","",IF($I165&lt;&gt;"","Realizada",IF($G165&lt;INT(Parâmetros!$C$4),"Atrasada","Agendada")))</f>
        <v/>
      </c>
      <c r="K165" s="42" t="str">
        <f aca="false">IF($C165="","",IF($I165&lt;&gt;"",$I165-$G165,IF($J165="Atrasada",INT(Parâmetros!$C$4)-$G165,"")))</f>
        <v/>
      </c>
      <c r="L165" s="26" t="str">
        <f aca="false">IF($J165&lt;&gt;"Realizada","",IF($K165&lt;=0,"No prazo",IF($K165&lt;=7,"Até 7 dias",IF($K165&lt;=30,"Até 30 dias","Acima de 30"))))</f>
        <v/>
      </c>
      <c r="M165" s="26" t="str">
        <f aca="false">IF($C165="","",COUNTIFS($G$3:$G165,$G165))</f>
        <v/>
      </c>
      <c r="N165" s="26" t="str">
        <f aca="false">IF($C165="","",$G165&amp;"|"&amp;$M165)</f>
        <v/>
      </c>
    </row>
    <row r="166" customFormat="false" ht="18" hidden="false" customHeight="true" outlineLevel="0" collapsed="false">
      <c r="A166" s="26" t="n">
        <v>7</v>
      </c>
      <c r="B166" s="26" t="n">
        <v>20</v>
      </c>
      <c r="C166" s="26" t="str">
        <f aca="false">IF(INDEX(Planos!$B$3:$B$27,7)="","",IF(20&gt;INDEX(Planos!$G$3:$G$27,7),"",INDEX(Planos!$B$3:$B$27,7)))</f>
        <v/>
      </c>
      <c r="D166" s="40" t="str">
        <f aca="false">IF($C166="","",IFERROR(INDEX(Ativos!$B$3:$B$42,MATCH($C166,Ativos!$A$3:$A$42,0)),""))</f>
        <v/>
      </c>
      <c r="E166" s="40" t="str">
        <f aca="false">IF($C166="","",INDEX(Planos!$C$3:$C$27,7))</f>
        <v/>
      </c>
      <c r="F166" s="40" t="str">
        <f aca="false">IF($C166="","",INDEX(Planos!$D$3:$D$27,7))</f>
        <v/>
      </c>
      <c r="G166" s="41" t="n">
        <f aca="false">IF($C166="",0,INDEX(Planos!$F$3:$F$27,7)+(20-1)*INDEX(Planos!$E$3:$E$27,7))</f>
        <v>0</v>
      </c>
      <c r="H166" s="40" t="str">
        <f aca="false">IF($C166="","",INDEX(Planos!$H$3:$H$27,7))</f>
        <v/>
      </c>
      <c r="I166" s="41" t="str">
        <f aca="false">IF($C166="","",IF(INDEX(Planos!$J$3:$AG$27,$A166,$B166)=0,"",INDEX(Planos!$J$3:$AG$27,$A166,$B166)))</f>
        <v/>
      </c>
      <c r="J166" s="26" t="str">
        <f aca="false">IF($C166="","",IF($I166&lt;&gt;"","Realizada",IF($G166&lt;INT(Parâmetros!$C$4),"Atrasada","Agendada")))</f>
        <v/>
      </c>
      <c r="K166" s="42" t="str">
        <f aca="false">IF($C166="","",IF($I166&lt;&gt;"",$I166-$G166,IF($J166="Atrasada",INT(Parâmetros!$C$4)-$G166,"")))</f>
        <v/>
      </c>
      <c r="L166" s="26" t="str">
        <f aca="false">IF($J166&lt;&gt;"Realizada","",IF($K166&lt;=0,"No prazo",IF($K166&lt;=7,"Até 7 dias",IF($K166&lt;=30,"Até 30 dias","Acima de 30"))))</f>
        <v/>
      </c>
      <c r="M166" s="26" t="str">
        <f aca="false">IF($C166="","",COUNTIFS($G$3:$G166,$G166))</f>
        <v/>
      </c>
      <c r="N166" s="26" t="str">
        <f aca="false">IF($C166="","",$G166&amp;"|"&amp;$M166)</f>
        <v/>
      </c>
    </row>
    <row r="167" customFormat="false" ht="18" hidden="false" customHeight="true" outlineLevel="0" collapsed="false">
      <c r="A167" s="26" t="n">
        <v>7</v>
      </c>
      <c r="B167" s="26" t="n">
        <v>21</v>
      </c>
      <c r="C167" s="26" t="str">
        <f aca="false">IF(INDEX(Planos!$B$3:$B$27,7)="","",IF(21&gt;INDEX(Planos!$G$3:$G$27,7),"",INDEX(Planos!$B$3:$B$27,7)))</f>
        <v/>
      </c>
      <c r="D167" s="40" t="str">
        <f aca="false">IF($C167="","",IFERROR(INDEX(Ativos!$B$3:$B$42,MATCH($C167,Ativos!$A$3:$A$42,0)),""))</f>
        <v/>
      </c>
      <c r="E167" s="40" t="str">
        <f aca="false">IF($C167="","",INDEX(Planos!$C$3:$C$27,7))</f>
        <v/>
      </c>
      <c r="F167" s="40" t="str">
        <f aca="false">IF($C167="","",INDEX(Planos!$D$3:$D$27,7))</f>
        <v/>
      </c>
      <c r="G167" s="41" t="n">
        <f aca="false">IF($C167="",0,INDEX(Planos!$F$3:$F$27,7)+(21-1)*INDEX(Planos!$E$3:$E$27,7))</f>
        <v>0</v>
      </c>
      <c r="H167" s="40" t="str">
        <f aca="false">IF($C167="","",INDEX(Planos!$H$3:$H$27,7))</f>
        <v/>
      </c>
      <c r="I167" s="41" t="str">
        <f aca="false">IF($C167="","",IF(INDEX(Planos!$J$3:$AG$27,$A167,$B167)=0,"",INDEX(Planos!$J$3:$AG$27,$A167,$B167)))</f>
        <v/>
      </c>
      <c r="J167" s="26" t="str">
        <f aca="false">IF($C167="","",IF($I167&lt;&gt;"","Realizada",IF($G167&lt;INT(Parâmetros!$C$4),"Atrasada","Agendada")))</f>
        <v/>
      </c>
      <c r="K167" s="42" t="str">
        <f aca="false">IF($C167="","",IF($I167&lt;&gt;"",$I167-$G167,IF($J167="Atrasada",INT(Parâmetros!$C$4)-$G167,"")))</f>
        <v/>
      </c>
      <c r="L167" s="26" t="str">
        <f aca="false">IF($J167&lt;&gt;"Realizada","",IF($K167&lt;=0,"No prazo",IF($K167&lt;=7,"Até 7 dias",IF($K167&lt;=30,"Até 30 dias","Acima de 30"))))</f>
        <v/>
      </c>
      <c r="M167" s="26" t="str">
        <f aca="false">IF($C167="","",COUNTIFS($G$3:$G167,$G167))</f>
        <v/>
      </c>
      <c r="N167" s="26" t="str">
        <f aca="false">IF($C167="","",$G167&amp;"|"&amp;$M167)</f>
        <v/>
      </c>
    </row>
    <row r="168" customFormat="false" ht="18" hidden="false" customHeight="true" outlineLevel="0" collapsed="false">
      <c r="A168" s="26" t="n">
        <v>7</v>
      </c>
      <c r="B168" s="26" t="n">
        <v>22</v>
      </c>
      <c r="C168" s="26" t="str">
        <f aca="false">IF(INDEX(Planos!$B$3:$B$27,7)="","",IF(22&gt;INDEX(Planos!$G$3:$G$27,7),"",INDEX(Planos!$B$3:$B$27,7)))</f>
        <v/>
      </c>
      <c r="D168" s="40" t="str">
        <f aca="false">IF($C168="","",IFERROR(INDEX(Ativos!$B$3:$B$42,MATCH($C168,Ativos!$A$3:$A$42,0)),""))</f>
        <v/>
      </c>
      <c r="E168" s="40" t="str">
        <f aca="false">IF($C168="","",INDEX(Planos!$C$3:$C$27,7))</f>
        <v/>
      </c>
      <c r="F168" s="40" t="str">
        <f aca="false">IF($C168="","",INDEX(Planos!$D$3:$D$27,7))</f>
        <v/>
      </c>
      <c r="G168" s="41" t="n">
        <f aca="false">IF($C168="",0,INDEX(Planos!$F$3:$F$27,7)+(22-1)*INDEX(Planos!$E$3:$E$27,7))</f>
        <v>0</v>
      </c>
      <c r="H168" s="40" t="str">
        <f aca="false">IF($C168="","",INDEX(Planos!$H$3:$H$27,7))</f>
        <v/>
      </c>
      <c r="I168" s="41" t="str">
        <f aca="false">IF($C168="","",IF(INDEX(Planos!$J$3:$AG$27,$A168,$B168)=0,"",INDEX(Planos!$J$3:$AG$27,$A168,$B168)))</f>
        <v/>
      </c>
      <c r="J168" s="26" t="str">
        <f aca="false">IF($C168="","",IF($I168&lt;&gt;"","Realizada",IF($G168&lt;INT(Parâmetros!$C$4),"Atrasada","Agendada")))</f>
        <v/>
      </c>
      <c r="K168" s="42" t="str">
        <f aca="false">IF($C168="","",IF($I168&lt;&gt;"",$I168-$G168,IF($J168="Atrasada",INT(Parâmetros!$C$4)-$G168,"")))</f>
        <v/>
      </c>
      <c r="L168" s="26" t="str">
        <f aca="false">IF($J168&lt;&gt;"Realizada","",IF($K168&lt;=0,"No prazo",IF($K168&lt;=7,"Até 7 dias",IF($K168&lt;=30,"Até 30 dias","Acima de 30"))))</f>
        <v/>
      </c>
      <c r="M168" s="26" t="str">
        <f aca="false">IF($C168="","",COUNTIFS($G$3:$G168,$G168))</f>
        <v/>
      </c>
      <c r="N168" s="26" t="str">
        <f aca="false">IF($C168="","",$G168&amp;"|"&amp;$M168)</f>
        <v/>
      </c>
    </row>
    <row r="169" customFormat="false" ht="18" hidden="false" customHeight="true" outlineLevel="0" collapsed="false">
      <c r="A169" s="26" t="n">
        <v>7</v>
      </c>
      <c r="B169" s="26" t="n">
        <v>23</v>
      </c>
      <c r="C169" s="26" t="str">
        <f aca="false">IF(INDEX(Planos!$B$3:$B$27,7)="","",IF(23&gt;INDEX(Planos!$G$3:$G$27,7),"",INDEX(Planos!$B$3:$B$27,7)))</f>
        <v/>
      </c>
      <c r="D169" s="40" t="str">
        <f aca="false">IF($C169="","",IFERROR(INDEX(Ativos!$B$3:$B$42,MATCH($C169,Ativos!$A$3:$A$42,0)),""))</f>
        <v/>
      </c>
      <c r="E169" s="40" t="str">
        <f aca="false">IF($C169="","",INDEX(Planos!$C$3:$C$27,7))</f>
        <v/>
      </c>
      <c r="F169" s="40" t="str">
        <f aca="false">IF($C169="","",INDEX(Planos!$D$3:$D$27,7))</f>
        <v/>
      </c>
      <c r="G169" s="41" t="n">
        <f aca="false">IF($C169="",0,INDEX(Planos!$F$3:$F$27,7)+(23-1)*INDEX(Planos!$E$3:$E$27,7))</f>
        <v>0</v>
      </c>
      <c r="H169" s="40" t="str">
        <f aca="false">IF($C169="","",INDEX(Planos!$H$3:$H$27,7))</f>
        <v/>
      </c>
      <c r="I169" s="41" t="str">
        <f aca="false">IF($C169="","",IF(INDEX(Planos!$J$3:$AG$27,$A169,$B169)=0,"",INDEX(Planos!$J$3:$AG$27,$A169,$B169)))</f>
        <v/>
      </c>
      <c r="J169" s="26" t="str">
        <f aca="false">IF($C169="","",IF($I169&lt;&gt;"","Realizada",IF($G169&lt;INT(Parâmetros!$C$4),"Atrasada","Agendada")))</f>
        <v/>
      </c>
      <c r="K169" s="42" t="str">
        <f aca="false">IF($C169="","",IF($I169&lt;&gt;"",$I169-$G169,IF($J169="Atrasada",INT(Parâmetros!$C$4)-$G169,"")))</f>
        <v/>
      </c>
      <c r="L169" s="26" t="str">
        <f aca="false">IF($J169&lt;&gt;"Realizada","",IF($K169&lt;=0,"No prazo",IF($K169&lt;=7,"Até 7 dias",IF($K169&lt;=30,"Até 30 dias","Acima de 30"))))</f>
        <v/>
      </c>
      <c r="M169" s="26" t="str">
        <f aca="false">IF($C169="","",COUNTIFS($G$3:$G169,$G169))</f>
        <v/>
      </c>
      <c r="N169" s="26" t="str">
        <f aca="false">IF($C169="","",$G169&amp;"|"&amp;$M169)</f>
        <v/>
      </c>
    </row>
    <row r="170" customFormat="false" ht="18" hidden="false" customHeight="true" outlineLevel="0" collapsed="false">
      <c r="A170" s="26" t="n">
        <v>7</v>
      </c>
      <c r="B170" s="26" t="n">
        <v>24</v>
      </c>
      <c r="C170" s="26" t="str">
        <f aca="false">IF(INDEX(Planos!$B$3:$B$27,7)="","",IF(24&gt;INDEX(Planos!$G$3:$G$27,7),"",INDEX(Planos!$B$3:$B$27,7)))</f>
        <v/>
      </c>
      <c r="D170" s="40" t="str">
        <f aca="false">IF($C170="","",IFERROR(INDEX(Ativos!$B$3:$B$42,MATCH($C170,Ativos!$A$3:$A$42,0)),""))</f>
        <v/>
      </c>
      <c r="E170" s="40" t="str">
        <f aca="false">IF($C170="","",INDEX(Planos!$C$3:$C$27,7))</f>
        <v/>
      </c>
      <c r="F170" s="40" t="str">
        <f aca="false">IF($C170="","",INDEX(Planos!$D$3:$D$27,7))</f>
        <v/>
      </c>
      <c r="G170" s="41" t="n">
        <f aca="false">IF($C170="",0,INDEX(Planos!$F$3:$F$27,7)+(24-1)*INDEX(Planos!$E$3:$E$27,7))</f>
        <v>0</v>
      </c>
      <c r="H170" s="40" t="str">
        <f aca="false">IF($C170="","",INDEX(Planos!$H$3:$H$27,7))</f>
        <v/>
      </c>
      <c r="I170" s="41" t="str">
        <f aca="false">IF($C170="","",IF(INDEX(Planos!$J$3:$AG$27,$A170,$B170)=0,"",INDEX(Planos!$J$3:$AG$27,$A170,$B170)))</f>
        <v/>
      </c>
      <c r="J170" s="26" t="str">
        <f aca="false">IF($C170="","",IF($I170&lt;&gt;"","Realizada",IF($G170&lt;INT(Parâmetros!$C$4),"Atrasada","Agendada")))</f>
        <v/>
      </c>
      <c r="K170" s="42" t="str">
        <f aca="false">IF($C170="","",IF($I170&lt;&gt;"",$I170-$G170,IF($J170="Atrasada",INT(Parâmetros!$C$4)-$G170,"")))</f>
        <v/>
      </c>
      <c r="L170" s="26" t="str">
        <f aca="false">IF($J170&lt;&gt;"Realizada","",IF($K170&lt;=0,"No prazo",IF($K170&lt;=7,"Até 7 dias",IF($K170&lt;=30,"Até 30 dias","Acima de 30"))))</f>
        <v/>
      </c>
      <c r="M170" s="26" t="str">
        <f aca="false">IF($C170="","",COUNTIFS($G$3:$G170,$G170))</f>
        <v/>
      </c>
      <c r="N170" s="26" t="str">
        <f aca="false">IF($C170="","",$G170&amp;"|"&amp;$M170)</f>
        <v/>
      </c>
    </row>
    <row r="171" customFormat="false" ht="18" hidden="false" customHeight="true" outlineLevel="0" collapsed="false">
      <c r="A171" s="26" t="n">
        <v>8</v>
      </c>
      <c r="B171" s="26" t="n">
        <v>1</v>
      </c>
      <c r="C171" s="26" t="str">
        <f aca="false">IF(INDEX(Planos!$B$3:$B$27,8)="","",IF(1&gt;INDEX(Planos!$G$3:$G$27,8),"",INDEX(Planos!$B$3:$B$27,8)))</f>
        <v>CP-001</v>
      </c>
      <c r="D171" s="40" t="str">
        <f aca="false">IF($C171="","",IFERROR(INDEX(Ativos!$B$3:$B$42,MATCH($C171,Ativos!$A$3:$A$42,0)),""))</f>
        <v>Compressor de ar 50 hp</v>
      </c>
      <c r="E171" s="40" t="str">
        <f aca="false">IF($C171="","",INDEX(Planos!$C$3:$C$27,8))</f>
        <v>Troca do elemento filtrante</v>
      </c>
      <c r="F171" s="40" t="str">
        <f aca="false">IF($C171="","",INDEX(Planos!$D$3:$D$27,8))</f>
        <v>Manutenção preventiva</v>
      </c>
      <c r="G171" s="41" t="n">
        <f aca="false">IF($C171="",0,INDEX(Planos!$F$3:$F$27,8)+(1-1)*INDEX(Planos!$E$3:$E$27,8))</f>
        <v>46103</v>
      </c>
      <c r="H171" s="40" t="str">
        <f aca="false">IF($C171="","",INDEX(Planos!$H$3:$H$27,8))</f>
        <v>Juliana Reis</v>
      </c>
      <c r="I171" s="41" t="n">
        <f aca="false">IF($C171="","",IF(INDEX(Planos!$J$3:$AG$27,$A171,$B171)=0,"",INDEX(Planos!$J$3:$AG$27,$A171,$B171)))</f>
        <v>46108</v>
      </c>
      <c r="J171" s="26" t="str">
        <f aca="false">IF($C171="","",IF($I171&lt;&gt;"","Realizada",IF($G171&lt;INT(Parâmetros!$C$4),"Atrasada","Agendada")))</f>
        <v>Realizada</v>
      </c>
      <c r="K171" s="42" t="n">
        <f aca="false">IF($C171="","",IF($I171&lt;&gt;"",$I171-$G171,IF($J171="Atrasada",INT(Parâmetros!$C$4)-$G171,"")))</f>
        <v>5</v>
      </c>
      <c r="L171" s="26" t="str">
        <f aca="false">IF($J171&lt;&gt;"Realizada","",IF($K171&lt;=0,"No prazo",IF($K171&lt;=7,"Até 7 dias",IF($K171&lt;=30,"Até 30 dias","Acima de 30"))))</f>
        <v>Até 7 dias</v>
      </c>
      <c r="M171" s="26" t="n">
        <f aca="false">IF($C171="","",COUNTIFS($G$3:$G171,$G171))</f>
        <v>1</v>
      </c>
      <c r="N171" s="26" t="str">
        <f aca="false">IF($C171="","",$G171&amp;"|"&amp;$M171)</f>
        <v>46103|1</v>
      </c>
    </row>
    <row r="172" customFormat="false" ht="18" hidden="false" customHeight="true" outlineLevel="0" collapsed="false">
      <c r="A172" s="26" t="n">
        <v>8</v>
      </c>
      <c r="B172" s="26" t="n">
        <v>2</v>
      </c>
      <c r="C172" s="26" t="str">
        <f aca="false">IF(INDEX(Planos!$B$3:$B$27,8)="","",IF(2&gt;INDEX(Planos!$G$3:$G$27,8),"",INDEX(Planos!$B$3:$B$27,8)))</f>
        <v>CP-001</v>
      </c>
      <c r="D172" s="40" t="str">
        <f aca="false">IF($C172="","",IFERROR(INDEX(Ativos!$B$3:$B$42,MATCH($C172,Ativos!$A$3:$A$42,0)),""))</f>
        <v>Compressor de ar 50 hp</v>
      </c>
      <c r="E172" s="40" t="str">
        <f aca="false">IF($C172="","",INDEX(Planos!$C$3:$C$27,8))</f>
        <v>Troca do elemento filtrante</v>
      </c>
      <c r="F172" s="40" t="str">
        <f aca="false">IF($C172="","",INDEX(Planos!$D$3:$D$27,8))</f>
        <v>Manutenção preventiva</v>
      </c>
      <c r="G172" s="41" t="n">
        <f aca="false">IF($C172="",0,INDEX(Planos!$F$3:$F$27,8)+(2-1)*INDEX(Planos!$E$3:$E$27,8))</f>
        <v>46148</v>
      </c>
      <c r="H172" s="40" t="str">
        <f aca="false">IF($C172="","",INDEX(Planos!$H$3:$H$27,8))</f>
        <v>Juliana Reis</v>
      </c>
      <c r="I172" s="41" t="n">
        <f aca="false">IF($C172="","",IF(INDEX(Planos!$J$3:$AG$27,$A172,$B172)=0,"",INDEX(Planos!$J$3:$AG$27,$A172,$B172)))</f>
        <v>46148</v>
      </c>
      <c r="J172" s="26" t="str">
        <f aca="false">IF($C172="","",IF($I172&lt;&gt;"","Realizada",IF($G172&lt;INT(Parâmetros!$C$4),"Atrasada","Agendada")))</f>
        <v>Realizada</v>
      </c>
      <c r="K172" s="42" t="n">
        <f aca="false">IF($C172="","",IF($I172&lt;&gt;"",$I172-$G172,IF($J172="Atrasada",INT(Parâmetros!$C$4)-$G172,"")))</f>
        <v>0</v>
      </c>
      <c r="L172" s="26" t="str">
        <f aca="false">IF($J172&lt;&gt;"Realizada","",IF($K172&lt;=0,"No prazo",IF($K172&lt;=7,"Até 7 dias",IF($K172&lt;=30,"Até 30 dias","Acima de 30"))))</f>
        <v>No prazo</v>
      </c>
      <c r="M172" s="26" t="n">
        <f aca="false">IF($C172="","",COUNTIFS($G$3:$G172,$G172))</f>
        <v>1</v>
      </c>
      <c r="N172" s="26" t="str">
        <f aca="false">IF($C172="","",$G172&amp;"|"&amp;$M172)</f>
        <v>46148|1</v>
      </c>
    </row>
    <row r="173" customFormat="false" ht="18" hidden="false" customHeight="true" outlineLevel="0" collapsed="false">
      <c r="A173" s="26" t="n">
        <v>8</v>
      </c>
      <c r="B173" s="26" t="n">
        <v>3</v>
      </c>
      <c r="C173" s="26" t="str">
        <f aca="false">IF(INDEX(Planos!$B$3:$B$27,8)="","",IF(3&gt;INDEX(Planos!$G$3:$G$27,8),"",INDEX(Planos!$B$3:$B$27,8)))</f>
        <v>CP-001</v>
      </c>
      <c r="D173" s="40" t="str">
        <f aca="false">IF($C173="","",IFERROR(INDEX(Ativos!$B$3:$B$42,MATCH($C173,Ativos!$A$3:$A$42,0)),""))</f>
        <v>Compressor de ar 50 hp</v>
      </c>
      <c r="E173" s="40" t="str">
        <f aca="false">IF($C173="","",INDEX(Planos!$C$3:$C$27,8))</f>
        <v>Troca do elemento filtrante</v>
      </c>
      <c r="F173" s="40" t="str">
        <f aca="false">IF($C173="","",INDEX(Planos!$D$3:$D$27,8))</f>
        <v>Manutenção preventiva</v>
      </c>
      <c r="G173" s="41" t="n">
        <f aca="false">IF($C173="",0,INDEX(Planos!$F$3:$F$27,8)+(3-1)*INDEX(Planos!$E$3:$E$27,8))</f>
        <v>46193</v>
      </c>
      <c r="H173" s="40" t="str">
        <f aca="false">IF($C173="","",INDEX(Planos!$H$3:$H$27,8))</f>
        <v>Juliana Reis</v>
      </c>
      <c r="I173" s="41" t="n">
        <f aca="false">IF($C173="","",IF(INDEX(Planos!$J$3:$AG$27,$A173,$B173)=0,"",INDEX(Planos!$J$3:$AG$27,$A173,$B173)))</f>
        <v>46193</v>
      </c>
      <c r="J173" s="26" t="str">
        <f aca="false">IF($C173="","",IF($I173&lt;&gt;"","Realizada",IF($G173&lt;INT(Parâmetros!$C$4),"Atrasada","Agendada")))</f>
        <v>Realizada</v>
      </c>
      <c r="K173" s="42" t="n">
        <f aca="false">IF($C173="","",IF($I173&lt;&gt;"",$I173-$G173,IF($J173="Atrasada",INT(Parâmetros!$C$4)-$G173,"")))</f>
        <v>0</v>
      </c>
      <c r="L173" s="26" t="str">
        <f aca="false">IF($J173&lt;&gt;"Realizada","",IF($K173&lt;=0,"No prazo",IF($K173&lt;=7,"Até 7 dias",IF($K173&lt;=30,"Até 30 dias","Acima de 30"))))</f>
        <v>No prazo</v>
      </c>
      <c r="M173" s="26" t="n">
        <f aca="false">IF($C173="","",COUNTIFS($G$3:$G173,$G173))</f>
        <v>1</v>
      </c>
      <c r="N173" s="26" t="str">
        <f aca="false">IF($C173="","",$G173&amp;"|"&amp;$M173)</f>
        <v>46193|1</v>
      </c>
    </row>
    <row r="174" customFormat="false" ht="18" hidden="false" customHeight="true" outlineLevel="0" collapsed="false">
      <c r="A174" s="26" t="n">
        <v>8</v>
      </c>
      <c r="B174" s="26" t="n">
        <v>4</v>
      </c>
      <c r="C174" s="26" t="str">
        <f aca="false">IF(INDEX(Planos!$B$3:$B$27,8)="","",IF(4&gt;INDEX(Planos!$G$3:$G$27,8),"",INDEX(Planos!$B$3:$B$27,8)))</f>
        <v>CP-001</v>
      </c>
      <c r="D174" s="40" t="str">
        <f aca="false">IF($C174="","",IFERROR(INDEX(Ativos!$B$3:$B$42,MATCH($C174,Ativos!$A$3:$A$42,0)),""))</f>
        <v>Compressor de ar 50 hp</v>
      </c>
      <c r="E174" s="40" t="str">
        <f aca="false">IF($C174="","",INDEX(Planos!$C$3:$C$27,8))</f>
        <v>Troca do elemento filtrante</v>
      </c>
      <c r="F174" s="40" t="str">
        <f aca="false">IF($C174="","",INDEX(Planos!$D$3:$D$27,8))</f>
        <v>Manutenção preventiva</v>
      </c>
      <c r="G174" s="41" t="n">
        <f aca="false">IF($C174="",0,INDEX(Planos!$F$3:$F$27,8)+(4-1)*INDEX(Planos!$E$3:$E$27,8))</f>
        <v>46238</v>
      </c>
      <c r="H174" s="40" t="str">
        <f aca="false">IF($C174="","",INDEX(Planos!$H$3:$H$27,8))</f>
        <v>Juliana Reis</v>
      </c>
      <c r="I174" s="41" t="str">
        <f aca="false">IF($C174="","",IF(INDEX(Planos!$J$3:$AG$27,$A174,$B174)=0,"",INDEX(Planos!$J$3:$AG$27,$A174,$B174)))</f>
        <v/>
      </c>
      <c r="J174" s="26" t="str">
        <f aca="false">IF($C174="","",IF($I174&lt;&gt;"","Realizada",IF($G174&lt;INT(Parâmetros!$C$4),"Atrasada","Agendada")))</f>
        <v>Agendada</v>
      </c>
      <c r="K174" s="42" t="str">
        <f aca="false">IF($C174="","",IF($I174&lt;&gt;"",$I174-$G174,IF($J174="Atrasada",INT(Parâmetros!$C$4)-$G174,"")))</f>
        <v/>
      </c>
      <c r="L174" s="26" t="str">
        <f aca="false">IF($J174&lt;&gt;"Realizada","",IF($K174&lt;=0,"No prazo",IF($K174&lt;=7,"Até 7 dias",IF($K174&lt;=30,"Até 30 dias","Acima de 30"))))</f>
        <v/>
      </c>
      <c r="M174" s="26" t="n">
        <f aca="false">IF($C174="","",COUNTIFS($G$3:$G174,$G174))</f>
        <v>1</v>
      </c>
      <c r="N174" s="26" t="str">
        <f aca="false">IF($C174="","",$G174&amp;"|"&amp;$M174)</f>
        <v>46238|1</v>
      </c>
    </row>
    <row r="175" customFormat="false" ht="18" hidden="false" customHeight="true" outlineLevel="0" collapsed="false">
      <c r="A175" s="26" t="n">
        <v>8</v>
      </c>
      <c r="B175" s="26" t="n">
        <v>5</v>
      </c>
      <c r="C175" s="26" t="str">
        <f aca="false">IF(INDEX(Planos!$B$3:$B$27,8)="","",IF(5&gt;INDEX(Planos!$G$3:$G$27,8),"",INDEX(Planos!$B$3:$B$27,8)))</f>
        <v>CP-001</v>
      </c>
      <c r="D175" s="40" t="str">
        <f aca="false">IF($C175="","",IFERROR(INDEX(Ativos!$B$3:$B$42,MATCH($C175,Ativos!$A$3:$A$42,0)),""))</f>
        <v>Compressor de ar 50 hp</v>
      </c>
      <c r="E175" s="40" t="str">
        <f aca="false">IF($C175="","",INDEX(Planos!$C$3:$C$27,8))</f>
        <v>Troca do elemento filtrante</v>
      </c>
      <c r="F175" s="40" t="str">
        <f aca="false">IF($C175="","",INDEX(Planos!$D$3:$D$27,8))</f>
        <v>Manutenção preventiva</v>
      </c>
      <c r="G175" s="41" t="n">
        <f aca="false">IF($C175="",0,INDEX(Planos!$F$3:$F$27,8)+(5-1)*INDEX(Planos!$E$3:$E$27,8))</f>
        <v>46283</v>
      </c>
      <c r="H175" s="40" t="str">
        <f aca="false">IF($C175="","",INDEX(Planos!$H$3:$H$27,8))</f>
        <v>Juliana Reis</v>
      </c>
      <c r="I175" s="41" t="str">
        <f aca="false">IF($C175="","",IF(INDEX(Planos!$J$3:$AG$27,$A175,$B175)=0,"",INDEX(Planos!$J$3:$AG$27,$A175,$B175)))</f>
        <v/>
      </c>
      <c r="J175" s="26" t="str">
        <f aca="false">IF($C175="","",IF($I175&lt;&gt;"","Realizada",IF($G175&lt;INT(Parâmetros!$C$4),"Atrasada","Agendada")))</f>
        <v>Agendada</v>
      </c>
      <c r="K175" s="42" t="str">
        <f aca="false">IF($C175="","",IF($I175&lt;&gt;"",$I175-$G175,IF($J175="Atrasada",INT(Parâmetros!$C$4)-$G175,"")))</f>
        <v/>
      </c>
      <c r="L175" s="26" t="str">
        <f aca="false">IF($J175&lt;&gt;"Realizada","",IF($K175&lt;=0,"No prazo",IF($K175&lt;=7,"Até 7 dias",IF($K175&lt;=30,"Até 30 dias","Acima de 30"))))</f>
        <v/>
      </c>
      <c r="M175" s="26" t="n">
        <f aca="false">IF($C175="","",COUNTIFS($G$3:$G175,$G175))</f>
        <v>1</v>
      </c>
      <c r="N175" s="26" t="str">
        <f aca="false">IF($C175="","",$G175&amp;"|"&amp;$M175)</f>
        <v>46283|1</v>
      </c>
    </row>
    <row r="176" customFormat="false" ht="18" hidden="false" customHeight="true" outlineLevel="0" collapsed="false">
      <c r="A176" s="26" t="n">
        <v>8</v>
      </c>
      <c r="B176" s="26" t="n">
        <v>6</v>
      </c>
      <c r="C176" s="26" t="str">
        <f aca="false">IF(INDEX(Planos!$B$3:$B$27,8)="","",IF(6&gt;INDEX(Planos!$G$3:$G$27,8),"",INDEX(Planos!$B$3:$B$27,8)))</f>
        <v>CP-001</v>
      </c>
      <c r="D176" s="40" t="str">
        <f aca="false">IF($C176="","",IFERROR(INDEX(Ativos!$B$3:$B$42,MATCH($C176,Ativos!$A$3:$A$42,0)),""))</f>
        <v>Compressor de ar 50 hp</v>
      </c>
      <c r="E176" s="40" t="str">
        <f aca="false">IF($C176="","",INDEX(Planos!$C$3:$C$27,8))</f>
        <v>Troca do elemento filtrante</v>
      </c>
      <c r="F176" s="40" t="str">
        <f aca="false">IF($C176="","",INDEX(Planos!$D$3:$D$27,8))</f>
        <v>Manutenção preventiva</v>
      </c>
      <c r="G176" s="41" t="n">
        <f aca="false">IF($C176="",0,INDEX(Planos!$F$3:$F$27,8)+(6-1)*INDEX(Planos!$E$3:$E$27,8))</f>
        <v>46328</v>
      </c>
      <c r="H176" s="40" t="str">
        <f aca="false">IF($C176="","",INDEX(Planos!$H$3:$H$27,8))</f>
        <v>Juliana Reis</v>
      </c>
      <c r="I176" s="41" t="str">
        <f aca="false">IF($C176="","",IF(INDEX(Planos!$J$3:$AG$27,$A176,$B176)=0,"",INDEX(Planos!$J$3:$AG$27,$A176,$B176)))</f>
        <v/>
      </c>
      <c r="J176" s="26" t="str">
        <f aca="false">IF($C176="","",IF($I176&lt;&gt;"","Realizada",IF($G176&lt;INT(Parâmetros!$C$4),"Atrasada","Agendada")))</f>
        <v>Agendada</v>
      </c>
      <c r="K176" s="42" t="str">
        <f aca="false">IF($C176="","",IF($I176&lt;&gt;"",$I176-$G176,IF($J176="Atrasada",INT(Parâmetros!$C$4)-$G176,"")))</f>
        <v/>
      </c>
      <c r="L176" s="26" t="str">
        <f aca="false">IF($J176&lt;&gt;"Realizada","",IF($K176&lt;=0,"No prazo",IF($K176&lt;=7,"Até 7 dias",IF($K176&lt;=30,"Até 30 dias","Acima de 30"))))</f>
        <v/>
      </c>
      <c r="M176" s="26" t="n">
        <f aca="false">IF($C176="","",COUNTIFS($G$3:$G176,$G176))</f>
        <v>1</v>
      </c>
      <c r="N176" s="26" t="str">
        <f aca="false">IF($C176="","",$G176&amp;"|"&amp;$M176)</f>
        <v>46328|1</v>
      </c>
    </row>
    <row r="177" customFormat="false" ht="18" hidden="false" customHeight="true" outlineLevel="0" collapsed="false">
      <c r="A177" s="26" t="n">
        <v>8</v>
      </c>
      <c r="B177" s="26" t="n">
        <v>7</v>
      </c>
      <c r="C177" s="26" t="str">
        <f aca="false">IF(INDEX(Planos!$B$3:$B$27,8)="","",IF(7&gt;INDEX(Planos!$G$3:$G$27,8),"",INDEX(Planos!$B$3:$B$27,8)))</f>
        <v>CP-001</v>
      </c>
      <c r="D177" s="40" t="str">
        <f aca="false">IF($C177="","",IFERROR(INDEX(Ativos!$B$3:$B$42,MATCH($C177,Ativos!$A$3:$A$42,0)),""))</f>
        <v>Compressor de ar 50 hp</v>
      </c>
      <c r="E177" s="40" t="str">
        <f aca="false">IF($C177="","",INDEX(Planos!$C$3:$C$27,8))</f>
        <v>Troca do elemento filtrante</v>
      </c>
      <c r="F177" s="40" t="str">
        <f aca="false">IF($C177="","",INDEX(Planos!$D$3:$D$27,8))</f>
        <v>Manutenção preventiva</v>
      </c>
      <c r="G177" s="41" t="n">
        <f aca="false">IF($C177="",0,INDEX(Planos!$F$3:$F$27,8)+(7-1)*INDEX(Planos!$E$3:$E$27,8))</f>
        <v>46373</v>
      </c>
      <c r="H177" s="40" t="str">
        <f aca="false">IF($C177="","",INDEX(Planos!$H$3:$H$27,8))</f>
        <v>Juliana Reis</v>
      </c>
      <c r="I177" s="41" t="str">
        <f aca="false">IF($C177="","",IF(INDEX(Planos!$J$3:$AG$27,$A177,$B177)=0,"",INDEX(Planos!$J$3:$AG$27,$A177,$B177)))</f>
        <v/>
      </c>
      <c r="J177" s="26" t="str">
        <f aca="false">IF($C177="","",IF($I177&lt;&gt;"","Realizada",IF($G177&lt;INT(Parâmetros!$C$4),"Atrasada","Agendada")))</f>
        <v>Agendada</v>
      </c>
      <c r="K177" s="42" t="str">
        <f aca="false">IF($C177="","",IF($I177&lt;&gt;"",$I177-$G177,IF($J177="Atrasada",INT(Parâmetros!$C$4)-$G177,"")))</f>
        <v/>
      </c>
      <c r="L177" s="26" t="str">
        <f aca="false">IF($J177&lt;&gt;"Realizada","",IF($K177&lt;=0,"No prazo",IF($K177&lt;=7,"Até 7 dias",IF($K177&lt;=30,"Até 30 dias","Acima de 30"))))</f>
        <v/>
      </c>
      <c r="M177" s="26" t="n">
        <f aca="false">IF($C177="","",COUNTIFS($G$3:$G177,$G177))</f>
        <v>1</v>
      </c>
      <c r="N177" s="26" t="str">
        <f aca="false">IF($C177="","",$G177&amp;"|"&amp;$M177)</f>
        <v>46373|1</v>
      </c>
    </row>
    <row r="178" customFormat="false" ht="18" hidden="false" customHeight="true" outlineLevel="0" collapsed="false">
      <c r="A178" s="26" t="n">
        <v>8</v>
      </c>
      <c r="B178" s="26" t="n">
        <v>8</v>
      </c>
      <c r="C178" s="26" t="str">
        <f aca="false">IF(INDEX(Planos!$B$3:$B$27,8)="","",IF(8&gt;INDEX(Planos!$G$3:$G$27,8),"",INDEX(Planos!$B$3:$B$27,8)))</f>
        <v>CP-001</v>
      </c>
      <c r="D178" s="40" t="str">
        <f aca="false">IF($C178="","",IFERROR(INDEX(Ativos!$B$3:$B$42,MATCH($C178,Ativos!$A$3:$A$42,0)),""))</f>
        <v>Compressor de ar 50 hp</v>
      </c>
      <c r="E178" s="40" t="str">
        <f aca="false">IF($C178="","",INDEX(Planos!$C$3:$C$27,8))</f>
        <v>Troca do elemento filtrante</v>
      </c>
      <c r="F178" s="40" t="str">
        <f aca="false">IF($C178="","",INDEX(Planos!$D$3:$D$27,8))</f>
        <v>Manutenção preventiva</v>
      </c>
      <c r="G178" s="41" t="n">
        <f aca="false">IF($C178="",0,INDEX(Planos!$F$3:$F$27,8)+(8-1)*INDEX(Planos!$E$3:$E$27,8))</f>
        <v>46418</v>
      </c>
      <c r="H178" s="40" t="str">
        <f aca="false">IF($C178="","",INDEX(Planos!$H$3:$H$27,8))</f>
        <v>Juliana Reis</v>
      </c>
      <c r="I178" s="41" t="str">
        <f aca="false">IF($C178="","",IF(INDEX(Planos!$J$3:$AG$27,$A178,$B178)=0,"",INDEX(Planos!$J$3:$AG$27,$A178,$B178)))</f>
        <v/>
      </c>
      <c r="J178" s="26" t="str">
        <f aca="false">IF($C178="","",IF($I178&lt;&gt;"","Realizada",IF($G178&lt;INT(Parâmetros!$C$4),"Atrasada","Agendada")))</f>
        <v>Agendada</v>
      </c>
      <c r="K178" s="42" t="str">
        <f aca="false">IF($C178="","",IF($I178&lt;&gt;"",$I178-$G178,IF($J178="Atrasada",INT(Parâmetros!$C$4)-$G178,"")))</f>
        <v/>
      </c>
      <c r="L178" s="26" t="str">
        <f aca="false">IF($J178&lt;&gt;"Realizada","",IF($K178&lt;=0,"No prazo",IF($K178&lt;=7,"Até 7 dias",IF($K178&lt;=30,"Até 30 dias","Acima de 30"))))</f>
        <v/>
      </c>
      <c r="M178" s="26" t="n">
        <f aca="false">IF($C178="","",COUNTIFS($G$3:$G178,$G178))</f>
        <v>1</v>
      </c>
      <c r="N178" s="26" t="str">
        <f aca="false">IF($C178="","",$G178&amp;"|"&amp;$M178)</f>
        <v>46418|1</v>
      </c>
    </row>
    <row r="179" customFormat="false" ht="18" hidden="false" customHeight="true" outlineLevel="0" collapsed="false">
      <c r="A179" s="26" t="n">
        <v>8</v>
      </c>
      <c r="B179" s="26" t="n">
        <v>9</v>
      </c>
      <c r="C179" s="26" t="str">
        <f aca="false">IF(INDEX(Planos!$B$3:$B$27,8)="","",IF(9&gt;INDEX(Planos!$G$3:$G$27,8),"",INDEX(Planos!$B$3:$B$27,8)))</f>
        <v>CP-001</v>
      </c>
      <c r="D179" s="40" t="str">
        <f aca="false">IF($C179="","",IFERROR(INDEX(Ativos!$B$3:$B$42,MATCH($C179,Ativos!$A$3:$A$42,0)),""))</f>
        <v>Compressor de ar 50 hp</v>
      </c>
      <c r="E179" s="40" t="str">
        <f aca="false">IF($C179="","",INDEX(Planos!$C$3:$C$27,8))</f>
        <v>Troca do elemento filtrante</v>
      </c>
      <c r="F179" s="40" t="str">
        <f aca="false">IF($C179="","",INDEX(Planos!$D$3:$D$27,8))</f>
        <v>Manutenção preventiva</v>
      </c>
      <c r="G179" s="41" t="n">
        <f aca="false">IF($C179="",0,INDEX(Planos!$F$3:$F$27,8)+(9-1)*INDEX(Planos!$E$3:$E$27,8))</f>
        <v>46463</v>
      </c>
      <c r="H179" s="40" t="str">
        <f aca="false">IF($C179="","",INDEX(Planos!$H$3:$H$27,8))</f>
        <v>Juliana Reis</v>
      </c>
      <c r="I179" s="41" t="str">
        <f aca="false">IF($C179="","",IF(INDEX(Planos!$J$3:$AG$27,$A179,$B179)=0,"",INDEX(Planos!$J$3:$AG$27,$A179,$B179)))</f>
        <v/>
      </c>
      <c r="J179" s="26" t="str">
        <f aca="false">IF($C179="","",IF($I179&lt;&gt;"","Realizada",IF($G179&lt;INT(Parâmetros!$C$4),"Atrasada","Agendada")))</f>
        <v>Agendada</v>
      </c>
      <c r="K179" s="42" t="str">
        <f aca="false">IF($C179="","",IF($I179&lt;&gt;"",$I179-$G179,IF($J179="Atrasada",INT(Parâmetros!$C$4)-$G179,"")))</f>
        <v/>
      </c>
      <c r="L179" s="26" t="str">
        <f aca="false">IF($J179&lt;&gt;"Realizada","",IF($K179&lt;=0,"No prazo",IF($K179&lt;=7,"Até 7 dias",IF($K179&lt;=30,"Até 30 dias","Acima de 30"))))</f>
        <v/>
      </c>
      <c r="M179" s="26" t="n">
        <f aca="false">IF($C179="","",COUNTIFS($G$3:$G179,$G179))</f>
        <v>1</v>
      </c>
      <c r="N179" s="26" t="str">
        <f aca="false">IF($C179="","",$G179&amp;"|"&amp;$M179)</f>
        <v>46463|1</v>
      </c>
    </row>
    <row r="180" customFormat="false" ht="18" hidden="false" customHeight="true" outlineLevel="0" collapsed="false">
      <c r="A180" s="26" t="n">
        <v>8</v>
      </c>
      <c r="B180" s="26" t="n">
        <v>10</v>
      </c>
      <c r="C180" s="26" t="str">
        <f aca="false">IF(INDEX(Planos!$B$3:$B$27,8)="","",IF(10&gt;INDEX(Planos!$G$3:$G$27,8),"",INDEX(Planos!$B$3:$B$27,8)))</f>
        <v>CP-001</v>
      </c>
      <c r="D180" s="40" t="str">
        <f aca="false">IF($C180="","",IFERROR(INDEX(Ativos!$B$3:$B$42,MATCH($C180,Ativos!$A$3:$A$42,0)),""))</f>
        <v>Compressor de ar 50 hp</v>
      </c>
      <c r="E180" s="40" t="str">
        <f aca="false">IF($C180="","",INDEX(Planos!$C$3:$C$27,8))</f>
        <v>Troca do elemento filtrante</v>
      </c>
      <c r="F180" s="40" t="str">
        <f aca="false">IF($C180="","",INDEX(Planos!$D$3:$D$27,8))</f>
        <v>Manutenção preventiva</v>
      </c>
      <c r="G180" s="41" t="n">
        <f aca="false">IF($C180="",0,INDEX(Planos!$F$3:$F$27,8)+(10-1)*INDEX(Planos!$E$3:$E$27,8))</f>
        <v>46508</v>
      </c>
      <c r="H180" s="40" t="str">
        <f aca="false">IF($C180="","",INDEX(Planos!$H$3:$H$27,8))</f>
        <v>Juliana Reis</v>
      </c>
      <c r="I180" s="41" t="str">
        <f aca="false">IF($C180="","",IF(INDEX(Planos!$J$3:$AG$27,$A180,$B180)=0,"",INDEX(Planos!$J$3:$AG$27,$A180,$B180)))</f>
        <v/>
      </c>
      <c r="J180" s="26" t="str">
        <f aca="false">IF($C180="","",IF($I180&lt;&gt;"","Realizada",IF($G180&lt;INT(Parâmetros!$C$4),"Atrasada","Agendada")))</f>
        <v>Agendada</v>
      </c>
      <c r="K180" s="42" t="str">
        <f aca="false">IF($C180="","",IF($I180&lt;&gt;"",$I180-$G180,IF($J180="Atrasada",INT(Parâmetros!$C$4)-$G180,"")))</f>
        <v/>
      </c>
      <c r="L180" s="26" t="str">
        <f aca="false">IF($J180&lt;&gt;"Realizada","",IF($K180&lt;=0,"No prazo",IF($K180&lt;=7,"Até 7 dias",IF($K180&lt;=30,"Até 30 dias","Acima de 30"))))</f>
        <v/>
      </c>
      <c r="M180" s="26" t="n">
        <f aca="false">IF($C180="","",COUNTIFS($G$3:$G180,$G180))</f>
        <v>1</v>
      </c>
      <c r="N180" s="26" t="str">
        <f aca="false">IF($C180="","",$G180&amp;"|"&amp;$M180)</f>
        <v>46508|1</v>
      </c>
    </row>
    <row r="181" customFormat="false" ht="18" hidden="false" customHeight="true" outlineLevel="0" collapsed="false">
      <c r="A181" s="26" t="n">
        <v>8</v>
      </c>
      <c r="B181" s="26" t="n">
        <v>11</v>
      </c>
      <c r="C181" s="26" t="str">
        <f aca="false">IF(INDEX(Planos!$B$3:$B$27,8)="","",IF(11&gt;INDEX(Planos!$G$3:$G$27,8),"",INDEX(Planos!$B$3:$B$27,8)))</f>
        <v>CP-001</v>
      </c>
      <c r="D181" s="40" t="str">
        <f aca="false">IF($C181="","",IFERROR(INDEX(Ativos!$B$3:$B$42,MATCH($C181,Ativos!$A$3:$A$42,0)),""))</f>
        <v>Compressor de ar 50 hp</v>
      </c>
      <c r="E181" s="40" t="str">
        <f aca="false">IF($C181="","",INDEX(Planos!$C$3:$C$27,8))</f>
        <v>Troca do elemento filtrante</v>
      </c>
      <c r="F181" s="40" t="str">
        <f aca="false">IF($C181="","",INDEX(Planos!$D$3:$D$27,8))</f>
        <v>Manutenção preventiva</v>
      </c>
      <c r="G181" s="41" t="n">
        <f aca="false">IF($C181="",0,INDEX(Planos!$F$3:$F$27,8)+(11-1)*INDEX(Planos!$E$3:$E$27,8))</f>
        <v>46553</v>
      </c>
      <c r="H181" s="40" t="str">
        <f aca="false">IF($C181="","",INDEX(Planos!$H$3:$H$27,8))</f>
        <v>Juliana Reis</v>
      </c>
      <c r="I181" s="41" t="str">
        <f aca="false">IF($C181="","",IF(INDEX(Planos!$J$3:$AG$27,$A181,$B181)=0,"",INDEX(Planos!$J$3:$AG$27,$A181,$B181)))</f>
        <v/>
      </c>
      <c r="J181" s="26" t="str">
        <f aca="false">IF($C181="","",IF($I181&lt;&gt;"","Realizada",IF($G181&lt;INT(Parâmetros!$C$4),"Atrasada","Agendada")))</f>
        <v>Agendada</v>
      </c>
      <c r="K181" s="42" t="str">
        <f aca="false">IF($C181="","",IF($I181&lt;&gt;"",$I181-$G181,IF($J181="Atrasada",INT(Parâmetros!$C$4)-$G181,"")))</f>
        <v/>
      </c>
      <c r="L181" s="26" t="str">
        <f aca="false">IF($J181&lt;&gt;"Realizada","",IF($K181&lt;=0,"No prazo",IF($K181&lt;=7,"Até 7 dias",IF($K181&lt;=30,"Até 30 dias","Acima de 30"))))</f>
        <v/>
      </c>
      <c r="M181" s="26" t="n">
        <f aca="false">IF($C181="","",COUNTIFS($G$3:$G181,$G181))</f>
        <v>1</v>
      </c>
      <c r="N181" s="26" t="str">
        <f aca="false">IF($C181="","",$G181&amp;"|"&amp;$M181)</f>
        <v>46553|1</v>
      </c>
    </row>
    <row r="182" customFormat="false" ht="18" hidden="false" customHeight="true" outlineLevel="0" collapsed="false">
      <c r="A182" s="26" t="n">
        <v>8</v>
      </c>
      <c r="B182" s="26" t="n">
        <v>12</v>
      </c>
      <c r="C182" s="26" t="str">
        <f aca="false">IF(INDEX(Planos!$B$3:$B$27,8)="","",IF(12&gt;INDEX(Planos!$G$3:$G$27,8),"",INDEX(Planos!$B$3:$B$27,8)))</f>
        <v>CP-001</v>
      </c>
      <c r="D182" s="40" t="str">
        <f aca="false">IF($C182="","",IFERROR(INDEX(Ativos!$B$3:$B$42,MATCH($C182,Ativos!$A$3:$A$42,0)),""))</f>
        <v>Compressor de ar 50 hp</v>
      </c>
      <c r="E182" s="40" t="str">
        <f aca="false">IF($C182="","",INDEX(Planos!$C$3:$C$27,8))</f>
        <v>Troca do elemento filtrante</v>
      </c>
      <c r="F182" s="40" t="str">
        <f aca="false">IF($C182="","",INDEX(Planos!$D$3:$D$27,8))</f>
        <v>Manutenção preventiva</v>
      </c>
      <c r="G182" s="41" t="n">
        <f aca="false">IF($C182="",0,INDEX(Planos!$F$3:$F$27,8)+(12-1)*INDEX(Planos!$E$3:$E$27,8))</f>
        <v>46598</v>
      </c>
      <c r="H182" s="40" t="str">
        <f aca="false">IF($C182="","",INDEX(Planos!$H$3:$H$27,8))</f>
        <v>Juliana Reis</v>
      </c>
      <c r="I182" s="41" t="str">
        <f aca="false">IF($C182="","",IF(INDEX(Planos!$J$3:$AG$27,$A182,$B182)=0,"",INDEX(Planos!$J$3:$AG$27,$A182,$B182)))</f>
        <v/>
      </c>
      <c r="J182" s="26" t="str">
        <f aca="false">IF($C182="","",IF($I182&lt;&gt;"","Realizada",IF($G182&lt;INT(Parâmetros!$C$4),"Atrasada","Agendada")))</f>
        <v>Agendada</v>
      </c>
      <c r="K182" s="42" t="str">
        <f aca="false">IF($C182="","",IF($I182&lt;&gt;"",$I182-$G182,IF($J182="Atrasada",INT(Parâmetros!$C$4)-$G182,"")))</f>
        <v/>
      </c>
      <c r="L182" s="26" t="str">
        <f aca="false">IF($J182&lt;&gt;"Realizada","",IF($K182&lt;=0,"No prazo",IF($K182&lt;=7,"Até 7 dias",IF($K182&lt;=30,"Até 30 dias","Acima de 30"))))</f>
        <v/>
      </c>
      <c r="M182" s="26" t="n">
        <f aca="false">IF($C182="","",COUNTIFS($G$3:$G182,$G182))</f>
        <v>1</v>
      </c>
      <c r="N182" s="26" t="str">
        <f aca="false">IF($C182="","",$G182&amp;"|"&amp;$M182)</f>
        <v>46598|1</v>
      </c>
    </row>
    <row r="183" customFormat="false" ht="18" hidden="false" customHeight="true" outlineLevel="0" collapsed="false">
      <c r="A183" s="26" t="n">
        <v>8</v>
      </c>
      <c r="B183" s="26" t="n">
        <v>13</v>
      </c>
      <c r="C183" s="26" t="str">
        <f aca="false">IF(INDEX(Planos!$B$3:$B$27,8)="","",IF(13&gt;INDEX(Planos!$G$3:$G$27,8),"",INDEX(Planos!$B$3:$B$27,8)))</f>
        <v>CP-001</v>
      </c>
      <c r="D183" s="40" t="str">
        <f aca="false">IF($C183="","",IFERROR(INDEX(Ativos!$B$3:$B$42,MATCH($C183,Ativos!$A$3:$A$42,0)),""))</f>
        <v>Compressor de ar 50 hp</v>
      </c>
      <c r="E183" s="40" t="str">
        <f aca="false">IF($C183="","",INDEX(Planos!$C$3:$C$27,8))</f>
        <v>Troca do elemento filtrante</v>
      </c>
      <c r="F183" s="40" t="str">
        <f aca="false">IF($C183="","",INDEX(Planos!$D$3:$D$27,8))</f>
        <v>Manutenção preventiva</v>
      </c>
      <c r="G183" s="41" t="n">
        <f aca="false">IF($C183="",0,INDEX(Planos!$F$3:$F$27,8)+(13-1)*INDEX(Planos!$E$3:$E$27,8))</f>
        <v>46643</v>
      </c>
      <c r="H183" s="40" t="str">
        <f aca="false">IF($C183="","",INDEX(Planos!$H$3:$H$27,8))</f>
        <v>Juliana Reis</v>
      </c>
      <c r="I183" s="41" t="str">
        <f aca="false">IF($C183="","",IF(INDEX(Planos!$J$3:$AG$27,$A183,$B183)=0,"",INDEX(Planos!$J$3:$AG$27,$A183,$B183)))</f>
        <v/>
      </c>
      <c r="J183" s="26" t="str">
        <f aca="false">IF($C183="","",IF($I183&lt;&gt;"","Realizada",IF($G183&lt;INT(Parâmetros!$C$4),"Atrasada","Agendada")))</f>
        <v>Agendada</v>
      </c>
      <c r="K183" s="42" t="str">
        <f aca="false">IF($C183="","",IF($I183&lt;&gt;"",$I183-$G183,IF($J183="Atrasada",INT(Parâmetros!$C$4)-$G183,"")))</f>
        <v/>
      </c>
      <c r="L183" s="26" t="str">
        <f aca="false">IF($J183&lt;&gt;"Realizada","",IF($K183&lt;=0,"No prazo",IF($K183&lt;=7,"Até 7 dias",IF($K183&lt;=30,"Até 30 dias","Acima de 30"))))</f>
        <v/>
      </c>
      <c r="M183" s="26" t="n">
        <f aca="false">IF($C183="","",COUNTIFS($G$3:$G183,$G183))</f>
        <v>1</v>
      </c>
      <c r="N183" s="26" t="str">
        <f aca="false">IF($C183="","",$G183&amp;"|"&amp;$M183)</f>
        <v>46643|1</v>
      </c>
    </row>
    <row r="184" customFormat="false" ht="18" hidden="false" customHeight="true" outlineLevel="0" collapsed="false">
      <c r="A184" s="26" t="n">
        <v>8</v>
      </c>
      <c r="B184" s="26" t="n">
        <v>14</v>
      </c>
      <c r="C184" s="26" t="str">
        <f aca="false">IF(INDEX(Planos!$B$3:$B$27,8)="","",IF(14&gt;INDEX(Planos!$G$3:$G$27,8),"",INDEX(Planos!$B$3:$B$27,8)))</f>
        <v>CP-001</v>
      </c>
      <c r="D184" s="40" t="str">
        <f aca="false">IF($C184="","",IFERROR(INDEX(Ativos!$B$3:$B$42,MATCH($C184,Ativos!$A$3:$A$42,0)),""))</f>
        <v>Compressor de ar 50 hp</v>
      </c>
      <c r="E184" s="40" t="str">
        <f aca="false">IF($C184="","",INDEX(Planos!$C$3:$C$27,8))</f>
        <v>Troca do elemento filtrante</v>
      </c>
      <c r="F184" s="40" t="str">
        <f aca="false">IF($C184="","",INDEX(Planos!$D$3:$D$27,8))</f>
        <v>Manutenção preventiva</v>
      </c>
      <c r="G184" s="41" t="n">
        <f aca="false">IF($C184="",0,INDEX(Planos!$F$3:$F$27,8)+(14-1)*INDEX(Planos!$E$3:$E$27,8))</f>
        <v>46688</v>
      </c>
      <c r="H184" s="40" t="str">
        <f aca="false">IF($C184="","",INDEX(Planos!$H$3:$H$27,8))</f>
        <v>Juliana Reis</v>
      </c>
      <c r="I184" s="41" t="str">
        <f aca="false">IF($C184="","",IF(INDEX(Planos!$J$3:$AG$27,$A184,$B184)=0,"",INDEX(Planos!$J$3:$AG$27,$A184,$B184)))</f>
        <v/>
      </c>
      <c r="J184" s="26" t="str">
        <f aca="false">IF($C184="","",IF($I184&lt;&gt;"","Realizada",IF($G184&lt;INT(Parâmetros!$C$4),"Atrasada","Agendada")))</f>
        <v>Agendada</v>
      </c>
      <c r="K184" s="42" t="str">
        <f aca="false">IF($C184="","",IF($I184&lt;&gt;"",$I184-$G184,IF($J184="Atrasada",INT(Parâmetros!$C$4)-$G184,"")))</f>
        <v/>
      </c>
      <c r="L184" s="26" t="str">
        <f aca="false">IF($J184&lt;&gt;"Realizada","",IF($K184&lt;=0,"No prazo",IF($K184&lt;=7,"Até 7 dias",IF($K184&lt;=30,"Até 30 dias","Acima de 30"))))</f>
        <v/>
      </c>
      <c r="M184" s="26" t="n">
        <f aca="false">IF($C184="","",COUNTIFS($G$3:$G184,$G184))</f>
        <v>1</v>
      </c>
      <c r="N184" s="26" t="str">
        <f aca="false">IF($C184="","",$G184&amp;"|"&amp;$M184)</f>
        <v>46688|1</v>
      </c>
    </row>
    <row r="185" customFormat="false" ht="18" hidden="false" customHeight="true" outlineLevel="0" collapsed="false">
      <c r="A185" s="26" t="n">
        <v>8</v>
      </c>
      <c r="B185" s="26" t="n">
        <v>15</v>
      </c>
      <c r="C185" s="26" t="str">
        <f aca="false">IF(INDEX(Planos!$B$3:$B$27,8)="","",IF(15&gt;INDEX(Planos!$G$3:$G$27,8),"",INDEX(Planos!$B$3:$B$27,8)))</f>
        <v>CP-001</v>
      </c>
      <c r="D185" s="40" t="str">
        <f aca="false">IF($C185="","",IFERROR(INDEX(Ativos!$B$3:$B$42,MATCH($C185,Ativos!$A$3:$A$42,0)),""))</f>
        <v>Compressor de ar 50 hp</v>
      </c>
      <c r="E185" s="40" t="str">
        <f aca="false">IF($C185="","",INDEX(Planos!$C$3:$C$27,8))</f>
        <v>Troca do elemento filtrante</v>
      </c>
      <c r="F185" s="40" t="str">
        <f aca="false">IF($C185="","",INDEX(Planos!$D$3:$D$27,8))</f>
        <v>Manutenção preventiva</v>
      </c>
      <c r="G185" s="41" t="n">
        <f aca="false">IF($C185="",0,INDEX(Planos!$F$3:$F$27,8)+(15-1)*INDEX(Planos!$E$3:$E$27,8))</f>
        <v>46733</v>
      </c>
      <c r="H185" s="40" t="str">
        <f aca="false">IF($C185="","",INDEX(Planos!$H$3:$H$27,8))</f>
        <v>Juliana Reis</v>
      </c>
      <c r="I185" s="41" t="str">
        <f aca="false">IF($C185="","",IF(INDEX(Planos!$J$3:$AG$27,$A185,$B185)=0,"",INDEX(Planos!$J$3:$AG$27,$A185,$B185)))</f>
        <v/>
      </c>
      <c r="J185" s="26" t="str">
        <f aca="false">IF($C185="","",IF($I185&lt;&gt;"","Realizada",IF($G185&lt;INT(Parâmetros!$C$4),"Atrasada","Agendada")))</f>
        <v>Agendada</v>
      </c>
      <c r="K185" s="42" t="str">
        <f aca="false">IF($C185="","",IF($I185&lt;&gt;"",$I185-$G185,IF($J185="Atrasada",INT(Parâmetros!$C$4)-$G185,"")))</f>
        <v/>
      </c>
      <c r="L185" s="26" t="str">
        <f aca="false">IF($J185&lt;&gt;"Realizada","",IF($K185&lt;=0,"No prazo",IF($K185&lt;=7,"Até 7 dias",IF($K185&lt;=30,"Até 30 dias","Acima de 30"))))</f>
        <v/>
      </c>
      <c r="M185" s="26" t="n">
        <f aca="false">IF($C185="","",COUNTIFS($G$3:$G185,$G185))</f>
        <v>1</v>
      </c>
      <c r="N185" s="26" t="str">
        <f aca="false">IF($C185="","",$G185&amp;"|"&amp;$M185)</f>
        <v>46733|1</v>
      </c>
    </row>
    <row r="186" customFormat="false" ht="18" hidden="false" customHeight="true" outlineLevel="0" collapsed="false">
      <c r="A186" s="26" t="n">
        <v>8</v>
      </c>
      <c r="B186" s="26" t="n">
        <v>16</v>
      </c>
      <c r="C186" s="26" t="str">
        <f aca="false">IF(INDEX(Planos!$B$3:$B$27,8)="","",IF(16&gt;INDEX(Planos!$G$3:$G$27,8),"",INDEX(Planos!$B$3:$B$27,8)))</f>
        <v>CP-001</v>
      </c>
      <c r="D186" s="40" t="str">
        <f aca="false">IF($C186="","",IFERROR(INDEX(Ativos!$B$3:$B$42,MATCH($C186,Ativos!$A$3:$A$42,0)),""))</f>
        <v>Compressor de ar 50 hp</v>
      </c>
      <c r="E186" s="40" t="str">
        <f aca="false">IF($C186="","",INDEX(Planos!$C$3:$C$27,8))</f>
        <v>Troca do elemento filtrante</v>
      </c>
      <c r="F186" s="40" t="str">
        <f aca="false">IF($C186="","",INDEX(Planos!$D$3:$D$27,8))</f>
        <v>Manutenção preventiva</v>
      </c>
      <c r="G186" s="41" t="n">
        <f aca="false">IF($C186="",0,INDEX(Planos!$F$3:$F$27,8)+(16-1)*INDEX(Planos!$E$3:$E$27,8))</f>
        <v>46778</v>
      </c>
      <c r="H186" s="40" t="str">
        <f aca="false">IF($C186="","",INDEX(Planos!$H$3:$H$27,8))</f>
        <v>Juliana Reis</v>
      </c>
      <c r="I186" s="41" t="str">
        <f aca="false">IF($C186="","",IF(INDEX(Planos!$J$3:$AG$27,$A186,$B186)=0,"",INDEX(Planos!$J$3:$AG$27,$A186,$B186)))</f>
        <v/>
      </c>
      <c r="J186" s="26" t="str">
        <f aca="false">IF($C186="","",IF($I186&lt;&gt;"","Realizada",IF($G186&lt;INT(Parâmetros!$C$4),"Atrasada","Agendada")))</f>
        <v>Agendada</v>
      </c>
      <c r="K186" s="42" t="str">
        <f aca="false">IF($C186="","",IF($I186&lt;&gt;"",$I186-$G186,IF($J186="Atrasada",INT(Parâmetros!$C$4)-$G186,"")))</f>
        <v/>
      </c>
      <c r="L186" s="26" t="str">
        <f aca="false">IF($J186&lt;&gt;"Realizada","",IF($K186&lt;=0,"No prazo",IF($K186&lt;=7,"Até 7 dias",IF($K186&lt;=30,"Até 30 dias","Acima de 30"))))</f>
        <v/>
      </c>
      <c r="M186" s="26" t="n">
        <f aca="false">IF($C186="","",COUNTIFS($G$3:$G186,$G186))</f>
        <v>1</v>
      </c>
      <c r="N186" s="26" t="str">
        <f aca="false">IF($C186="","",$G186&amp;"|"&amp;$M186)</f>
        <v>46778|1</v>
      </c>
    </row>
    <row r="187" customFormat="false" ht="18" hidden="false" customHeight="true" outlineLevel="0" collapsed="false">
      <c r="A187" s="26" t="n">
        <v>8</v>
      </c>
      <c r="B187" s="26" t="n">
        <v>17</v>
      </c>
      <c r="C187" s="26" t="str">
        <f aca="false">IF(INDEX(Planos!$B$3:$B$27,8)="","",IF(17&gt;INDEX(Planos!$G$3:$G$27,8),"",INDEX(Planos!$B$3:$B$27,8)))</f>
        <v>CP-001</v>
      </c>
      <c r="D187" s="40" t="str">
        <f aca="false">IF($C187="","",IFERROR(INDEX(Ativos!$B$3:$B$42,MATCH($C187,Ativos!$A$3:$A$42,0)),""))</f>
        <v>Compressor de ar 50 hp</v>
      </c>
      <c r="E187" s="40" t="str">
        <f aca="false">IF($C187="","",INDEX(Planos!$C$3:$C$27,8))</f>
        <v>Troca do elemento filtrante</v>
      </c>
      <c r="F187" s="40" t="str">
        <f aca="false">IF($C187="","",INDEX(Planos!$D$3:$D$27,8))</f>
        <v>Manutenção preventiva</v>
      </c>
      <c r="G187" s="41" t="n">
        <f aca="false">IF($C187="",0,INDEX(Planos!$F$3:$F$27,8)+(17-1)*INDEX(Planos!$E$3:$E$27,8))</f>
        <v>46823</v>
      </c>
      <c r="H187" s="40" t="str">
        <f aca="false">IF($C187="","",INDEX(Planos!$H$3:$H$27,8))</f>
        <v>Juliana Reis</v>
      </c>
      <c r="I187" s="41" t="str">
        <f aca="false">IF($C187="","",IF(INDEX(Planos!$J$3:$AG$27,$A187,$B187)=0,"",INDEX(Planos!$J$3:$AG$27,$A187,$B187)))</f>
        <v/>
      </c>
      <c r="J187" s="26" t="str">
        <f aca="false">IF($C187="","",IF($I187&lt;&gt;"","Realizada",IF($G187&lt;INT(Parâmetros!$C$4),"Atrasada","Agendada")))</f>
        <v>Agendada</v>
      </c>
      <c r="K187" s="42" t="str">
        <f aca="false">IF($C187="","",IF($I187&lt;&gt;"",$I187-$G187,IF($J187="Atrasada",INT(Parâmetros!$C$4)-$G187,"")))</f>
        <v/>
      </c>
      <c r="L187" s="26" t="str">
        <f aca="false">IF($J187&lt;&gt;"Realizada","",IF($K187&lt;=0,"No prazo",IF($K187&lt;=7,"Até 7 dias",IF($K187&lt;=30,"Até 30 dias","Acima de 30"))))</f>
        <v/>
      </c>
      <c r="M187" s="26" t="n">
        <f aca="false">IF($C187="","",COUNTIFS($G$3:$G187,$G187))</f>
        <v>1</v>
      </c>
      <c r="N187" s="26" t="str">
        <f aca="false">IF($C187="","",$G187&amp;"|"&amp;$M187)</f>
        <v>46823|1</v>
      </c>
    </row>
    <row r="188" customFormat="false" ht="18" hidden="false" customHeight="true" outlineLevel="0" collapsed="false">
      <c r="A188" s="26" t="n">
        <v>8</v>
      </c>
      <c r="B188" s="26" t="n">
        <v>18</v>
      </c>
      <c r="C188" s="26" t="str">
        <f aca="false">IF(INDEX(Planos!$B$3:$B$27,8)="","",IF(18&gt;INDEX(Planos!$G$3:$G$27,8),"",INDEX(Planos!$B$3:$B$27,8)))</f>
        <v>CP-001</v>
      </c>
      <c r="D188" s="40" t="str">
        <f aca="false">IF($C188="","",IFERROR(INDEX(Ativos!$B$3:$B$42,MATCH($C188,Ativos!$A$3:$A$42,0)),""))</f>
        <v>Compressor de ar 50 hp</v>
      </c>
      <c r="E188" s="40" t="str">
        <f aca="false">IF($C188="","",INDEX(Planos!$C$3:$C$27,8))</f>
        <v>Troca do elemento filtrante</v>
      </c>
      <c r="F188" s="40" t="str">
        <f aca="false">IF($C188="","",INDEX(Planos!$D$3:$D$27,8))</f>
        <v>Manutenção preventiva</v>
      </c>
      <c r="G188" s="41" t="n">
        <f aca="false">IF($C188="",0,INDEX(Planos!$F$3:$F$27,8)+(18-1)*INDEX(Planos!$E$3:$E$27,8))</f>
        <v>46868</v>
      </c>
      <c r="H188" s="40" t="str">
        <f aca="false">IF($C188="","",INDEX(Planos!$H$3:$H$27,8))</f>
        <v>Juliana Reis</v>
      </c>
      <c r="I188" s="41" t="str">
        <f aca="false">IF($C188="","",IF(INDEX(Planos!$J$3:$AG$27,$A188,$B188)=0,"",INDEX(Planos!$J$3:$AG$27,$A188,$B188)))</f>
        <v/>
      </c>
      <c r="J188" s="26" t="str">
        <f aca="false">IF($C188="","",IF($I188&lt;&gt;"","Realizada",IF($G188&lt;INT(Parâmetros!$C$4),"Atrasada","Agendada")))</f>
        <v>Agendada</v>
      </c>
      <c r="K188" s="42" t="str">
        <f aca="false">IF($C188="","",IF($I188&lt;&gt;"",$I188-$G188,IF($J188="Atrasada",INT(Parâmetros!$C$4)-$G188,"")))</f>
        <v/>
      </c>
      <c r="L188" s="26" t="str">
        <f aca="false">IF($J188&lt;&gt;"Realizada","",IF($K188&lt;=0,"No prazo",IF($K188&lt;=7,"Até 7 dias",IF($K188&lt;=30,"Até 30 dias","Acima de 30"))))</f>
        <v/>
      </c>
      <c r="M188" s="26" t="n">
        <f aca="false">IF($C188="","",COUNTIFS($G$3:$G188,$G188))</f>
        <v>1</v>
      </c>
      <c r="N188" s="26" t="str">
        <f aca="false">IF($C188="","",$G188&amp;"|"&amp;$M188)</f>
        <v>46868|1</v>
      </c>
    </row>
    <row r="189" customFormat="false" ht="18" hidden="false" customHeight="true" outlineLevel="0" collapsed="false">
      <c r="A189" s="26" t="n">
        <v>8</v>
      </c>
      <c r="B189" s="26" t="n">
        <v>19</v>
      </c>
      <c r="C189" s="26" t="str">
        <f aca="false">IF(INDEX(Planos!$B$3:$B$27,8)="","",IF(19&gt;INDEX(Planos!$G$3:$G$27,8),"",INDEX(Planos!$B$3:$B$27,8)))</f>
        <v/>
      </c>
      <c r="D189" s="40" t="str">
        <f aca="false">IF($C189="","",IFERROR(INDEX(Ativos!$B$3:$B$42,MATCH($C189,Ativos!$A$3:$A$42,0)),""))</f>
        <v/>
      </c>
      <c r="E189" s="40" t="str">
        <f aca="false">IF($C189="","",INDEX(Planos!$C$3:$C$27,8))</f>
        <v/>
      </c>
      <c r="F189" s="40" t="str">
        <f aca="false">IF($C189="","",INDEX(Planos!$D$3:$D$27,8))</f>
        <v/>
      </c>
      <c r="G189" s="41" t="n">
        <f aca="false">IF($C189="",0,INDEX(Planos!$F$3:$F$27,8)+(19-1)*INDEX(Planos!$E$3:$E$27,8))</f>
        <v>0</v>
      </c>
      <c r="H189" s="40" t="str">
        <f aca="false">IF($C189="","",INDEX(Planos!$H$3:$H$27,8))</f>
        <v/>
      </c>
      <c r="I189" s="41" t="str">
        <f aca="false">IF($C189="","",IF(INDEX(Planos!$J$3:$AG$27,$A189,$B189)=0,"",INDEX(Planos!$J$3:$AG$27,$A189,$B189)))</f>
        <v/>
      </c>
      <c r="J189" s="26" t="str">
        <f aca="false">IF($C189="","",IF($I189&lt;&gt;"","Realizada",IF($G189&lt;INT(Parâmetros!$C$4),"Atrasada","Agendada")))</f>
        <v/>
      </c>
      <c r="K189" s="42" t="str">
        <f aca="false">IF($C189="","",IF($I189&lt;&gt;"",$I189-$G189,IF($J189="Atrasada",INT(Parâmetros!$C$4)-$G189,"")))</f>
        <v/>
      </c>
      <c r="L189" s="26" t="str">
        <f aca="false">IF($J189&lt;&gt;"Realizada","",IF($K189&lt;=0,"No prazo",IF($K189&lt;=7,"Até 7 dias",IF($K189&lt;=30,"Até 30 dias","Acima de 30"))))</f>
        <v/>
      </c>
      <c r="M189" s="26" t="str">
        <f aca="false">IF($C189="","",COUNTIFS($G$3:$G189,$G189))</f>
        <v/>
      </c>
      <c r="N189" s="26" t="str">
        <f aca="false">IF($C189="","",$G189&amp;"|"&amp;$M189)</f>
        <v/>
      </c>
    </row>
    <row r="190" customFormat="false" ht="18" hidden="false" customHeight="true" outlineLevel="0" collapsed="false">
      <c r="A190" s="26" t="n">
        <v>8</v>
      </c>
      <c r="B190" s="26" t="n">
        <v>20</v>
      </c>
      <c r="C190" s="26" t="str">
        <f aca="false">IF(INDEX(Planos!$B$3:$B$27,8)="","",IF(20&gt;INDEX(Planos!$G$3:$G$27,8),"",INDEX(Planos!$B$3:$B$27,8)))</f>
        <v/>
      </c>
      <c r="D190" s="40" t="str">
        <f aca="false">IF($C190="","",IFERROR(INDEX(Ativos!$B$3:$B$42,MATCH($C190,Ativos!$A$3:$A$42,0)),""))</f>
        <v/>
      </c>
      <c r="E190" s="40" t="str">
        <f aca="false">IF($C190="","",INDEX(Planos!$C$3:$C$27,8))</f>
        <v/>
      </c>
      <c r="F190" s="40" t="str">
        <f aca="false">IF($C190="","",INDEX(Planos!$D$3:$D$27,8))</f>
        <v/>
      </c>
      <c r="G190" s="41" t="n">
        <f aca="false">IF($C190="",0,INDEX(Planos!$F$3:$F$27,8)+(20-1)*INDEX(Planos!$E$3:$E$27,8))</f>
        <v>0</v>
      </c>
      <c r="H190" s="40" t="str">
        <f aca="false">IF($C190="","",INDEX(Planos!$H$3:$H$27,8))</f>
        <v/>
      </c>
      <c r="I190" s="41" t="str">
        <f aca="false">IF($C190="","",IF(INDEX(Planos!$J$3:$AG$27,$A190,$B190)=0,"",INDEX(Planos!$J$3:$AG$27,$A190,$B190)))</f>
        <v/>
      </c>
      <c r="J190" s="26" t="str">
        <f aca="false">IF($C190="","",IF($I190&lt;&gt;"","Realizada",IF($G190&lt;INT(Parâmetros!$C$4),"Atrasada","Agendada")))</f>
        <v/>
      </c>
      <c r="K190" s="42" t="str">
        <f aca="false">IF($C190="","",IF($I190&lt;&gt;"",$I190-$G190,IF($J190="Atrasada",INT(Parâmetros!$C$4)-$G190,"")))</f>
        <v/>
      </c>
      <c r="L190" s="26" t="str">
        <f aca="false">IF($J190&lt;&gt;"Realizada","",IF($K190&lt;=0,"No prazo",IF($K190&lt;=7,"Até 7 dias",IF($K190&lt;=30,"Até 30 dias","Acima de 30"))))</f>
        <v/>
      </c>
      <c r="M190" s="26" t="str">
        <f aca="false">IF($C190="","",COUNTIFS($G$3:$G190,$G190))</f>
        <v/>
      </c>
      <c r="N190" s="26" t="str">
        <f aca="false">IF($C190="","",$G190&amp;"|"&amp;$M190)</f>
        <v/>
      </c>
    </row>
    <row r="191" customFormat="false" ht="18" hidden="false" customHeight="true" outlineLevel="0" collapsed="false">
      <c r="A191" s="26" t="n">
        <v>8</v>
      </c>
      <c r="B191" s="26" t="n">
        <v>21</v>
      </c>
      <c r="C191" s="26" t="str">
        <f aca="false">IF(INDEX(Planos!$B$3:$B$27,8)="","",IF(21&gt;INDEX(Planos!$G$3:$G$27,8),"",INDEX(Planos!$B$3:$B$27,8)))</f>
        <v/>
      </c>
      <c r="D191" s="40" t="str">
        <f aca="false">IF($C191="","",IFERROR(INDEX(Ativos!$B$3:$B$42,MATCH($C191,Ativos!$A$3:$A$42,0)),""))</f>
        <v/>
      </c>
      <c r="E191" s="40" t="str">
        <f aca="false">IF($C191="","",INDEX(Planos!$C$3:$C$27,8))</f>
        <v/>
      </c>
      <c r="F191" s="40" t="str">
        <f aca="false">IF($C191="","",INDEX(Planos!$D$3:$D$27,8))</f>
        <v/>
      </c>
      <c r="G191" s="41" t="n">
        <f aca="false">IF($C191="",0,INDEX(Planos!$F$3:$F$27,8)+(21-1)*INDEX(Planos!$E$3:$E$27,8))</f>
        <v>0</v>
      </c>
      <c r="H191" s="40" t="str">
        <f aca="false">IF($C191="","",INDEX(Planos!$H$3:$H$27,8))</f>
        <v/>
      </c>
      <c r="I191" s="41" t="str">
        <f aca="false">IF($C191="","",IF(INDEX(Planos!$J$3:$AG$27,$A191,$B191)=0,"",INDEX(Planos!$J$3:$AG$27,$A191,$B191)))</f>
        <v/>
      </c>
      <c r="J191" s="26" t="str">
        <f aca="false">IF($C191="","",IF($I191&lt;&gt;"","Realizada",IF($G191&lt;INT(Parâmetros!$C$4),"Atrasada","Agendada")))</f>
        <v/>
      </c>
      <c r="K191" s="42" t="str">
        <f aca="false">IF($C191="","",IF($I191&lt;&gt;"",$I191-$G191,IF($J191="Atrasada",INT(Parâmetros!$C$4)-$G191,"")))</f>
        <v/>
      </c>
      <c r="L191" s="26" t="str">
        <f aca="false">IF($J191&lt;&gt;"Realizada","",IF($K191&lt;=0,"No prazo",IF($K191&lt;=7,"Até 7 dias",IF($K191&lt;=30,"Até 30 dias","Acima de 30"))))</f>
        <v/>
      </c>
      <c r="M191" s="26" t="str">
        <f aca="false">IF($C191="","",COUNTIFS($G$3:$G191,$G191))</f>
        <v/>
      </c>
      <c r="N191" s="26" t="str">
        <f aca="false">IF($C191="","",$G191&amp;"|"&amp;$M191)</f>
        <v/>
      </c>
    </row>
    <row r="192" customFormat="false" ht="18" hidden="false" customHeight="true" outlineLevel="0" collapsed="false">
      <c r="A192" s="26" t="n">
        <v>8</v>
      </c>
      <c r="B192" s="26" t="n">
        <v>22</v>
      </c>
      <c r="C192" s="26" t="str">
        <f aca="false">IF(INDEX(Planos!$B$3:$B$27,8)="","",IF(22&gt;INDEX(Planos!$G$3:$G$27,8),"",INDEX(Planos!$B$3:$B$27,8)))</f>
        <v/>
      </c>
      <c r="D192" s="40" t="str">
        <f aca="false">IF($C192="","",IFERROR(INDEX(Ativos!$B$3:$B$42,MATCH($C192,Ativos!$A$3:$A$42,0)),""))</f>
        <v/>
      </c>
      <c r="E192" s="40" t="str">
        <f aca="false">IF($C192="","",INDEX(Planos!$C$3:$C$27,8))</f>
        <v/>
      </c>
      <c r="F192" s="40" t="str">
        <f aca="false">IF($C192="","",INDEX(Planos!$D$3:$D$27,8))</f>
        <v/>
      </c>
      <c r="G192" s="41" t="n">
        <f aca="false">IF($C192="",0,INDEX(Planos!$F$3:$F$27,8)+(22-1)*INDEX(Planos!$E$3:$E$27,8))</f>
        <v>0</v>
      </c>
      <c r="H192" s="40" t="str">
        <f aca="false">IF($C192="","",INDEX(Planos!$H$3:$H$27,8))</f>
        <v/>
      </c>
      <c r="I192" s="41" t="str">
        <f aca="false">IF($C192="","",IF(INDEX(Planos!$J$3:$AG$27,$A192,$B192)=0,"",INDEX(Planos!$J$3:$AG$27,$A192,$B192)))</f>
        <v/>
      </c>
      <c r="J192" s="26" t="str">
        <f aca="false">IF($C192="","",IF($I192&lt;&gt;"","Realizada",IF($G192&lt;INT(Parâmetros!$C$4),"Atrasada","Agendada")))</f>
        <v/>
      </c>
      <c r="K192" s="42" t="str">
        <f aca="false">IF($C192="","",IF($I192&lt;&gt;"",$I192-$G192,IF($J192="Atrasada",INT(Parâmetros!$C$4)-$G192,"")))</f>
        <v/>
      </c>
      <c r="L192" s="26" t="str">
        <f aca="false">IF($J192&lt;&gt;"Realizada","",IF($K192&lt;=0,"No prazo",IF($K192&lt;=7,"Até 7 dias",IF($K192&lt;=30,"Até 30 dias","Acima de 30"))))</f>
        <v/>
      </c>
      <c r="M192" s="26" t="str">
        <f aca="false">IF($C192="","",COUNTIFS($G$3:$G192,$G192))</f>
        <v/>
      </c>
      <c r="N192" s="26" t="str">
        <f aca="false">IF($C192="","",$G192&amp;"|"&amp;$M192)</f>
        <v/>
      </c>
    </row>
    <row r="193" customFormat="false" ht="18" hidden="false" customHeight="true" outlineLevel="0" collapsed="false">
      <c r="A193" s="26" t="n">
        <v>8</v>
      </c>
      <c r="B193" s="26" t="n">
        <v>23</v>
      </c>
      <c r="C193" s="26" t="str">
        <f aca="false">IF(INDEX(Planos!$B$3:$B$27,8)="","",IF(23&gt;INDEX(Planos!$G$3:$G$27,8),"",INDEX(Planos!$B$3:$B$27,8)))</f>
        <v/>
      </c>
      <c r="D193" s="40" t="str">
        <f aca="false">IF($C193="","",IFERROR(INDEX(Ativos!$B$3:$B$42,MATCH($C193,Ativos!$A$3:$A$42,0)),""))</f>
        <v/>
      </c>
      <c r="E193" s="40" t="str">
        <f aca="false">IF($C193="","",INDEX(Planos!$C$3:$C$27,8))</f>
        <v/>
      </c>
      <c r="F193" s="40" t="str">
        <f aca="false">IF($C193="","",INDEX(Planos!$D$3:$D$27,8))</f>
        <v/>
      </c>
      <c r="G193" s="41" t="n">
        <f aca="false">IF($C193="",0,INDEX(Planos!$F$3:$F$27,8)+(23-1)*INDEX(Planos!$E$3:$E$27,8))</f>
        <v>0</v>
      </c>
      <c r="H193" s="40" t="str">
        <f aca="false">IF($C193="","",INDEX(Planos!$H$3:$H$27,8))</f>
        <v/>
      </c>
      <c r="I193" s="41" t="str">
        <f aca="false">IF($C193="","",IF(INDEX(Planos!$J$3:$AG$27,$A193,$B193)=0,"",INDEX(Planos!$J$3:$AG$27,$A193,$B193)))</f>
        <v/>
      </c>
      <c r="J193" s="26" t="str">
        <f aca="false">IF($C193="","",IF($I193&lt;&gt;"","Realizada",IF($G193&lt;INT(Parâmetros!$C$4),"Atrasada","Agendada")))</f>
        <v/>
      </c>
      <c r="K193" s="42" t="str">
        <f aca="false">IF($C193="","",IF($I193&lt;&gt;"",$I193-$G193,IF($J193="Atrasada",INT(Parâmetros!$C$4)-$G193,"")))</f>
        <v/>
      </c>
      <c r="L193" s="26" t="str">
        <f aca="false">IF($J193&lt;&gt;"Realizada","",IF($K193&lt;=0,"No prazo",IF($K193&lt;=7,"Até 7 dias",IF($K193&lt;=30,"Até 30 dias","Acima de 30"))))</f>
        <v/>
      </c>
      <c r="M193" s="26" t="str">
        <f aca="false">IF($C193="","",COUNTIFS($G$3:$G193,$G193))</f>
        <v/>
      </c>
      <c r="N193" s="26" t="str">
        <f aca="false">IF($C193="","",$G193&amp;"|"&amp;$M193)</f>
        <v/>
      </c>
    </row>
    <row r="194" customFormat="false" ht="18" hidden="false" customHeight="true" outlineLevel="0" collapsed="false">
      <c r="A194" s="26" t="n">
        <v>8</v>
      </c>
      <c r="B194" s="26" t="n">
        <v>24</v>
      </c>
      <c r="C194" s="26" t="str">
        <f aca="false">IF(INDEX(Planos!$B$3:$B$27,8)="","",IF(24&gt;INDEX(Planos!$G$3:$G$27,8),"",INDEX(Planos!$B$3:$B$27,8)))</f>
        <v/>
      </c>
      <c r="D194" s="40" t="str">
        <f aca="false">IF($C194="","",IFERROR(INDEX(Ativos!$B$3:$B$42,MATCH($C194,Ativos!$A$3:$A$42,0)),""))</f>
        <v/>
      </c>
      <c r="E194" s="40" t="str">
        <f aca="false">IF($C194="","",INDEX(Planos!$C$3:$C$27,8))</f>
        <v/>
      </c>
      <c r="F194" s="40" t="str">
        <f aca="false">IF($C194="","",INDEX(Planos!$D$3:$D$27,8))</f>
        <v/>
      </c>
      <c r="G194" s="41" t="n">
        <f aca="false">IF($C194="",0,INDEX(Planos!$F$3:$F$27,8)+(24-1)*INDEX(Planos!$E$3:$E$27,8))</f>
        <v>0</v>
      </c>
      <c r="H194" s="40" t="str">
        <f aca="false">IF($C194="","",INDEX(Planos!$H$3:$H$27,8))</f>
        <v/>
      </c>
      <c r="I194" s="41" t="str">
        <f aca="false">IF($C194="","",IF(INDEX(Planos!$J$3:$AG$27,$A194,$B194)=0,"",INDEX(Planos!$J$3:$AG$27,$A194,$B194)))</f>
        <v/>
      </c>
      <c r="J194" s="26" t="str">
        <f aca="false">IF($C194="","",IF($I194&lt;&gt;"","Realizada",IF($G194&lt;INT(Parâmetros!$C$4),"Atrasada","Agendada")))</f>
        <v/>
      </c>
      <c r="K194" s="42" t="str">
        <f aca="false">IF($C194="","",IF($I194&lt;&gt;"",$I194-$G194,IF($J194="Atrasada",INT(Parâmetros!$C$4)-$G194,"")))</f>
        <v/>
      </c>
      <c r="L194" s="26" t="str">
        <f aca="false">IF($J194&lt;&gt;"Realizada","",IF($K194&lt;=0,"No prazo",IF($K194&lt;=7,"Até 7 dias",IF($K194&lt;=30,"Até 30 dias","Acima de 30"))))</f>
        <v/>
      </c>
      <c r="M194" s="26" t="str">
        <f aca="false">IF($C194="","",COUNTIFS($G$3:$G194,$G194))</f>
        <v/>
      </c>
      <c r="N194" s="26" t="str">
        <f aca="false">IF($C194="","",$G194&amp;"|"&amp;$M194)</f>
        <v/>
      </c>
    </row>
    <row r="195" customFormat="false" ht="18" hidden="false" customHeight="true" outlineLevel="0" collapsed="false">
      <c r="A195" s="26" t="n">
        <v>9</v>
      </c>
      <c r="B195" s="26" t="n">
        <v>1</v>
      </c>
      <c r="C195" s="26" t="str">
        <f aca="false">IF(INDEX(Planos!$B$3:$B$27,9)="","",IF(1&gt;INDEX(Planos!$G$3:$G$27,9),"",INDEX(Planos!$B$3:$B$27,9)))</f>
        <v>CP-001</v>
      </c>
      <c r="D195" s="40" t="str">
        <f aca="false">IF($C195="","",IFERROR(INDEX(Ativos!$B$3:$B$42,MATCH($C195,Ativos!$A$3:$A$42,0)),""))</f>
        <v>Compressor de ar 50 hp</v>
      </c>
      <c r="E195" s="40" t="str">
        <f aca="false">IF($C195="","",INDEX(Planos!$C$3:$C$27,9))</f>
        <v>Análise de vibração</v>
      </c>
      <c r="F195" s="40" t="str">
        <f aca="false">IF($C195="","",INDEX(Planos!$D$3:$D$27,9))</f>
        <v>Manutenção preditiva</v>
      </c>
      <c r="G195" s="41" t="n">
        <f aca="false">IF($C195="",0,INDEX(Planos!$F$3:$F$27,9)+(1-1)*INDEX(Planos!$E$3:$E$27,9))</f>
        <v>46067</v>
      </c>
      <c r="H195" s="40" t="str">
        <f aca="false">IF($C195="","",INDEX(Planos!$H$3:$H$27,9))</f>
        <v>Juliana Reis</v>
      </c>
      <c r="I195" s="41" t="n">
        <f aca="false">IF($C195="","",IF(INDEX(Planos!$J$3:$AG$27,$A195,$B195)=0,"",INDEX(Planos!$J$3:$AG$27,$A195,$B195)))</f>
        <v>46069</v>
      </c>
      <c r="J195" s="26" t="str">
        <f aca="false">IF($C195="","",IF($I195&lt;&gt;"","Realizada",IF($G195&lt;INT(Parâmetros!$C$4),"Atrasada","Agendada")))</f>
        <v>Realizada</v>
      </c>
      <c r="K195" s="42" t="n">
        <f aca="false">IF($C195="","",IF($I195&lt;&gt;"",$I195-$G195,IF($J195="Atrasada",INT(Parâmetros!$C$4)-$G195,"")))</f>
        <v>2</v>
      </c>
      <c r="L195" s="26" t="str">
        <f aca="false">IF($J195&lt;&gt;"Realizada","",IF($K195&lt;=0,"No prazo",IF($K195&lt;=7,"Até 7 dias",IF($K195&lt;=30,"Até 30 dias","Acima de 30"))))</f>
        <v>Até 7 dias</v>
      </c>
      <c r="M195" s="26" t="n">
        <f aca="false">IF($C195="","",COUNTIFS($G$3:$G195,$G195))</f>
        <v>1</v>
      </c>
      <c r="N195" s="26" t="str">
        <f aca="false">IF($C195="","",$G195&amp;"|"&amp;$M195)</f>
        <v>46067|1</v>
      </c>
    </row>
    <row r="196" customFormat="false" ht="18" hidden="false" customHeight="true" outlineLevel="0" collapsed="false">
      <c r="A196" s="26" t="n">
        <v>9</v>
      </c>
      <c r="B196" s="26" t="n">
        <v>2</v>
      </c>
      <c r="C196" s="26" t="str">
        <f aca="false">IF(INDEX(Planos!$B$3:$B$27,9)="","",IF(2&gt;INDEX(Planos!$G$3:$G$27,9),"",INDEX(Planos!$B$3:$B$27,9)))</f>
        <v>CP-001</v>
      </c>
      <c r="D196" s="40" t="str">
        <f aca="false">IF($C196="","",IFERROR(INDEX(Ativos!$B$3:$B$42,MATCH($C196,Ativos!$A$3:$A$42,0)),""))</f>
        <v>Compressor de ar 50 hp</v>
      </c>
      <c r="E196" s="40" t="str">
        <f aca="false">IF($C196="","",INDEX(Planos!$C$3:$C$27,9))</f>
        <v>Análise de vibração</v>
      </c>
      <c r="F196" s="40" t="str">
        <f aca="false">IF($C196="","",INDEX(Planos!$D$3:$D$27,9))</f>
        <v>Manutenção preditiva</v>
      </c>
      <c r="G196" s="41" t="n">
        <f aca="false">IF($C196="",0,INDEX(Planos!$F$3:$F$27,9)+(2-1)*INDEX(Planos!$E$3:$E$27,9))</f>
        <v>46157</v>
      </c>
      <c r="H196" s="40" t="str">
        <f aca="false">IF($C196="","",INDEX(Planos!$H$3:$H$27,9))</f>
        <v>Juliana Reis</v>
      </c>
      <c r="I196" s="41" t="n">
        <f aca="false">IF($C196="","",IF(INDEX(Planos!$J$3:$AG$27,$A196,$B196)=0,"",INDEX(Planos!$J$3:$AG$27,$A196,$B196)))</f>
        <v>46157</v>
      </c>
      <c r="J196" s="26" t="str">
        <f aca="false">IF($C196="","",IF($I196&lt;&gt;"","Realizada",IF($G196&lt;INT(Parâmetros!$C$4),"Atrasada","Agendada")))</f>
        <v>Realizada</v>
      </c>
      <c r="K196" s="42" t="n">
        <f aca="false">IF($C196="","",IF($I196&lt;&gt;"",$I196-$G196,IF($J196="Atrasada",INT(Parâmetros!$C$4)-$G196,"")))</f>
        <v>0</v>
      </c>
      <c r="L196" s="26" t="str">
        <f aca="false">IF($J196&lt;&gt;"Realizada","",IF($K196&lt;=0,"No prazo",IF($K196&lt;=7,"Até 7 dias",IF($K196&lt;=30,"Até 30 dias","Acima de 30"))))</f>
        <v>No prazo</v>
      </c>
      <c r="M196" s="26" t="n">
        <f aca="false">IF($C196="","",COUNTIFS($G$3:$G196,$G196))</f>
        <v>1</v>
      </c>
      <c r="N196" s="26" t="str">
        <f aca="false">IF($C196="","",$G196&amp;"|"&amp;$M196)</f>
        <v>46157|1</v>
      </c>
    </row>
    <row r="197" customFormat="false" ht="18" hidden="false" customHeight="true" outlineLevel="0" collapsed="false">
      <c r="A197" s="26" t="n">
        <v>9</v>
      </c>
      <c r="B197" s="26" t="n">
        <v>3</v>
      </c>
      <c r="C197" s="26" t="str">
        <f aca="false">IF(INDEX(Planos!$B$3:$B$27,9)="","",IF(3&gt;INDEX(Planos!$G$3:$G$27,9),"",INDEX(Planos!$B$3:$B$27,9)))</f>
        <v>CP-001</v>
      </c>
      <c r="D197" s="40" t="str">
        <f aca="false">IF($C197="","",IFERROR(INDEX(Ativos!$B$3:$B$42,MATCH($C197,Ativos!$A$3:$A$42,0)),""))</f>
        <v>Compressor de ar 50 hp</v>
      </c>
      <c r="E197" s="40" t="str">
        <f aca="false">IF($C197="","",INDEX(Planos!$C$3:$C$27,9))</f>
        <v>Análise de vibração</v>
      </c>
      <c r="F197" s="40" t="str">
        <f aca="false">IF($C197="","",INDEX(Planos!$D$3:$D$27,9))</f>
        <v>Manutenção preditiva</v>
      </c>
      <c r="G197" s="41" t="n">
        <f aca="false">IF($C197="",0,INDEX(Planos!$F$3:$F$27,9)+(3-1)*INDEX(Planos!$E$3:$E$27,9))</f>
        <v>46247</v>
      </c>
      <c r="H197" s="40" t="str">
        <f aca="false">IF($C197="","",INDEX(Planos!$H$3:$H$27,9))</f>
        <v>Juliana Reis</v>
      </c>
      <c r="I197" s="41" t="str">
        <f aca="false">IF($C197="","",IF(INDEX(Planos!$J$3:$AG$27,$A197,$B197)=0,"",INDEX(Planos!$J$3:$AG$27,$A197,$B197)))</f>
        <v/>
      </c>
      <c r="J197" s="26" t="str">
        <f aca="false">IF($C197="","",IF($I197&lt;&gt;"","Realizada",IF($G197&lt;INT(Parâmetros!$C$4),"Atrasada","Agendada")))</f>
        <v>Agendada</v>
      </c>
      <c r="K197" s="42" t="str">
        <f aca="false">IF($C197="","",IF($I197&lt;&gt;"",$I197-$G197,IF($J197="Atrasada",INT(Parâmetros!$C$4)-$G197,"")))</f>
        <v/>
      </c>
      <c r="L197" s="26" t="str">
        <f aca="false">IF($J197&lt;&gt;"Realizada","",IF($K197&lt;=0,"No prazo",IF($K197&lt;=7,"Até 7 dias",IF($K197&lt;=30,"Até 30 dias","Acima de 30"))))</f>
        <v/>
      </c>
      <c r="M197" s="26" t="n">
        <f aca="false">IF($C197="","",COUNTIFS($G$3:$G197,$G197))</f>
        <v>1</v>
      </c>
      <c r="N197" s="26" t="str">
        <f aca="false">IF($C197="","",$G197&amp;"|"&amp;$M197)</f>
        <v>46247|1</v>
      </c>
    </row>
    <row r="198" customFormat="false" ht="18" hidden="false" customHeight="true" outlineLevel="0" collapsed="false">
      <c r="A198" s="26" t="n">
        <v>9</v>
      </c>
      <c r="B198" s="26" t="n">
        <v>4</v>
      </c>
      <c r="C198" s="26" t="str">
        <f aca="false">IF(INDEX(Planos!$B$3:$B$27,9)="","",IF(4&gt;INDEX(Planos!$G$3:$G$27,9),"",INDEX(Planos!$B$3:$B$27,9)))</f>
        <v>CP-001</v>
      </c>
      <c r="D198" s="40" t="str">
        <f aca="false">IF($C198="","",IFERROR(INDEX(Ativos!$B$3:$B$42,MATCH($C198,Ativos!$A$3:$A$42,0)),""))</f>
        <v>Compressor de ar 50 hp</v>
      </c>
      <c r="E198" s="40" t="str">
        <f aca="false">IF($C198="","",INDEX(Planos!$C$3:$C$27,9))</f>
        <v>Análise de vibração</v>
      </c>
      <c r="F198" s="40" t="str">
        <f aca="false">IF($C198="","",INDEX(Planos!$D$3:$D$27,9))</f>
        <v>Manutenção preditiva</v>
      </c>
      <c r="G198" s="41" t="n">
        <f aca="false">IF($C198="",0,INDEX(Planos!$F$3:$F$27,9)+(4-1)*INDEX(Planos!$E$3:$E$27,9))</f>
        <v>46337</v>
      </c>
      <c r="H198" s="40" t="str">
        <f aca="false">IF($C198="","",INDEX(Planos!$H$3:$H$27,9))</f>
        <v>Juliana Reis</v>
      </c>
      <c r="I198" s="41" t="str">
        <f aca="false">IF($C198="","",IF(INDEX(Planos!$J$3:$AG$27,$A198,$B198)=0,"",INDEX(Planos!$J$3:$AG$27,$A198,$B198)))</f>
        <v/>
      </c>
      <c r="J198" s="26" t="str">
        <f aca="false">IF($C198="","",IF($I198&lt;&gt;"","Realizada",IF($G198&lt;INT(Parâmetros!$C$4),"Atrasada","Agendada")))</f>
        <v>Agendada</v>
      </c>
      <c r="K198" s="42" t="str">
        <f aca="false">IF($C198="","",IF($I198&lt;&gt;"",$I198-$G198,IF($J198="Atrasada",INT(Parâmetros!$C$4)-$G198,"")))</f>
        <v/>
      </c>
      <c r="L198" s="26" t="str">
        <f aca="false">IF($J198&lt;&gt;"Realizada","",IF($K198&lt;=0,"No prazo",IF($K198&lt;=7,"Até 7 dias",IF($K198&lt;=30,"Até 30 dias","Acima de 30"))))</f>
        <v/>
      </c>
      <c r="M198" s="26" t="n">
        <f aca="false">IF($C198="","",COUNTIFS($G$3:$G198,$G198))</f>
        <v>1</v>
      </c>
      <c r="N198" s="26" t="str">
        <f aca="false">IF($C198="","",$G198&amp;"|"&amp;$M198)</f>
        <v>46337|1</v>
      </c>
    </row>
    <row r="199" customFormat="false" ht="18" hidden="false" customHeight="true" outlineLevel="0" collapsed="false">
      <c r="A199" s="26" t="n">
        <v>9</v>
      </c>
      <c r="B199" s="26" t="n">
        <v>5</v>
      </c>
      <c r="C199" s="26" t="str">
        <f aca="false">IF(INDEX(Planos!$B$3:$B$27,9)="","",IF(5&gt;INDEX(Planos!$G$3:$G$27,9),"",INDEX(Planos!$B$3:$B$27,9)))</f>
        <v>CP-001</v>
      </c>
      <c r="D199" s="40" t="str">
        <f aca="false">IF($C199="","",IFERROR(INDEX(Ativos!$B$3:$B$42,MATCH($C199,Ativos!$A$3:$A$42,0)),""))</f>
        <v>Compressor de ar 50 hp</v>
      </c>
      <c r="E199" s="40" t="str">
        <f aca="false">IF($C199="","",INDEX(Planos!$C$3:$C$27,9))</f>
        <v>Análise de vibração</v>
      </c>
      <c r="F199" s="40" t="str">
        <f aca="false">IF($C199="","",INDEX(Planos!$D$3:$D$27,9))</f>
        <v>Manutenção preditiva</v>
      </c>
      <c r="G199" s="41" t="n">
        <f aca="false">IF($C199="",0,INDEX(Planos!$F$3:$F$27,9)+(5-1)*INDEX(Planos!$E$3:$E$27,9))</f>
        <v>46427</v>
      </c>
      <c r="H199" s="40" t="str">
        <f aca="false">IF($C199="","",INDEX(Planos!$H$3:$H$27,9))</f>
        <v>Juliana Reis</v>
      </c>
      <c r="I199" s="41" t="str">
        <f aca="false">IF($C199="","",IF(INDEX(Planos!$J$3:$AG$27,$A199,$B199)=0,"",INDEX(Planos!$J$3:$AG$27,$A199,$B199)))</f>
        <v/>
      </c>
      <c r="J199" s="26" t="str">
        <f aca="false">IF($C199="","",IF($I199&lt;&gt;"","Realizada",IF($G199&lt;INT(Parâmetros!$C$4),"Atrasada","Agendada")))</f>
        <v>Agendada</v>
      </c>
      <c r="K199" s="42" t="str">
        <f aca="false">IF($C199="","",IF($I199&lt;&gt;"",$I199-$G199,IF($J199="Atrasada",INT(Parâmetros!$C$4)-$G199,"")))</f>
        <v/>
      </c>
      <c r="L199" s="26" t="str">
        <f aca="false">IF($J199&lt;&gt;"Realizada","",IF($K199&lt;=0,"No prazo",IF($K199&lt;=7,"Até 7 dias",IF($K199&lt;=30,"Até 30 dias","Acima de 30"))))</f>
        <v/>
      </c>
      <c r="M199" s="26" t="n">
        <f aca="false">IF($C199="","",COUNTIFS($G$3:$G199,$G199))</f>
        <v>1</v>
      </c>
      <c r="N199" s="26" t="str">
        <f aca="false">IF($C199="","",$G199&amp;"|"&amp;$M199)</f>
        <v>46427|1</v>
      </c>
    </row>
    <row r="200" customFormat="false" ht="18" hidden="false" customHeight="true" outlineLevel="0" collapsed="false">
      <c r="A200" s="26" t="n">
        <v>9</v>
      </c>
      <c r="B200" s="26" t="n">
        <v>6</v>
      </c>
      <c r="C200" s="26" t="str">
        <f aca="false">IF(INDEX(Planos!$B$3:$B$27,9)="","",IF(6&gt;INDEX(Planos!$G$3:$G$27,9),"",INDEX(Planos!$B$3:$B$27,9)))</f>
        <v>CP-001</v>
      </c>
      <c r="D200" s="40" t="str">
        <f aca="false">IF($C200="","",IFERROR(INDEX(Ativos!$B$3:$B$42,MATCH($C200,Ativos!$A$3:$A$42,0)),""))</f>
        <v>Compressor de ar 50 hp</v>
      </c>
      <c r="E200" s="40" t="str">
        <f aca="false">IF($C200="","",INDEX(Planos!$C$3:$C$27,9))</f>
        <v>Análise de vibração</v>
      </c>
      <c r="F200" s="40" t="str">
        <f aca="false">IF($C200="","",INDEX(Planos!$D$3:$D$27,9))</f>
        <v>Manutenção preditiva</v>
      </c>
      <c r="G200" s="41" t="n">
        <f aca="false">IF($C200="",0,INDEX(Planos!$F$3:$F$27,9)+(6-1)*INDEX(Planos!$E$3:$E$27,9))</f>
        <v>46517</v>
      </c>
      <c r="H200" s="40" t="str">
        <f aca="false">IF($C200="","",INDEX(Planos!$H$3:$H$27,9))</f>
        <v>Juliana Reis</v>
      </c>
      <c r="I200" s="41" t="str">
        <f aca="false">IF($C200="","",IF(INDEX(Planos!$J$3:$AG$27,$A200,$B200)=0,"",INDEX(Planos!$J$3:$AG$27,$A200,$B200)))</f>
        <v/>
      </c>
      <c r="J200" s="26" t="str">
        <f aca="false">IF($C200="","",IF($I200&lt;&gt;"","Realizada",IF($G200&lt;INT(Parâmetros!$C$4),"Atrasada","Agendada")))</f>
        <v>Agendada</v>
      </c>
      <c r="K200" s="42" t="str">
        <f aca="false">IF($C200="","",IF($I200&lt;&gt;"",$I200-$G200,IF($J200="Atrasada",INT(Parâmetros!$C$4)-$G200,"")))</f>
        <v/>
      </c>
      <c r="L200" s="26" t="str">
        <f aca="false">IF($J200&lt;&gt;"Realizada","",IF($K200&lt;=0,"No prazo",IF($K200&lt;=7,"Até 7 dias",IF($K200&lt;=30,"Até 30 dias","Acima de 30"))))</f>
        <v/>
      </c>
      <c r="M200" s="26" t="n">
        <f aca="false">IF($C200="","",COUNTIFS($G$3:$G200,$G200))</f>
        <v>1</v>
      </c>
      <c r="N200" s="26" t="str">
        <f aca="false">IF($C200="","",$G200&amp;"|"&amp;$M200)</f>
        <v>46517|1</v>
      </c>
    </row>
    <row r="201" customFormat="false" ht="18" hidden="false" customHeight="true" outlineLevel="0" collapsed="false">
      <c r="A201" s="26" t="n">
        <v>9</v>
      </c>
      <c r="B201" s="26" t="n">
        <v>7</v>
      </c>
      <c r="C201" s="26" t="str">
        <f aca="false">IF(INDEX(Planos!$B$3:$B$27,9)="","",IF(7&gt;INDEX(Planos!$G$3:$G$27,9),"",INDEX(Planos!$B$3:$B$27,9)))</f>
        <v>CP-001</v>
      </c>
      <c r="D201" s="40" t="str">
        <f aca="false">IF($C201="","",IFERROR(INDEX(Ativos!$B$3:$B$42,MATCH($C201,Ativos!$A$3:$A$42,0)),""))</f>
        <v>Compressor de ar 50 hp</v>
      </c>
      <c r="E201" s="40" t="str">
        <f aca="false">IF($C201="","",INDEX(Planos!$C$3:$C$27,9))</f>
        <v>Análise de vibração</v>
      </c>
      <c r="F201" s="40" t="str">
        <f aca="false">IF($C201="","",INDEX(Planos!$D$3:$D$27,9))</f>
        <v>Manutenção preditiva</v>
      </c>
      <c r="G201" s="41" t="n">
        <f aca="false">IF($C201="",0,INDEX(Planos!$F$3:$F$27,9)+(7-1)*INDEX(Planos!$E$3:$E$27,9))</f>
        <v>46607</v>
      </c>
      <c r="H201" s="40" t="str">
        <f aca="false">IF($C201="","",INDEX(Planos!$H$3:$H$27,9))</f>
        <v>Juliana Reis</v>
      </c>
      <c r="I201" s="41" t="str">
        <f aca="false">IF($C201="","",IF(INDEX(Planos!$J$3:$AG$27,$A201,$B201)=0,"",INDEX(Planos!$J$3:$AG$27,$A201,$B201)))</f>
        <v/>
      </c>
      <c r="J201" s="26" t="str">
        <f aca="false">IF($C201="","",IF($I201&lt;&gt;"","Realizada",IF($G201&lt;INT(Parâmetros!$C$4),"Atrasada","Agendada")))</f>
        <v>Agendada</v>
      </c>
      <c r="K201" s="42" t="str">
        <f aca="false">IF($C201="","",IF($I201&lt;&gt;"",$I201-$G201,IF($J201="Atrasada",INT(Parâmetros!$C$4)-$G201,"")))</f>
        <v/>
      </c>
      <c r="L201" s="26" t="str">
        <f aca="false">IF($J201&lt;&gt;"Realizada","",IF($K201&lt;=0,"No prazo",IF($K201&lt;=7,"Até 7 dias",IF($K201&lt;=30,"Até 30 dias","Acima de 30"))))</f>
        <v/>
      </c>
      <c r="M201" s="26" t="n">
        <f aca="false">IF($C201="","",COUNTIFS($G$3:$G201,$G201))</f>
        <v>1</v>
      </c>
      <c r="N201" s="26" t="str">
        <f aca="false">IF($C201="","",$G201&amp;"|"&amp;$M201)</f>
        <v>46607|1</v>
      </c>
    </row>
    <row r="202" customFormat="false" ht="18" hidden="false" customHeight="true" outlineLevel="0" collapsed="false">
      <c r="A202" s="26" t="n">
        <v>9</v>
      </c>
      <c r="B202" s="26" t="n">
        <v>8</v>
      </c>
      <c r="C202" s="26" t="str">
        <f aca="false">IF(INDEX(Planos!$B$3:$B$27,9)="","",IF(8&gt;INDEX(Planos!$G$3:$G$27,9),"",INDEX(Planos!$B$3:$B$27,9)))</f>
        <v>CP-001</v>
      </c>
      <c r="D202" s="40" t="str">
        <f aca="false">IF($C202="","",IFERROR(INDEX(Ativos!$B$3:$B$42,MATCH($C202,Ativos!$A$3:$A$42,0)),""))</f>
        <v>Compressor de ar 50 hp</v>
      </c>
      <c r="E202" s="40" t="str">
        <f aca="false">IF($C202="","",INDEX(Planos!$C$3:$C$27,9))</f>
        <v>Análise de vibração</v>
      </c>
      <c r="F202" s="40" t="str">
        <f aca="false">IF($C202="","",INDEX(Planos!$D$3:$D$27,9))</f>
        <v>Manutenção preditiva</v>
      </c>
      <c r="G202" s="41" t="n">
        <f aca="false">IF($C202="",0,INDEX(Planos!$F$3:$F$27,9)+(8-1)*INDEX(Planos!$E$3:$E$27,9))</f>
        <v>46697</v>
      </c>
      <c r="H202" s="40" t="str">
        <f aca="false">IF($C202="","",INDEX(Planos!$H$3:$H$27,9))</f>
        <v>Juliana Reis</v>
      </c>
      <c r="I202" s="41" t="str">
        <f aca="false">IF($C202="","",IF(INDEX(Planos!$J$3:$AG$27,$A202,$B202)=0,"",INDEX(Planos!$J$3:$AG$27,$A202,$B202)))</f>
        <v/>
      </c>
      <c r="J202" s="26" t="str">
        <f aca="false">IF($C202="","",IF($I202&lt;&gt;"","Realizada",IF($G202&lt;INT(Parâmetros!$C$4),"Atrasada","Agendada")))</f>
        <v>Agendada</v>
      </c>
      <c r="K202" s="42" t="str">
        <f aca="false">IF($C202="","",IF($I202&lt;&gt;"",$I202-$G202,IF($J202="Atrasada",INT(Parâmetros!$C$4)-$G202,"")))</f>
        <v/>
      </c>
      <c r="L202" s="26" t="str">
        <f aca="false">IF($J202&lt;&gt;"Realizada","",IF($K202&lt;=0,"No prazo",IF($K202&lt;=7,"Até 7 dias",IF($K202&lt;=30,"Até 30 dias","Acima de 30"))))</f>
        <v/>
      </c>
      <c r="M202" s="26" t="n">
        <f aca="false">IF($C202="","",COUNTIFS($G$3:$G202,$G202))</f>
        <v>1</v>
      </c>
      <c r="N202" s="26" t="str">
        <f aca="false">IF($C202="","",$G202&amp;"|"&amp;$M202)</f>
        <v>46697|1</v>
      </c>
    </row>
    <row r="203" customFormat="false" ht="18" hidden="false" customHeight="true" outlineLevel="0" collapsed="false">
      <c r="A203" s="26" t="n">
        <v>9</v>
      </c>
      <c r="B203" s="26" t="n">
        <v>9</v>
      </c>
      <c r="C203" s="26" t="str">
        <f aca="false">IF(INDEX(Planos!$B$3:$B$27,9)="","",IF(9&gt;INDEX(Planos!$G$3:$G$27,9),"",INDEX(Planos!$B$3:$B$27,9)))</f>
        <v>CP-001</v>
      </c>
      <c r="D203" s="40" t="str">
        <f aca="false">IF($C203="","",IFERROR(INDEX(Ativos!$B$3:$B$42,MATCH($C203,Ativos!$A$3:$A$42,0)),""))</f>
        <v>Compressor de ar 50 hp</v>
      </c>
      <c r="E203" s="40" t="str">
        <f aca="false">IF($C203="","",INDEX(Planos!$C$3:$C$27,9))</f>
        <v>Análise de vibração</v>
      </c>
      <c r="F203" s="40" t="str">
        <f aca="false">IF($C203="","",INDEX(Planos!$D$3:$D$27,9))</f>
        <v>Manutenção preditiva</v>
      </c>
      <c r="G203" s="41" t="n">
        <f aca="false">IF($C203="",0,INDEX(Planos!$F$3:$F$27,9)+(9-1)*INDEX(Planos!$E$3:$E$27,9))</f>
        <v>46787</v>
      </c>
      <c r="H203" s="40" t="str">
        <f aca="false">IF($C203="","",INDEX(Planos!$H$3:$H$27,9))</f>
        <v>Juliana Reis</v>
      </c>
      <c r="I203" s="41" t="str">
        <f aca="false">IF($C203="","",IF(INDEX(Planos!$J$3:$AG$27,$A203,$B203)=0,"",INDEX(Planos!$J$3:$AG$27,$A203,$B203)))</f>
        <v/>
      </c>
      <c r="J203" s="26" t="str">
        <f aca="false">IF($C203="","",IF($I203&lt;&gt;"","Realizada",IF($G203&lt;INT(Parâmetros!$C$4),"Atrasada","Agendada")))</f>
        <v>Agendada</v>
      </c>
      <c r="K203" s="42" t="str">
        <f aca="false">IF($C203="","",IF($I203&lt;&gt;"",$I203-$G203,IF($J203="Atrasada",INT(Parâmetros!$C$4)-$G203,"")))</f>
        <v/>
      </c>
      <c r="L203" s="26" t="str">
        <f aca="false">IF($J203&lt;&gt;"Realizada","",IF($K203&lt;=0,"No prazo",IF($K203&lt;=7,"Até 7 dias",IF($K203&lt;=30,"Até 30 dias","Acima de 30"))))</f>
        <v/>
      </c>
      <c r="M203" s="26" t="n">
        <f aca="false">IF($C203="","",COUNTIFS($G$3:$G203,$G203))</f>
        <v>1</v>
      </c>
      <c r="N203" s="26" t="str">
        <f aca="false">IF($C203="","",$G203&amp;"|"&amp;$M203)</f>
        <v>46787|1</v>
      </c>
    </row>
    <row r="204" customFormat="false" ht="18" hidden="false" customHeight="true" outlineLevel="0" collapsed="false">
      <c r="A204" s="26" t="n">
        <v>9</v>
      </c>
      <c r="B204" s="26" t="n">
        <v>10</v>
      </c>
      <c r="C204" s="26" t="str">
        <f aca="false">IF(INDEX(Planos!$B$3:$B$27,9)="","",IF(10&gt;INDEX(Planos!$G$3:$G$27,9),"",INDEX(Planos!$B$3:$B$27,9)))</f>
        <v>CP-001</v>
      </c>
      <c r="D204" s="40" t="str">
        <f aca="false">IF($C204="","",IFERROR(INDEX(Ativos!$B$3:$B$42,MATCH($C204,Ativos!$A$3:$A$42,0)),""))</f>
        <v>Compressor de ar 50 hp</v>
      </c>
      <c r="E204" s="40" t="str">
        <f aca="false">IF($C204="","",INDEX(Planos!$C$3:$C$27,9))</f>
        <v>Análise de vibração</v>
      </c>
      <c r="F204" s="40" t="str">
        <f aca="false">IF($C204="","",INDEX(Planos!$D$3:$D$27,9))</f>
        <v>Manutenção preditiva</v>
      </c>
      <c r="G204" s="41" t="n">
        <f aca="false">IF($C204="",0,INDEX(Planos!$F$3:$F$27,9)+(10-1)*INDEX(Planos!$E$3:$E$27,9))</f>
        <v>46877</v>
      </c>
      <c r="H204" s="40" t="str">
        <f aca="false">IF($C204="","",INDEX(Planos!$H$3:$H$27,9))</f>
        <v>Juliana Reis</v>
      </c>
      <c r="I204" s="41" t="str">
        <f aca="false">IF($C204="","",IF(INDEX(Planos!$J$3:$AG$27,$A204,$B204)=0,"",INDEX(Planos!$J$3:$AG$27,$A204,$B204)))</f>
        <v/>
      </c>
      <c r="J204" s="26" t="str">
        <f aca="false">IF($C204="","",IF($I204&lt;&gt;"","Realizada",IF($G204&lt;INT(Parâmetros!$C$4),"Atrasada","Agendada")))</f>
        <v>Agendada</v>
      </c>
      <c r="K204" s="42" t="str">
        <f aca="false">IF($C204="","",IF($I204&lt;&gt;"",$I204-$G204,IF($J204="Atrasada",INT(Parâmetros!$C$4)-$G204,"")))</f>
        <v/>
      </c>
      <c r="L204" s="26" t="str">
        <f aca="false">IF($J204&lt;&gt;"Realizada","",IF($K204&lt;=0,"No prazo",IF($K204&lt;=7,"Até 7 dias",IF($K204&lt;=30,"Até 30 dias","Acima de 30"))))</f>
        <v/>
      </c>
      <c r="M204" s="26" t="n">
        <f aca="false">IF($C204="","",COUNTIFS($G$3:$G204,$G204))</f>
        <v>1</v>
      </c>
      <c r="N204" s="26" t="str">
        <f aca="false">IF($C204="","",$G204&amp;"|"&amp;$M204)</f>
        <v>46877|1</v>
      </c>
    </row>
    <row r="205" customFormat="false" ht="18" hidden="false" customHeight="true" outlineLevel="0" collapsed="false">
      <c r="A205" s="26" t="n">
        <v>9</v>
      </c>
      <c r="B205" s="26" t="n">
        <v>11</v>
      </c>
      <c r="C205" s="26" t="str">
        <f aca="false">IF(INDEX(Planos!$B$3:$B$27,9)="","",IF(11&gt;INDEX(Planos!$G$3:$G$27,9),"",INDEX(Planos!$B$3:$B$27,9)))</f>
        <v>CP-001</v>
      </c>
      <c r="D205" s="40" t="str">
        <f aca="false">IF($C205="","",IFERROR(INDEX(Ativos!$B$3:$B$42,MATCH($C205,Ativos!$A$3:$A$42,0)),""))</f>
        <v>Compressor de ar 50 hp</v>
      </c>
      <c r="E205" s="40" t="str">
        <f aca="false">IF($C205="","",INDEX(Planos!$C$3:$C$27,9))</f>
        <v>Análise de vibração</v>
      </c>
      <c r="F205" s="40" t="str">
        <f aca="false">IF($C205="","",INDEX(Planos!$D$3:$D$27,9))</f>
        <v>Manutenção preditiva</v>
      </c>
      <c r="G205" s="41" t="n">
        <f aca="false">IF($C205="",0,INDEX(Planos!$F$3:$F$27,9)+(11-1)*INDEX(Planos!$E$3:$E$27,9))</f>
        <v>46967</v>
      </c>
      <c r="H205" s="40" t="str">
        <f aca="false">IF($C205="","",INDEX(Planos!$H$3:$H$27,9))</f>
        <v>Juliana Reis</v>
      </c>
      <c r="I205" s="41" t="str">
        <f aca="false">IF($C205="","",IF(INDEX(Planos!$J$3:$AG$27,$A205,$B205)=0,"",INDEX(Planos!$J$3:$AG$27,$A205,$B205)))</f>
        <v/>
      </c>
      <c r="J205" s="26" t="str">
        <f aca="false">IF($C205="","",IF($I205&lt;&gt;"","Realizada",IF($G205&lt;INT(Parâmetros!$C$4),"Atrasada","Agendada")))</f>
        <v>Agendada</v>
      </c>
      <c r="K205" s="42" t="str">
        <f aca="false">IF($C205="","",IF($I205&lt;&gt;"",$I205-$G205,IF($J205="Atrasada",INT(Parâmetros!$C$4)-$G205,"")))</f>
        <v/>
      </c>
      <c r="L205" s="26" t="str">
        <f aca="false">IF($J205&lt;&gt;"Realizada","",IF($K205&lt;=0,"No prazo",IF($K205&lt;=7,"Até 7 dias",IF($K205&lt;=30,"Até 30 dias","Acima de 30"))))</f>
        <v/>
      </c>
      <c r="M205" s="26" t="n">
        <f aca="false">IF($C205="","",COUNTIFS($G$3:$G205,$G205))</f>
        <v>1</v>
      </c>
      <c r="N205" s="26" t="str">
        <f aca="false">IF($C205="","",$G205&amp;"|"&amp;$M205)</f>
        <v>46967|1</v>
      </c>
    </row>
    <row r="206" customFormat="false" ht="18" hidden="false" customHeight="true" outlineLevel="0" collapsed="false">
      <c r="A206" s="26" t="n">
        <v>9</v>
      </c>
      <c r="B206" s="26" t="n">
        <v>12</v>
      </c>
      <c r="C206" s="26" t="str">
        <f aca="false">IF(INDEX(Planos!$B$3:$B$27,9)="","",IF(12&gt;INDEX(Planos!$G$3:$G$27,9),"",INDEX(Planos!$B$3:$B$27,9)))</f>
        <v>CP-001</v>
      </c>
      <c r="D206" s="40" t="str">
        <f aca="false">IF($C206="","",IFERROR(INDEX(Ativos!$B$3:$B$42,MATCH($C206,Ativos!$A$3:$A$42,0)),""))</f>
        <v>Compressor de ar 50 hp</v>
      </c>
      <c r="E206" s="40" t="str">
        <f aca="false">IF($C206="","",INDEX(Planos!$C$3:$C$27,9))</f>
        <v>Análise de vibração</v>
      </c>
      <c r="F206" s="40" t="str">
        <f aca="false">IF($C206="","",INDEX(Planos!$D$3:$D$27,9))</f>
        <v>Manutenção preditiva</v>
      </c>
      <c r="G206" s="41" t="n">
        <f aca="false">IF($C206="",0,INDEX(Planos!$F$3:$F$27,9)+(12-1)*INDEX(Planos!$E$3:$E$27,9))</f>
        <v>47057</v>
      </c>
      <c r="H206" s="40" t="str">
        <f aca="false">IF($C206="","",INDEX(Planos!$H$3:$H$27,9))</f>
        <v>Juliana Reis</v>
      </c>
      <c r="I206" s="41" t="str">
        <f aca="false">IF($C206="","",IF(INDEX(Planos!$J$3:$AG$27,$A206,$B206)=0,"",INDEX(Planos!$J$3:$AG$27,$A206,$B206)))</f>
        <v/>
      </c>
      <c r="J206" s="26" t="str">
        <f aca="false">IF($C206="","",IF($I206&lt;&gt;"","Realizada",IF($G206&lt;INT(Parâmetros!$C$4),"Atrasada","Agendada")))</f>
        <v>Agendada</v>
      </c>
      <c r="K206" s="42" t="str">
        <f aca="false">IF($C206="","",IF($I206&lt;&gt;"",$I206-$G206,IF($J206="Atrasada",INT(Parâmetros!$C$4)-$G206,"")))</f>
        <v/>
      </c>
      <c r="L206" s="26" t="str">
        <f aca="false">IF($J206&lt;&gt;"Realizada","",IF($K206&lt;=0,"No prazo",IF($K206&lt;=7,"Até 7 dias",IF($K206&lt;=30,"Até 30 dias","Acima de 30"))))</f>
        <v/>
      </c>
      <c r="M206" s="26" t="n">
        <f aca="false">IF($C206="","",COUNTIFS($G$3:$G206,$G206))</f>
        <v>1</v>
      </c>
      <c r="N206" s="26" t="str">
        <f aca="false">IF($C206="","",$G206&amp;"|"&amp;$M206)</f>
        <v>47057|1</v>
      </c>
    </row>
    <row r="207" customFormat="false" ht="18" hidden="false" customHeight="true" outlineLevel="0" collapsed="false">
      <c r="A207" s="26" t="n">
        <v>9</v>
      </c>
      <c r="B207" s="26" t="n">
        <v>13</v>
      </c>
      <c r="C207" s="26" t="str">
        <f aca="false">IF(INDEX(Planos!$B$3:$B$27,9)="","",IF(13&gt;INDEX(Planos!$G$3:$G$27,9),"",INDEX(Planos!$B$3:$B$27,9)))</f>
        <v/>
      </c>
      <c r="D207" s="40" t="str">
        <f aca="false">IF($C207="","",IFERROR(INDEX(Ativos!$B$3:$B$42,MATCH($C207,Ativos!$A$3:$A$42,0)),""))</f>
        <v/>
      </c>
      <c r="E207" s="40" t="str">
        <f aca="false">IF($C207="","",INDEX(Planos!$C$3:$C$27,9))</f>
        <v/>
      </c>
      <c r="F207" s="40" t="str">
        <f aca="false">IF($C207="","",INDEX(Planos!$D$3:$D$27,9))</f>
        <v/>
      </c>
      <c r="G207" s="41" t="n">
        <f aca="false">IF($C207="",0,INDEX(Planos!$F$3:$F$27,9)+(13-1)*INDEX(Planos!$E$3:$E$27,9))</f>
        <v>0</v>
      </c>
      <c r="H207" s="40" t="str">
        <f aca="false">IF($C207="","",INDEX(Planos!$H$3:$H$27,9))</f>
        <v/>
      </c>
      <c r="I207" s="41" t="str">
        <f aca="false">IF($C207="","",IF(INDEX(Planos!$J$3:$AG$27,$A207,$B207)=0,"",INDEX(Planos!$J$3:$AG$27,$A207,$B207)))</f>
        <v/>
      </c>
      <c r="J207" s="26" t="str">
        <f aca="false">IF($C207="","",IF($I207&lt;&gt;"","Realizada",IF($G207&lt;INT(Parâmetros!$C$4),"Atrasada","Agendada")))</f>
        <v/>
      </c>
      <c r="K207" s="42" t="str">
        <f aca="false">IF($C207="","",IF($I207&lt;&gt;"",$I207-$G207,IF($J207="Atrasada",INT(Parâmetros!$C$4)-$G207,"")))</f>
        <v/>
      </c>
      <c r="L207" s="26" t="str">
        <f aca="false">IF($J207&lt;&gt;"Realizada","",IF($K207&lt;=0,"No prazo",IF($K207&lt;=7,"Até 7 dias",IF($K207&lt;=30,"Até 30 dias","Acima de 30"))))</f>
        <v/>
      </c>
      <c r="M207" s="26" t="str">
        <f aca="false">IF($C207="","",COUNTIFS($G$3:$G207,$G207))</f>
        <v/>
      </c>
      <c r="N207" s="26" t="str">
        <f aca="false">IF($C207="","",$G207&amp;"|"&amp;$M207)</f>
        <v/>
      </c>
    </row>
    <row r="208" customFormat="false" ht="18" hidden="false" customHeight="true" outlineLevel="0" collapsed="false">
      <c r="A208" s="26" t="n">
        <v>9</v>
      </c>
      <c r="B208" s="26" t="n">
        <v>14</v>
      </c>
      <c r="C208" s="26" t="str">
        <f aca="false">IF(INDEX(Planos!$B$3:$B$27,9)="","",IF(14&gt;INDEX(Planos!$G$3:$G$27,9),"",INDEX(Planos!$B$3:$B$27,9)))</f>
        <v/>
      </c>
      <c r="D208" s="40" t="str">
        <f aca="false">IF($C208="","",IFERROR(INDEX(Ativos!$B$3:$B$42,MATCH($C208,Ativos!$A$3:$A$42,0)),""))</f>
        <v/>
      </c>
      <c r="E208" s="40" t="str">
        <f aca="false">IF($C208="","",INDEX(Planos!$C$3:$C$27,9))</f>
        <v/>
      </c>
      <c r="F208" s="40" t="str">
        <f aca="false">IF($C208="","",INDEX(Planos!$D$3:$D$27,9))</f>
        <v/>
      </c>
      <c r="G208" s="41" t="n">
        <f aca="false">IF($C208="",0,INDEX(Planos!$F$3:$F$27,9)+(14-1)*INDEX(Planos!$E$3:$E$27,9))</f>
        <v>0</v>
      </c>
      <c r="H208" s="40" t="str">
        <f aca="false">IF($C208="","",INDEX(Planos!$H$3:$H$27,9))</f>
        <v/>
      </c>
      <c r="I208" s="41" t="str">
        <f aca="false">IF($C208="","",IF(INDEX(Planos!$J$3:$AG$27,$A208,$B208)=0,"",INDEX(Planos!$J$3:$AG$27,$A208,$B208)))</f>
        <v/>
      </c>
      <c r="J208" s="26" t="str">
        <f aca="false">IF($C208="","",IF($I208&lt;&gt;"","Realizada",IF($G208&lt;INT(Parâmetros!$C$4),"Atrasada","Agendada")))</f>
        <v/>
      </c>
      <c r="K208" s="42" t="str">
        <f aca="false">IF($C208="","",IF($I208&lt;&gt;"",$I208-$G208,IF($J208="Atrasada",INT(Parâmetros!$C$4)-$G208,"")))</f>
        <v/>
      </c>
      <c r="L208" s="26" t="str">
        <f aca="false">IF($J208&lt;&gt;"Realizada","",IF($K208&lt;=0,"No prazo",IF($K208&lt;=7,"Até 7 dias",IF($K208&lt;=30,"Até 30 dias","Acima de 30"))))</f>
        <v/>
      </c>
      <c r="M208" s="26" t="str">
        <f aca="false">IF($C208="","",COUNTIFS($G$3:$G208,$G208))</f>
        <v/>
      </c>
      <c r="N208" s="26" t="str">
        <f aca="false">IF($C208="","",$G208&amp;"|"&amp;$M208)</f>
        <v/>
      </c>
    </row>
    <row r="209" customFormat="false" ht="18" hidden="false" customHeight="true" outlineLevel="0" collapsed="false">
      <c r="A209" s="26" t="n">
        <v>9</v>
      </c>
      <c r="B209" s="26" t="n">
        <v>15</v>
      </c>
      <c r="C209" s="26" t="str">
        <f aca="false">IF(INDEX(Planos!$B$3:$B$27,9)="","",IF(15&gt;INDEX(Planos!$G$3:$G$27,9),"",INDEX(Planos!$B$3:$B$27,9)))</f>
        <v/>
      </c>
      <c r="D209" s="40" t="str">
        <f aca="false">IF($C209="","",IFERROR(INDEX(Ativos!$B$3:$B$42,MATCH($C209,Ativos!$A$3:$A$42,0)),""))</f>
        <v/>
      </c>
      <c r="E209" s="40" t="str">
        <f aca="false">IF($C209="","",INDEX(Planos!$C$3:$C$27,9))</f>
        <v/>
      </c>
      <c r="F209" s="40" t="str">
        <f aca="false">IF($C209="","",INDEX(Planos!$D$3:$D$27,9))</f>
        <v/>
      </c>
      <c r="G209" s="41" t="n">
        <f aca="false">IF($C209="",0,INDEX(Planos!$F$3:$F$27,9)+(15-1)*INDEX(Planos!$E$3:$E$27,9))</f>
        <v>0</v>
      </c>
      <c r="H209" s="40" t="str">
        <f aca="false">IF($C209="","",INDEX(Planos!$H$3:$H$27,9))</f>
        <v/>
      </c>
      <c r="I209" s="41" t="str">
        <f aca="false">IF($C209="","",IF(INDEX(Planos!$J$3:$AG$27,$A209,$B209)=0,"",INDEX(Planos!$J$3:$AG$27,$A209,$B209)))</f>
        <v/>
      </c>
      <c r="J209" s="26" t="str">
        <f aca="false">IF($C209="","",IF($I209&lt;&gt;"","Realizada",IF($G209&lt;INT(Parâmetros!$C$4),"Atrasada","Agendada")))</f>
        <v/>
      </c>
      <c r="K209" s="42" t="str">
        <f aca="false">IF($C209="","",IF($I209&lt;&gt;"",$I209-$G209,IF($J209="Atrasada",INT(Parâmetros!$C$4)-$G209,"")))</f>
        <v/>
      </c>
      <c r="L209" s="26" t="str">
        <f aca="false">IF($J209&lt;&gt;"Realizada","",IF($K209&lt;=0,"No prazo",IF($K209&lt;=7,"Até 7 dias",IF($K209&lt;=30,"Até 30 dias","Acima de 30"))))</f>
        <v/>
      </c>
      <c r="M209" s="26" t="str">
        <f aca="false">IF($C209="","",COUNTIFS($G$3:$G209,$G209))</f>
        <v/>
      </c>
      <c r="N209" s="26" t="str">
        <f aca="false">IF($C209="","",$G209&amp;"|"&amp;$M209)</f>
        <v/>
      </c>
    </row>
    <row r="210" customFormat="false" ht="18" hidden="false" customHeight="true" outlineLevel="0" collapsed="false">
      <c r="A210" s="26" t="n">
        <v>9</v>
      </c>
      <c r="B210" s="26" t="n">
        <v>16</v>
      </c>
      <c r="C210" s="26" t="str">
        <f aca="false">IF(INDEX(Planos!$B$3:$B$27,9)="","",IF(16&gt;INDEX(Planos!$G$3:$G$27,9),"",INDEX(Planos!$B$3:$B$27,9)))</f>
        <v/>
      </c>
      <c r="D210" s="40" t="str">
        <f aca="false">IF($C210="","",IFERROR(INDEX(Ativos!$B$3:$B$42,MATCH($C210,Ativos!$A$3:$A$42,0)),""))</f>
        <v/>
      </c>
      <c r="E210" s="40" t="str">
        <f aca="false">IF($C210="","",INDEX(Planos!$C$3:$C$27,9))</f>
        <v/>
      </c>
      <c r="F210" s="40" t="str">
        <f aca="false">IF($C210="","",INDEX(Planos!$D$3:$D$27,9))</f>
        <v/>
      </c>
      <c r="G210" s="41" t="n">
        <f aca="false">IF($C210="",0,INDEX(Planos!$F$3:$F$27,9)+(16-1)*INDEX(Planos!$E$3:$E$27,9))</f>
        <v>0</v>
      </c>
      <c r="H210" s="40" t="str">
        <f aca="false">IF($C210="","",INDEX(Planos!$H$3:$H$27,9))</f>
        <v/>
      </c>
      <c r="I210" s="41" t="str">
        <f aca="false">IF($C210="","",IF(INDEX(Planos!$J$3:$AG$27,$A210,$B210)=0,"",INDEX(Planos!$J$3:$AG$27,$A210,$B210)))</f>
        <v/>
      </c>
      <c r="J210" s="26" t="str">
        <f aca="false">IF($C210="","",IF($I210&lt;&gt;"","Realizada",IF($G210&lt;INT(Parâmetros!$C$4),"Atrasada","Agendada")))</f>
        <v/>
      </c>
      <c r="K210" s="42" t="str">
        <f aca="false">IF($C210="","",IF($I210&lt;&gt;"",$I210-$G210,IF($J210="Atrasada",INT(Parâmetros!$C$4)-$G210,"")))</f>
        <v/>
      </c>
      <c r="L210" s="26" t="str">
        <f aca="false">IF($J210&lt;&gt;"Realizada","",IF($K210&lt;=0,"No prazo",IF($K210&lt;=7,"Até 7 dias",IF($K210&lt;=30,"Até 30 dias","Acima de 30"))))</f>
        <v/>
      </c>
      <c r="M210" s="26" t="str">
        <f aca="false">IF($C210="","",COUNTIFS($G$3:$G210,$G210))</f>
        <v/>
      </c>
      <c r="N210" s="26" t="str">
        <f aca="false">IF($C210="","",$G210&amp;"|"&amp;$M210)</f>
        <v/>
      </c>
    </row>
    <row r="211" customFormat="false" ht="18" hidden="false" customHeight="true" outlineLevel="0" collapsed="false">
      <c r="A211" s="26" t="n">
        <v>9</v>
      </c>
      <c r="B211" s="26" t="n">
        <v>17</v>
      </c>
      <c r="C211" s="26" t="str">
        <f aca="false">IF(INDEX(Planos!$B$3:$B$27,9)="","",IF(17&gt;INDEX(Planos!$G$3:$G$27,9),"",INDEX(Planos!$B$3:$B$27,9)))</f>
        <v/>
      </c>
      <c r="D211" s="40" t="str">
        <f aca="false">IF($C211="","",IFERROR(INDEX(Ativos!$B$3:$B$42,MATCH($C211,Ativos!$A$3:$A$42,0)),""))</f>
        <v/>
      </c>
      <c r="E211" s="40" t="str">
        <f aca="false">IF($C211="","",INDEX(Planos!$C$3:$C$27,9))</f>
        <v/>
      </c>
      <c r="F211" s="40" t="str">
        <f aca="false">IF($C211="","",INDEX(Planos!$D$3:$D$27,9))</f>
        <v/>
      </c>
      <c r="G211" s="41" t="n">
        <f aca="false">IF($C211="",0,INDEX(Planos!$F$3:$F$27,9)+(17-1)*INDEX(Planos!$E$3:$E$27,9))</f>
        <v>0</v>
      </c>
      <c r="H211" s="40" t="str">
        <f aca="false">IF($C211="","",INDEX(Planos!$H$3:$H$27,9))</f>
        <v/>
      </c>
      <c r="I211" s="41" t="str">
        <f aca="false">IF($C211="","",IF(INDEX(Planos!$J$3:$AG$27,$A211,$B211)=0,"",INDEX(Planos!$J$3:$AG$27,$A211,$B211)))</f>
        <v/>
      </c>
      <c r="J211" s="26" t="str">
        <f aca="false">IF($C211="","",IF($I211&lt;&gt;"","Realizada",IF($G211&lt;INT(Parâmetros!$C$4),"Atrasada","Agendada")))</f>
        <v/>
      </c>
      <c r="K211" s="42" t="str">
        <f aca="false">IF($C211="","",IF($I211&lt;&gt;"",$I211-$G211,IF($J211="Atrasada",INT(Parâmetros!$C$4)-$G211,"")))</f>
        <v/>
      </c>
      <c r="L211" s="26" t="str">
        <f aca="false">IF($J211&lt;&gt;"Realizada","",IF($K211&lt;=0,"No prazo",IF($K211&lt;=7,"Até 7 dias",IF($K211&lt;=30,"Até 30 dias","Acima de 30"))))</f>
        <v/>
      </c>
      <c r="M211" s="26" t="str">
        <f aca="false">IF($C211="","",COUNTIFS($G$3:$G211,$G211))</f>
        <v/>
      </c>
      <c r="N211" s="26" t="str">
        <f aca="false">IF($C211="","",$G211&amp;"|"&amp;$M211)</f>
        <v/>
      </c>
    </row>
    <row r="212" customFormat="false" ht="18" hidden="false" customHeight="true" outlineLevel="0" collapsed="false">
      <c r="A212" s="26" t="n">
        <v>9</v>
      </c>
      <c r="B212" s="26" t="n">
        <v>18</v>
      </c>
      <c r="C212" s="26" t="str">
        <f aca="false">IF(INDEX(Planos!$B$3:$B$27,9)="","",IF(18&gt;INDEX(Planos!$G$3:$G$27,9),"",INDEX(Planos!$B$3:$B$27,9)))</f>
        <v/>
      </c>
      <c r="D212" s="40" t="str">
        <f aca="false">IF($C212="","",IFERROR(INDEX(Ativos!$B$3:$B$42,MATCH($C212,Ativos!$A$3:$A$42,0)),""))</f>
        <v/>
      </c>
      <c r="E212" s="40" t="str">
        <f aca="false">IF($C212="","",INDEX(Planos!$C$3:$C$27,9))</f>
        <v/>
      </c>
      <c r="F212" s="40" t="str">
        <f aca="false">IF($C212="","",INDEX(Planos!$D$3:$D$27,9))</f>
        <v/>
      </c>
      <c r="G212" s="41" t="n">
        <f aca="false">IF($C212="",0,INDEX(Planos!$F$3:$F$27,9)+(18-1)*INDEX(Planos!$E$3:$E$27,9))</f>
        <v>0</v>
      </c>
      <c r="H212" s="40" t="str">
        <f aca="false">IF($C212="","",INDEX(Planos!$H$3:$H$27,9))</f>
        <v/>
      </c>
      <c r="I212" s="41" t="str">
        <f aca="false">IF($C212="","",IF(INDEX(Planos!$J$3:$AG$27,$A212,$B212)=0,"",INDEX(Planos!$J$3:$AG$27,$A212,$B212)))</f>
        <v/>
      </c>
      <c r="J212" s="26" t="str">
        <f aca="false">IF($C212="","",IF($I212&lt;&gt;"","Realizada",IF($G212&lt;INT(Parâmetros!$C$4),"Atrasada","Agendada")))</f>
        <v/>
      </c>
      <c r="K212" s="42" t="str">
        <f aca="false">IF($C212="","",IF($I212&lt;&gt;"",$I212-$G212,IF($J212="Atrasada",INT(Parâmetros!$C$4)-$G212,"")))</f>
        <v/>
      </c>
      <c r="L212" s="26" t="str">
        <f aca="false">IF($J212&lt;&gt;"Realizada","",IF($K212&lt;=0,"No prazo",IF($K212&lt;=7,"Até 7 dias",IF($K212&lt;=30,"Até 30 dias","Acima de 30"))))</f>
        <v/>
      </c>
      <c r="M212" s="26" t="str">
        <f aca="false">IF($C212="","",COUNTIFS($G$3:$G212,$G212))</f>
        <v/>
      </c>
      <c r="N212" s="26" t="str">
        <f aca="false">IF($C212="","",$G212&amp;"|"&amp;$M212)</f>
        <v/>
      </c>
    </row>
    <row r="213" customFormat="false" ht="18" hidden="false" customHeight="true" outlineLevel="0" collapsed="false">
      <c r="A213" s="26" t="n">
        <v>9</v>
      </c>
      <c r="B213" s="26" t="n">
        <v>19</v>
      </c>
      <c r="C213" s="26" t="str">
        <f aca="false">IF(INDEX(Planos!$B$3:$B$27,9)="","",IF(19&gt;INDEX(Planos!$G$3:$G$27,9),"",INDEX(Planos!$B$3:$B$27,9)))</f>
        <v/>
      </c>
      <c r="D213" s="40" t="str">
        <f aca="false">IF($C213="","",IFERROR(INDEX(Ativos!$B$3:$B$42,MATCH($C213,Ativos!$A$3:$A$42,0)),""))</f>
        <v/>
      </c>
      <c r="E213" s="40" t="str">
        <f aca="false">IF($C213="","",INDEX(Planos!$C$3:$C$27,9))</f>
        <v/>
      </c>
      <c r="F213" s="40" t="str">
        <f aca="false">IF($C213="","",INDEX(Planos!$D$3:$D$27,9))</f>
        <v/>
      </c>
      <c r="G213" s="41" t="n">
        <f aca="false">IF($C213="",0,INDEX(Planos!$F$3:$F$27,9)+(19-1)*INDEX(Planos!$E$3:$E$27,9))</f>
        <v>0</v>
      </c>
      <c r="H213" s="40" t="str">
        <f aca="false">IF($C213="","",INDEX(Planos!$H$3:$H$27,9))</f>
        <v/>
      </c>
      <c r="I213" s="41" t="str">
        <f aca="false">IF($C213="","",IF(INDEX(Planos!$J$3:$AG$27,$A213,$B213)=0,"",INDEX(Planos!$J$3:$AG$27,$A213,$B213)))</f>
        <v/>
      </c>
      <c r="J213" s="26" t="str">
        <f aca="false">IF($C213="","",IF($I213&lt;&gt;"","Realizada",IF($G213&lt;INT(Parâmetros!$C$4),"Atrasada","Agendada")))</f>
        <v/>
      </c>
      <c r="K213" s="42" t="str">
        <f aca="false">IF($C213="","",IF($I213&lt;&gt;"",$I213-$G213,IF($J213="Atrasada",INT(Parâmetros!$C$4)-$G213,"")))</f>
        <v/>
      </c>
      <c r="L213" s="26" t="str">
        <f aca="false">IF($J213&lt;&gt;"Realizada","",IF($K213&lt;=0,"No prazo",IF($K213&lt;=7,"Até 7 dias",IF($K213&lt;=30,"Até 30 dias","Acima de 30"))))</f>
        <v/>
      </c>
      <c r="M213" s="26" t="str">
        <f aca="false">IF($C213="","",COUNTIFS($G$3:$G213,$G213))</f>
        <v/>
      </c>
      <c r="N213" s="26" t="str">
        <f aca="false">IF($C213="","",$G213&amp;"|"&amp;$M213)</f>
        <v/>
      </c>
    </row>
    <row r="214" customFormat="false" ht="18" hidden="false" customHeight="true" outlineLevel="0" collapsed="false">
      <c r="A214" s="26" t="n">
        <v>9</v>
      </c>
      <c r="B214" s="26" t="n">
        <v>20</v>
      </c>
      <c r="C214" s="26" t="str">
        <f aca="false">IF(INDEX(Planos!$B$3:$B$27,9)="","",IF(20&gt;INDEX(Planos!$G$3:$G$27,9),"",INDEX(Planos!$B$3:$B$27,9)))</f>
        <v/>
      </c>
      <c r="D214" s="40" t="str">
        <f aca="false">IF($C214="","",IFERROR(INDEX(Ativos!$B$3:$B$42,MATCH($C214,Ativos!$A$3:$A$42,0)),""))</f>
        <v/>
      </c>
      <c r="E214" s="40" t="str">
        <f aca="false">IF($C214="","",INDEX(Planos!$C$3:$C$27,9))</f>
        <v/>
      </c>
      <c r="F214" s="40" t="str">
        <f aca="false">IF($C214="","",INDEX(Planos!$D$3:$D$27,9))</f>
        <v/>
      </c>
      <c r="G214" s="41" t="n">
        <f aca="false">IF($C214="",0,INDEX(Planos!$F$3:$F$27,9)+(20-1)*INDEX(Planos!$E$3:$E$27,9))</f>
        <v>0</v>
      </c>
      <c r="H214" s="40" t="str">
        <f aca="false">IF($C214="","",INDEX(Planos!$H$3:$H$27,9))</f>
        <v/>
      </c>
      <c r="I214" s="41" t="str">
        <f aca="false">IF($C214="","",IF(INDEX(Planos!$J$3:$AG$27,$A214,$B214)=0,"",INDEX(Planos!$J$3:$AG$27,$A214,$B214)))</f>
        <v/>
      </c>
      <c r="J214" s="26" t="str">
        <f aca="false">IF($C214="","",IF($I214&lt;&gt;"","Realizada",IF($G214&lt;INT(Parâmetros!$C$4),"Atrasada","Agendada")))</f>
        <v/>
      </c>
      <c r="K214" s="42" t="str">
        <f aca="false">IF($C214="","",IF($I214&lt;&gt;"",$I214-$G214,IF($J214="Atrasada",INT(Parâmetros!$C$4)-$G214,"")))</f>
        <v/>
      </c>
      <c r="L214" s="26" t="str">
        <f aca="false">IF($J214&lt;&gt;"Realizada","",IF($K214&lt;=0,"No prazo",IF($K214&lt;=7,"Até 7 dias",IF($K214&lt;=30,"Até 30 dias","Acima de 30"))))</f>
        <v/>
      </c>
      <c r="M214" s="26" t="str">
        <f aca="false">IF($C214="","",COUNTIFS($G$3:$G214,$G214))</f>
        <v/>
      </c>
      <c r="N214" s="26" t="str">
        <f aca="false">IF($C214="","",$G214&amp;"|"&amp;$M214)</f>
        <v/>
      </c>
    </row>
    <row r="215" customFormat="false" ht="18" hidden="false" customHeight="true" outlineLevel="0" collapsed="false">
      <c r="A215" s="26" t="n">
        <v>9</v>
      </c>
      <c r="B215" s="26" t="n">
        <v>21</v>
      </c>
      <c r="C215" s="26" t="str">
        <f aca="false">IF(INDEX(Planos!$B$3:$B$27,9)="","",IF(21&gt;INDEX(Planos!$G$3:$G$27,9),"",INDEX(Planos!$B$3:$B$27,9)))</f>
        <v/>
      </c>
      <c r="D215" s="40" t="str">
        <f aca="false">IF($C215="","",IFERROR(INDEX(Ativos!$B$3:$B$42,MATCH($C215,Ativos!$A$3:$A$42,0)),""))</f>
        <v/>
      </c>
      <c r="E215" s="40" t="str">
        <f aca="false">IF($C215="","",INDEX(Planos!$C$3:$C$27,9))</f>
        <v/>
      </c>
      <c r="F215" s="40" t="str">
        <f aca="false">IF($C215="","",INDEX(Planos!$D$3:$D$27,9))</f>
        <v/>
      </c>
      <c r="G215" s="41" t="n">
        <f aca="false">IF($C215="",0,INDEX(Planos!$F$3:$F$27,9)+(21-1)*INDEX(Planos!$E$3:$E$27,9))</f>
        <v>0</v>
      </c>
      <c r="H215" s="40" t="str">
        <f aca="false">IF($C215="","",INDEX(Planos!$H$3:$H$27,9))</f>
        <v/>
      </c>
      <c r="I215" s="41" t="str">
        <f aca="false">IF($C215="","",IF(INDEX(Planos!$J$3:$AG$27,$A215,$B215)=0,"",INDEX(Planos!$J$3:$AG$27,$A215,$B215)))</f>
        <v/>
      </c>
      <c r="J215" s="26" t="str">
        <f aca="false">IF($C215="","",IF($I215&lt;&gt;"","Realizada",IF($G215&lt;INT(Parâmetros!$C$4),"Atrasada","Agendada")))</f>
        <v/>
      </c>
      <c r="K215" s="42" t="str">
        <f aca="false">IF($C215="","",IF($I215&lt;&gt;"",$I215-$G215,IF($J215="Atrasada",INT(Parâmetros!$C$4)-$G215,"")))</f>
        <v/>
      </c>
      <c r="L215" s="26" t="str">
        <f aca="false">IF($J215&lt;&gt;"Realizada","",IF($K215&lt;=0,"No prazo",IF($K215&lt;=7,"Até 7 dias",IF($K215&lt;=30,"Até 30 dias","Acima de 30"))))</f>
        <v/>
      </c>
      <c r="M215" s="26" t="str">
        <f aca="false">IF($C215="","",COUNTIFS($G$3:$G215,$G215))</f>
        <v/>
      </c>
      <c r="N215" s="26" t="str">
        <f aca="false">IF($C215="","",$G215&amp;"|"&amp;$M215)</f>
        <v/>
      </c>
    </row>
    <row r="216" customFormat="false" ht="18" hidden="false" customHeight="true" outlineLevel="0" collapsed="false">
      <c r="A216" s="26" t="n">
        <v>9</v>
      </c>
      <c r="B216" s="26" t="n">
        <v>22</v>
      </c>
      <c r="C216" s="26" t="str">
        <f aca="false">IF(INDEX(Planos!$B$3:$B$27,9)="","",IF(22&gt;INDEX(Planos!$G$3:$G$27,9),"",INDEX(Planos!$B$3:$B$27,9)))</f>
        <v/>
      </c>
      <c r="D216" s="40" t="str">
        <f aca="false">IF($C216="","",IFERROR(INDEX(Ativos!$B$3:$B$42,MATCH($C216,Ativos!$A$3:$A$42,0)),""))</f>
        <v/>
      </c>
      <c r="E216" s="40" t="str">
        <f aca="false">IF($C216="","",INDEX(Planos!$C$3:$C$27,9))</f>
        <v/>
      </c>
      <c r="F216" s="40" t="str">
        <f aca="false">IF($C216="","",INDEX(Planos!$D$3:$D$27,9))</f>
        <v/>
      </c>
      <c r="G216" s="41" t="n">
        <f aca="false">IF($C216="",0,INDEX(Planos!$F$3:$F$27,9)+(22-1)*INDEX(Planos!$E$3:$E$27,9))</f>
        <v>0</v>
      </c>
      <c r="H216" s="40" t="str">
        <f aca="false">IF($C216="","",INDEX(Planos!$H$3:$H$27,9))</f>
        <v/>
      </c>
      <c r="I216" s="41" t="str">
        <f aca="false">IF($C216="","",IF(INDEX(Planos!$J$3:$AG$27,$A216,$B216)=0,"",INDEX(Planos!$J$3:$AG$27,$A216,$B216)))</f>
        <v/>
      </c>
      <c r="J216" s="26" t="str">
        <f aca="false">IF($C216="","",IF($I216&lt;&gt;"","Realizada",IF($G216&lt;INT(Parâmetros!$C$4),"Atrasada","Agendada")))</f>
        <v/>
      </c>
      <c r="K216" s="42" t="str">
        <f aca="false">IF($C216="","",IF($I216&lt;&gt;"",$I216-$G216,IF($J216="Atrasada",INT(Parâmetros!$C$4)-$G216,"")))</f>
        <v/>
      </c>
      <c r="L216" s="26" t="str">
        <f aca="false">IF($J216&lt;&gt;"Realizada","",IF($K216&lt;=0,"No prazo",IF($K216&lt;=7,"Até 7 dias",IF($K216&lt;=30,"Até 30 dias","Acima de 30"))))</f>
        <v/>
      </c>
      <c r="M216" s="26" t="str">
        <f aca="false">IF($C216="","",COUNTIFS($G$3:$G216,$G216))</f>
        <v/>
      </c>
      <c r="N216" s="26" t="str">
        <f aca="false">IF($C216="","",$G216&amp;"|"&amp;$M216)</f>
        <v/>
      </c>
    </row>
    <row r="217" customFormat="false" ht="18" hidden="false" customHeight="true" outlineLevel="0" collapsed="false">
      <c r="A217" s="26" t="n">
        <v>9</v>
      </c>
      <c r="B217" s="26" t="n">
        <v>23</v>
      </c>
      <c r="C217" s="26" t="str">
        <f aca="false">IF(INDEX(Planos!$B$3:$B$27,9)="","",IF(23&gt;INDEX(Planos!$G$3:$G$27,9),"",INDEX(Planos!$B$3:$B$27,9)))</f>
        <v/>
      </c>
      <c r="D217" s="40" t="str">
        <f aca="false">IF($C217="","",IFERROR(INDEX(Ativos!$B$3:$B$42,MATCH($C217,Ativos!$A$3:$A$42,0)),""))</f>
        <v/>
      </c>
      <c r="E217" s="40" t="str">
        <f aca="false">IF($C217="","",INDEX(Planos!$C$3:$C$27,9))</f>
        <v/>
      </c>
      <c r="F217" s="40" t="str">
        <f aca="false">IF($C217="","",INDEX(Planos!$D$3:$D$27,9))</f>
        <v/>
      </c>
      <c r="G217" s="41" t="n">
        <f aca="false">IF($C217="",0,INDEX(Planos!$F$3:$F$27,9)+(23-1)*INDEX(Planos!$E$3:$E$27,9))</f>
        <v>0</v>
      </c>
      <c r="H217" s="40" t="str">
        <f aca="false">IF($C217="","",INDEX(Planos!$H$3:$H$27,9))</f>
        <v/>
      </c>
      <c r="I217" s="41" t="str">
        <f aca="false">IF($C217="","",IF(INDEX(Planos!$J$3:$AG$27,$A217,$B217)=0,"",INDEX(Planos!$J$3:$AG$27,$A217,$B217)))</f>
        <v/>
      </c>
      <c r="J217" s="26" t="str">
        <f aca="false">IF($C217="","",IF($I217&lt;&gt;"","Realizada",IF($G217&lt;INT(Parâmetros!$C$4),"Atrasada","Agendada")))</f>
        <v/>
      </c>
      <c r="K217" s="42" t="str">
        <f aca="false">IF($C217="","",IF($I217&lt;&gt;"",$I217-$G217,IF($J217="Atrasada",INT(Parâmetros!$C$4)-$G217,"")))</f>
        <v/>
      </c>
      <c r="L217" s="26" t="str">
        <f aca="false">IF($J217&lt;&gt;"Realizada","",IF($K217&lt;=0,"No prazo",IF($K217&lt;=7,"Até 7 dias",IF($K217&lt;=30,"Até 30 dias","Acima de 30"))))</f>
        <v/>
      </c>
      <c r="M217" s="26" t="str">
        <f aca="false">IF($C217="","",COUNTIFS($G$3:$G217,$G217))</f>
        <v/>
      </c>
      <c r="N217" s="26" t="str">
        <f aca="false">IF($C217="","",$G217&amp;"|"&amp;$M217)</f>
        <v/>
      </c>
    </row>
    <row r="218" customFormat="false" ht="18" hidden="false" customHeight="true" outlineLevel="0" collapsed="false">
      <c r="A218" s="26" t="n">
        <v>9</v>
      </c>
      <c r="B218" s="26" t="n">
        <v>24</v>
      </c>
      <c r="C218" s="26" t="str">
        <f aca="false">IF(INDEX(Planos!$B$3:$B$27,9)="","",IF(24&gt;INDEX(Planos!$G$3:$G$27,9),"",INDEX(Planos!$B$3:$B$27,9)))</f>
        <v/>
      </c>
      <c r="D218" s="40" t="str">
        <f aca="false">IF($C218="","",IFERROR(INDEX(Ativos!$B$3:$B$42,MATCH($C218,Ativos!$A$3:$A$42,0)),""))</f>
        <v/>
      </c>
      <c r="E218" s="40" t="str">
        <f aca="false">IF($C218="","",INDEX(Planos!$C$3:$C$27,9))</f>
        <v/>
      </c>
      <c r="F218" s="40" t="str">
        <f aca="false">IF($C218="","",INDEX(Planos!$D$3:$D$27,9))</f>
        <v/>
      </c>
      <c r="G218" s="41" t="n">
        <f aca="false">IF($C218="",0,INDEX(Planos!$F$3:$F$27,9)+(24-1)*INDEX(Planos!$E$3:$E$27,9))</f>
        <v>0</v>
      </c>
      <c r="H218" s="40" t="str">
        <f aca="false">IF($C218="","",INDEX(Planos!$H$3:$H$27,9))</f>
        <v/>
      </c>
      <c r="I218" s="41" t="str">
        <f aca="false">IF($C218="","",IF(INDEX(Planos!$J$3:$AG$27,$A218,$B218)=0,"",INDEX(Planos!$J$3:$AG$27,$A218,$B218)))</f>
        <v/>
      </c>
      <c r="J218" s="26" t="str">
        <f aca="false">IF($C218="","",IF($I218&lt;&gt;"","Realizada",IF($G218&lt;INT(Parâmetros!$C$4),"Atrasada","Agendada")))</f>
        <v/>
      </c>
      <c r="K218" s="42" t="str">
        <f aca="false">IF($C218="","",IF($I218&lt;&gt;"",$I218-$G218,IF($J218="Atrasada",INT(Parâmetros!$C$4)-$G218,"")))</f>
        <v/>
      </c>
      <c r="L218" s="26" t="str">
        <f aca="false">IF($J218&lt;&gt;"Realizada","",IF($K218&lt;=0,"No prazo",IF($K218&lt;=7,"Até 7 dias",IF($K218&lt;=30,"Até 30 dias","Acima de 30"))))</f>
        <v/>
      </c>
      <c r="M218" s="26" t="str">
        <f aca="false">IF($C218="","",COUNTIFS($G$3:$G218,$G218))</f>
        <v/>
      </c>
      <c r="N218" s="26" t="str">
        <f aca="false">IF($C218="","",$G218&amp;"|"&amp;$M218)</f>
        <v/>
      </c>
    </row>
    <row r="219" customFormat="false" ht="18" hidden="false" customHeight="true" outlineLevel="0" collapsed="false">
      <c r="A219" s="26" t="n">
        <v>10</v>
      </c>
      <c r="B219" s="26" t="n">
        <v>1</v>
      </c>
      <c r="C219" s="26" t="str">
        <f aca="false">IF(INDEX(Planos!$B$3:$B$27,10)="","",IF(1&gt;INDEX(Planos!$G$3:$G$27,10),"",INDEX(Planos!$B$3:$B$27,10)))</f>
        <v>EM-001</v>
      </c>
      <c r="D219" s="40" t="str">
        <f aca="false">IF($C219="","",IFERROR(INDEX(Ativos!$B$3:$B$42,MATCH($C219,Ativos!$A$3:$A$42,0)),""))</f>
        <v>Empilhadeira 2,5 t — GLP</v>
      </c>
      <c r="E219" s="40" t="str">
        <f aca="false">IF($C219="","",INDEX(Planos!$C$3:$C$27,10))</f>
        <v>Revisão das 500 h</v>
      </c>
      <c r="F219" s="40" t="str">
        <f aca="false">IF($C219="","",INDEX(Planos!$D$3:$D$27,10))</f>
        <v>Manutenção preventiva</v>
      </c>
      <c r="G219" s="41" t="n">
        <f aca="false">IF($C219="",0,INDEX(Planos!$F$3:$F$27,10)+(1-1)*INDEX(Planos!$E$3:$E$27,10))</f>
        <v>46062</v>
      </c>
      <c r="H219" s="40" t="str">
        <f aca="false">IF($C219="","",INDEX(Planos!$H$3:$H$27,10))</f>
        <v>Carlos Menezes</v>
      </c>
      <c r="I219" s="41" t="n">
        <f aca="false">IF($C219="","",IF(INDEX(Planos!$J$3:$AG$27,$A219,$B219)=0,"",INDEX(Planos!$J$3:$AG$27,$A219,$B219)))</f>
        <v>46062</v>
      </c>
      <c r="J219" s="26" t="str">
        <f aca="false">IF($C219="","",IF($I219&lt;&gt;"","Realizada",IF($G219&lt;INT(Parâmetros!$C$4),"Atrasada","Agendada")))</f>
        <v>Realizada</v>
      </c>
      <c r="K219" s="42" t="n">
        <f aca="false">IF($C219="","",IF($I219&lt;&gt;"",$I219-$G219,IF($J219="Atrasada",INT(Parâmetros!$C$4)-$G219,"")))</f>
        <v>0</v>
      </c>
      <c r="L219" s="26" t="str">
        <f aca="false">IF($J219&lt;&gt;"Realizada","",IF($K219&lt;=0,"No prazo",IF($K219&lt;=7,"Até 7 dias",IF($K219&lt;=30,"Até 30 dias","Acima de 30"))))</f>
        <v>No prazo</v>
      </c>
      <c r="M219" s="26" t="n">
        <f aca="false">IF($C219="","",COUNTIFS($G$3:$G219,$G219))</f>
        <v>1</v>
      </c>
      <c r="N219" s="26" t="str">
        <f aca="false">IF($C219="","",$G219&amp;"|"&amp;$M219)</f>
        <v>46062|1</v>
      </c>
    </row>
    <row r="220" customFormat="false" ht="18" hidden="false" customHeight="true" outlineLevel="0" collapsed="false">
      <c r="A220" s="26" t="n">
        <v>10</v>
      </c>
      <c r="B220" s="26" t="n">
        <v>2</v>
      </c>
      <c r="C220" s="26" t="str">
        <f aca="false">IF(INDEX(Planos!$B$3:$B$27,10)="","",IF(2&gt;INDEX(Planos!$G$3:$G$27,10),"",INDEX(Planos!$B$3:$B$27,10)))</f>
        <v>EM-001</v>
      </c>
      <c r="D220" s="40" t="str">
        <f aca="false">IF($C220="","",IFERROR(INDEX(Ativos!$B$3:$B$42,MATCH($C220,Ativos!$A$3:$A$42,0)),""))</f>
        <v>Empilhadeira 2,5 t — GLP</v>
      </c>
      <c r="E220" s="40" t="str">
        <f aca="false">IF($C220="","",INDEX(Planos!$C$3:$C$27,10))</f>
        <v>Revisão das 500 h</v>
      </c>
      <c r="F220" s="40" t="str">
        <f aca="false">IF($C220="","",INDEX(Planos!$D$3:$D$27,10))</f>
        <v>Manutenção preventiva</v>
      </c>
      <c r="G220" s="41" t="n">
        <f aca="false">IF($C220="",0,INDEX(Planos!$F$3:$F$27,10)+(2-1)*INDEX(Planos!$E$3:$E$27,10))</f>
        <v>46122</v>
      </c>
      <c r="H220" s="40" t="str">
        <f aca="false">IF($C220="","",INDEX(Planos!$H$3:$H$27,10))</f>
        <v>Carlos Menezes</v>
      </c>
      <c r="I220" s="41" t="str">
        <f aca="false">IF($C220="","",IF(INDEX(Planos!$J$3:$AG$27,$A220,$B220)=0,"",INDEX(Planos!$J$3:$AG$27,$A220,$B220)))</f>
        <v/>
      </c>
      <c r="J220" s="26" t="str">
        <f aca="false">IF($C220="","",IF($I220&lt;&gt;"","Realizada",IF($G220&lt;INT(Parâmetros!$C$4),"Atrasada","Agendada")))</f>
        <v>Atrasada</v>
      </c>
      <c r="K220" s="42" t="n">
        <f aca="false">IF($C220="","",IF($I220&lt;&gt;"",$I220-$G220,IF($J220="Atrasada",INT(Parâmetros!$C$4)-$G220,"")))</f>
        <v>111</v>
      </c>
      <c r="L220" s="26" t="str">
        <f aca="false">IF($J220&lt;&gt;"Realizada","",IF($K220&lt;=0,"No prazo",IF($K220&lt;=7,"Até 7 dias",IF($K220&lt;=30,"Até 30 dias","Acima de 30"))))</f>
        <v/>
      </c>
      <c r="M220" s="26" t="n">
        <f aca="false">IF($C220="","",COUNTIFS($G$3:$G220,$G220))</f>
        <v>1</v>
      </c>
      <c r="N220" s="26" t="str">
        <f aca="false">IF($C220="","",$G220&amp;"|"&amp;$M220)</f>
        <v>46122|1</v>
      </c>
    </row>
    <row r="221" customFormat="false" ht="18" hidden="false" customHeight="true" outlineLevel="0" collapsed="false">
      <c r="A221" s="26" t="n">
        <v>10</v>
      </c>
      <c r="B221" s="26" t="n">
        <v>3</v>
      </c>
      <c r="C221" s="26" t="str">
        <f aca="false">IF(INDEX(Planos!$B$3:$B$27,10)="","",IF(3&gt;INDEX(Planos!$G$3:$G$27,10),"",INDEX(Planos!$B$3:$B$27,10)))</f>
        <v>EM-001</v>
      </c>
      <c r="D221" s="40" t="str">
        <f aca="false">IF($C221="","",IFERROR(INDEX(Ativos!$B$3:$B$42,MATCH($C221,Ativos!$A$3:$A$42,0)),""))</f>
        <v>Empilhadeira 2,5 t — GLP</v>
      </c>
      <c r="E221" s="40" t="str">
        <f aca="false">IF($C221="","",INDEX(Planos!$C$3:$C$27,10))</f>
        <v>Revisão das 500 h</v>
      </c>
      <c r="F221" s="40" t="str">
        <f aca="false">IF($C221="","",INDEX(Planos!$D$3:$D$27,10))</f>
        <v>Manutenção preventiva</v>
      </c>
      <c r="G221" s="41" t="n">
        <f aca="false">IF($C221="",0,INDEX(Planos!$F$3:$F$27,10)+(3-1)*INDEX(Planos!$E$3:$E$27,10))</f>
        <v>46182</v>
      </c>
      <c r="H221" s="40" t="str">
        <f aca="false">IF($C221="","",INDEX(Planos!$H$3:$H$27,10))</f>
        <v>Carlos Menezes</v>
      </c>
      <c r="I221" s="41" t="n">
        <f aca="false">IF($C221="","",IF(INDEX(Planos!$J$3:$AG$27,$A221,$B221)=0,"",INDEX(Planos!$J$3:$AG$27,$A221,$B221)))</f>
        <v>46182</v>
      </c>
      <c r="J221" s="26" t="str">
        <f aca="false">IF($C221="","",IF($I221&lt;&gt;"","Realizada",IF($G221&lt;INT(Parâmetros!$C$4),"Atrasada","Agendada")))</f>
        <v>Realizada</v>
      </c>
      <c r="K221" s="42" t="n">
        <f aca="false">IF($C221="","",IF($I221&lt;&gt;"",$I221-$G221,IF($J221="Atrasada",INT(Parâmetros!$C$4)-$G221,"")))</f>
        <v>0</v>
      </c>
      <c r="L221" s="26" t="str">
        <f aca="false">IF($J221&lt;&gt;"Realizada","",IF($K221&lt;=0,"No prazo",IF($K221&lt;=7,"Até 7 dias",IF($K221&lt;=30,"Até 30 dias","Acima de 30"))))</f>
        <v>No prazo</v>
      </c>
      <c r="M221" s="26" t="n">
        <f aca="false">IF($C221="","",COUNTIFS($G$3:$G221,$G221))</f>
        <v>1</v>
      </c>
      <c r="N221" s="26" t="str">
        <f aca="false">IF($C221="","",$G221&amp;"|"&amp;$M221)</f>
        <v>46182|1</v>
      </c>
    </row>
    <row r="222" customFormat="false" ht="18" hidden="false" customHeight="true" outlineLevel="0" collapsed="false">
      <c r="A222" s="26" t="n">
        <v>10</v>
      </c>
      <c r="B222" s="26" t="n">
        <v>4</v>
      </c>
      <c r="C222" s="26" t="str">
        <f aca="false">IF(INDEX(Planos!$B$3:$B$27,10)="","",IF(4&gt;INDEX(Planos!$G$3:$G$27,10),"",INDEX(Planos!$B$3:$B$27,10)))</f>
        <v>EM-001</v>
      </c>
      <c r="D222" s="40" t="str">
        <f aca="false">IF($C222="","",IFERROR(INDEX(Ativos!$B$3:$B$42,MATCH($C222,Ativos!$A$3:$A$42,0)),""))</f>
        <v>Empilhadeira 2,5 t — GLP</v>
      </c>
      <c r="E222" s="40" t="str">
        <f aca="false">IF($C222="","",INDEX(Planos!$C$3:$C$27,10))</f>
        <v>Revisão das 500 h</v>
      </c>
      <c r="F222" s="40" t="str">
        <f aca="false">IF($C222="","",INDEX(Planos!$D$3:$D$27,10))</f>
        <v>Manutenção preventiva</v>
      </c>
      <c r="G222" s="41" t="n">
        <f aca="false">IF($C222="",0,INDEX(Planos!$F$3:$F$27,10)+(4-1)*INDEX(Planos!$E$3:$E$27,10))</f>
        <v>46242</v>
      </c>
      <c r="H222" s="40" t="str">
        <f aca="false">IF($C222="","",INDEX(Planos!$H$3:$H$27,10))</f>
        <v>Carlos Menezes</v>
      </c>
      <c r="I222" s="41" t="str">
        <f aca="false">IF($C222="","",IF(INDEX(Planos!$J$3:$AG$27,$A222,$B222)=0,"",INDEX(Planos!$J$3:$AG$27,$A222,$B222)))</f>
        <v/>
      </c>
      <c r="J222" s="26" t="str">
        <f aca="false">IF($C222="","",IF($I222&lt;&gt;"","Realizada",IF($G222&lt;INT(Parâmetros!$C$4),"Atrasada","Agendada")))</f>
        <v>Agendada</v>
      </c>
      <c r="K222" s="42" t="str">
        <f aca="false">IF($C222="","",IF($I222&lt;&gt;"",$I222-$G222,IF($J222="Atrasada",INT(Parâmetros!$C$4)-$G222,"")))</f>
        <v/>
      </c>
      <c r="L222" s="26" t="str">
        <f aca="false">IF($J222&lt;&gt;"Realizada","",IF($K222&lt;=0,"No prazo",IF($K222&lt;=7,"Até 7 dias",IF($K222&lt;=30,"Até 30 dias","Acima de 30"))))</f>
        <v/>
      </c>
      <c r="M222" s="26" t="n">
        <f aca="false">IF($C222="","",COUNTIFS($G$3:$G222,$G222))</f>
        <v>1</v>
      </c>
      <c r="N222" s="26" t="str">
        <f aca="false">IF($C222="","",$G222&amp;"|"&amp;$M222)</f>
        <v>46242|1</v>
      </c>
    </row>
    <row r="223" customFormat="false" ht="18" hidden="false" customHeight="true" outlineLevel="0" collapsed="false">
      <c r="A223" s="26" t="n">
        <v>10</v>
      </c>
      <c r="B223" s="26" t="n">
        <v>5</v>
      </c>
      <c r="C223" s="26" t="str">
        <f aca="false">IF(INDEX(Planos!$B$3:$B$27,10)="","",IF(5&gt;INDEX(Planos!$G$3:$G$27,10),"",INDEX(Planos!$B$3:$B$27,10)))</f>
        <v>EM-001</v>
      </c>
      <c r="D223" s="40" t="str">
        <f aca="false">IF($C223="","",IFERROR(INDEX(Ativos!$B$3:$B$42,MATCH($C223,Ativos!$A$3:$A$42,0)),""))</f>
        <v>Empilhadeira 2,5 t — GLP</v>
      </c>
      <c r="E223" s="40" t="str">
        <f aca="false">IF($C223="","",INDEX(Planos!$C$3:$C$27,10))</f>
        <v>Revisão das 500 h</v>
      </c>
      <c r="F223" s="40" t="str">
        <f aca="false">IF($C223="","",INDEX(Planos!$D$3:$D$27,10))</f>
        <v>Manutenção preventiva</v>
      </c>
      <c r="G223" s="41" t="n">
        <f aca="false">IF($C223="",0,INDEX(Planos!$F$3:$F$27,10)+(5-1)*INDEX(Planos!$E$3:$E$27,10))</f>
        <v>46302</v>
      </c>
      <c r="H223" s="40" t="str">
        <f aca="false">IF($C223="","",INDEX(Planos!$H$3:$H$27,10))</f>
        <v>Carlos Menezes</v>
      </c>
      <c r="I223" s="41" t="str">
        <f aca="false">IF($C223="","",IF(INDEX(Planos!$J$3:$AG$27,$A223,$B223)=0,"",INDEX(Planos!$J$3:$AG$27,$A223,$B223)))</f>
        <v/>
      </c>
      <c r="J223" s="26" t="str">
        <f aca="false">IF($C223="","",IF($I223&lt;&gt;"","Realizada",IF($G223&lt;INT(Parâmetros!$C$4),"Atrasada","Agendada")))</f>
        <v>Agendada</v>
      </c>
      <c r="K223" s="42" t="str">
        <f aca="false">IF($C223="","",IF($I223&lt;&gt;"",$I223-$G223,IF($J223="Atrasada",INT(Parâmetros!$C$4)-$G223,"")))</f>
        <v/>
      </c>
      <c r="L223" s="26" t="str">
        <f aca="false">IF($J223&lt;&gt;"Realizada","",IF($K223&lt;=0,"No prazo",IF($K223&lt;=7,"Até 7 dias",IF($K223&lt;=30,"Até 30 dias","Acima de 30"))))</f>
        <v/>
      </c>
      <c r="M223" s="26" t="n">
        <f aca="false">IF($C223="","",COUNTIFS($G$3:$G223,$G223))</f>
        <v>1</v>
      </c>
      <c r="N223" s="26" t="str">
        <f aca="false">IF($C223="","",$G223&amp;"|"&amp;$M223)</f>
        <v>46302|1</v>
      </c>
    </row>
    <row r="224" customFormat="false" ht="18" hidden="false" customHeight="true" outlineLevel="0" collapsed="false">
      <c r="A224" s="26" t="n">
        <v>10</v>
      </c>
      <c r="B224" s="26" t="n">
        <v>6</v>
      </c>
      <c r="C224" s="26" t="str">
        <f aca="false">IF(INDEX(Planos!$B$3:$B$27,10)="","",IF(6&gt;INDEX(Planos!$G$3:$G$27,10),"",INDEX(Planos!$B$3:$B$27,10)))</f>
        <v>EM-001</v>
      </c>
      <c r="D224" s="40" t="str">
        <f aca="false">IF($C224="","",IFERROR(INDEX(Ativos!$B$3:$B$42,MATCH($C224,Ativos!$A$3:$A$42,0)),""))</f>
        <v>Empilhadeira 2,5 t — GLP</v>
      </c>
      <c r="E224" s="40" t="str">
        <f aca="false">IF($C224="","",INDEX(Planos!$C$3:$C$27,10))</f>
        <v>Revisão das 500 h</v>
      </c>
      <c r="F224" s="40" t="str">
        <f aca="false">IF($C224="","",INDEX(Planos!$D$3:$D$27,10))</f>
        <v>Manutenção preventiva</v>
      </c>
      <c r="G224" s="41" t="n">
        <f aca="false">IF($C224="",0,INDEX(Planos!$F$3:$F$27,10)+(6-1)*INDEX(Planos!$E$3:$E$27,10))</f>
        <v>46362</v>
      </c>
      <c r="H224" s="40" t="str">
        <f aca="false">IF($C224="","",INDEX(Planos!$H$3:$H$27,10))</f>
        <v>Carlos Menezes</v>
      </c>
      <c r="I224" s="41" t="str">
        <f aca="false">IF($C224="","",IF(INDEX(Planos!$J$3:$AG$27,$A224,$B224)=0,"",INDEX(Planos!$J$3:$AG$27,$A224,$B224)))</f>
        <v/>
      </c>
      <c r="J224" s="26" t="str">
        <f aca="false">IF($C224="","",IF($I224&lt;&gt;"","Realizada",IF($G224&lt;INT(Parâmetros!$C$4),"Atrasada","Agendada")))</f>
        <v>Agendada</v>
      </c>
      <c r="K224" s="42" t="str">
        <f aca="false">IF($C224="","",IF($I224&lt;&gt;"",$I224-$G224,IF($J224="Atrasada",INT(Parâmetros!$C$4)-$G224,"")))</f>
        <v/>
      </c>
      <c r="L224" s="26" t="str">
        <f aca="false">IF($J224&lt;&gt;"Realizada","",IF($K224&lt;=0,"No prazo",IF($K224&lt;=7,"Até 7 dias",IF($K224&lt;=30,"Até 30 dias","Acima de 30"))))</f>
        <v/>
      </c>
      <c r="M224" s="26" t="n">
        <f aca="false">IF($C224="","",COUNTIFS($G$3:$G224,$G224))</f>
        <v>1</v>
      </c>
      <c r="N224" s="26" t="str">
        <f aca="false">IF($C224="","",$G224&amp;"|"&amp;$M224)</f>
        <v>46362|1</v>
      </c>
    </row>
    <row r="225" customFormat="false" ht="18" hidden="false" customHeight="true" outlineLevel="0" collapsed="false">
      <c r="A225" s="26" t="n">
        <v>10</v>
      </c>
      <c r="B225" s="26" t="n">
        <v>7</v>
      </c>
      <c r="C225" s="26" t="str">
        <f aca="false">IF(INDEX(Planos!$B$3:$B$27,10)="","",IF(7&gt;INDEX(Planos!$G$3:$G$27,10),"",INDEX(Planos!$B$3:$B$27,10)))</f>
        <v>EM-001</v>
      </c>
      <c r="D225" s="40" t="str">
        <f aca="false">IF($C225="","",IFERROR(INDEX(Ativos!$B$3:$B$42,MATCH($C225,Ativos!$A$3:$A$42,0)),""))</f>
        <v>Empilhadeira 2,5 t — GLP</v>
      </c>
      <c r="E225" s="40" t="str">
        <f aca="false">IF($C225="","",INDEX(Planos!$C$3:$C$27,10))</f>
        <v>Revisão das 500 h</v>
      </c>
      <c r="F225" s="40" t="str">
        <f aca="false">IF($C225="","",INDEX(Planos!$D$3:$D$27,10))</f>
        <v>Manutenção preventiva</v>
      </c>
      <c r="G225" s="41" t="n">
        <f aca="false">IF($C225="",0,INDEX(Planos!$F$3:$F$27,10)+(7-1)*INDEX(Planos!$E$3:$E$27,10))</f>
        <v>46422</v>
      </c>
      <c r="H225" s="40" t="str">
        <f aca="false">IF($C225="","",INDEX(Planos!$H$3:$H$27,10))</f>
        <v>Carlos Menezes</v>
      </c>
      <c r="I225" s="41" t="str">
        <f aca="false">IF($C225="","",IF(INDEX(Planos!$J$3:$AG$27,$A225,$B225)=0,"",INDEX(Planos!$J$3:$AG$27,$A225,$B225)))</f>
        <v/>
      </c>
      <c r="J225" s="26" t="str">
        <f aca="false">IF($C225="","",IF($I225&lt;&gt;"","Realizada",IF($G225&lt;INT(Parâmetros!$C$4),"Atrasada","Agendada")))</f>
        <v>Agendada</v>
      </c>
      <c r="K225" s="42" t="str">
        <f aca="false">IF($C225="","",IF($I225&lt;&gt;"",$I225-$G225,IF($J225="Atrasada",INT(Parâmetros!$C$4)-$G225,"")))</f>
        <v/>
      </c>
      <c r="L225" s="26" t="str">
        <f aca="false">IF($J225&lt;&gt;"Realizada","",IF($K225&lt;=0,"No prazo",IF($K225&lt;=7,"Até 7 dias",IF($K225&lt;=30,"Até 30 dias","Acima de 30"))))</f>
        <v/>
      </c>
      <c r="M225" s="26" t="n">
        <f aca="false">IF($C225="","",COUNTIFS($G$3:$G225,$G225))</f>
        <v>1</v>
      </c>
      <c r="N225" s="26" t="str">
        <f aca="false">IF($C225="","",$G225&amp;"|"&amp;$M225)</f>
        <v>46422|1</v>
      </c>
    </row>
    <row r="226" customFormat="false" ht="18" hidden="false" customHeight="true" outlineLevel="0" collapsed="false">
      <c r="A226" s="26" t="n">
        <v>10</v>
      </c>
      <c r="B226" s="26" t="n">
        <v>8</v>
      </c>
      <c r="C226" s="26" t="str">
        <f aca="false">IF(INDEX(Planos!$B$3:$B$27,10)="","",IF(8&gt;INDEX(Planos!$G$3:$G$27,10),"",INDEX(Planos!$B$3:$B$27,10)))</f>
        <v>EM-001</v>
      </c>
      <c r="D226" s="40" t="str">
        <f aca="false">IF($C226="","",IFERROR(INDEX(Ativos!$B$3:$B$42,MATCH($C226,Ativos!$A$3:$A$42,0)),""))</f>
        <v>Empilhadeira 2,5 t — GLP</v>
      </c>
      <c r="E226" s="40" t="str">
        <f aca="false">IF($C226="","",INDEX(Planos!$C$3:$C$27,10))</f>
        <v>Revisão das 500 h</v>
      </c>
      <c r="F226" s="40" t="str">
        <f aca="false">IF($C226="","",INDEX(Planos!$D$3:$D$27,10))</f>
        <v>Manutenção preventiva</v>
      </c>
      <c r="G226" s="41" t="n">
        <f aca="false">IF($C226="",0,INDEX(Planos!$F$3:$F$27,10)+(8-1)*INDEX(Planos!$E$3:$E$27,10))</f>
        <v>46482</v>
      </c>
      <c r="H226" s="40" t="str">
        <f aca="false">IF($C226="","",INDEX(Planos!$H$3:$H$27,10))</f>
        <v>Carlos Menezes</v>
      </c>
      <c r="I226" s="41" t="str">
        <f aca="false">IF($C226="","",IF(INDEX(Planos!$J$3:$AG$27,$A226,$B226)=0,"",INDEX(Planos!$J$3:$AG$27,$A226,$B226)))</f>
        <v/>
      </c>
      <c r="J226" s="26" t="str">
        <f aca="false">IF($C226="","",IF($I226&lt;&gt;"","Realizada",IF($G226&lt;INT(Parâmetros!$C$4),"Atrasada","Agendada")))</f>
        <v>Agendada</v>
      </c>
      <c r="K226" s="42" t="str">
        <f aca="false">IF($C226="","",IF($I226&lt;&gt;"",$I226-$G226,IF($J226="Atrasada",INT(Parâmetros!$C$4)-$G226,"")))</f>
        <v/>
      </c>
      <c r="L226" s="26" t="str">
        <f aca="false">IF($J226&lt;&gt;"Realizada","",IF($K226&lt;=0,"No prazo",IF($K226&lt;=7,"Até 7 dias",IF($K226&lt;=30,"Até 30 dias","Acima de 30"))))</f>
        <v/>
      </c>
      <c r="M226" s="26" t="n">
        <f aca="false">IF($C226="","",COUNTIFS($G$3:$G226,$G226))</f>
        <v>1</v>
      </c>
      <c r="N226" s="26" t="str">
        <f aca="false">IF($C226="","",$G226&amp;"|"&amp;$M226)</f>
        <v>46482|1</v>
      </c>
    </row>
    <row r="227" customFormat="false" ht="18" hidden="false" customHeight="true" outlineLevel="0" collapsed="false">
      <c r="A227" s="26" t="n">
        <v>10</v>
      </c>
      <c r="B227" s="26" t="n">
        <v>9</v>
      </c>
      <c r="C227" s="26" t="str">
        <f aca="false">IF(INDEX(Planos!$B$3:$B$27,10)="","",IF(9&gt;INDEX(Planos!$G$3:$G$27,10),"",INDEX(Planos!$B$3:$B$27,10)))</f>
        <v>EM-001</v>
      </c>
      <c r="D227" s="40" t="str">
        <f aca="false">IF($C227="","",IFERROR(INDEX(Ativos!$B$3:$B$42,MATCH($C227,Ativos!$A$3:$A$42,0)),""))</f>
        <v>Empilhadeira 2,5 t — GLP</v>
      </c>
      <c r="E227" s="40" t="str">
        <f aca="false">IF($C227="","",INDEX(Planos!$C$3:$C$27,10))</f>
        <v>Revisão das 500 h</v>
      </c>
      <c r="F227" s="40" t="str">
        <f aca="false">IF($C227="","",INDEX(Planos!$D$3:$D$27,10))</f>
        <v>Manutenção preventiva</v>
      </c>
      <c r="G227" s="41" t="n">
        <f aca="false">IF($C227="",0,INDEX(Planos!$F$3:$F$27,10)+(9-1)*INDEX(Planos!$E$3:$E$27,10))</f>
        <v>46542</v>
      </c>
      <c r="H227" s="40" t="str">
        <f aca="false">IF($C227="","",INDEX(Planos!$H$3:$H$27,10))</f>
        <v>Carlos Menezes</v>
      </c>
      <c r="I227" s="41" t="str">
        <f aca="false">IF($C227="","",IF(INDEX(Planos!$J$3:$AG$27,$A227,$B227)=0,"",INDEX(Planos!$J$3:$AG$27,$A227,$B227)))</f>
        <v/>
      </c>
      <c r="J227" s="26" t="str">
        <f aca="false">IF($C227="","",IF($I227&lt;&gt;"","Realizada",IF($G227&lt;INT(Parâmetros!$C$4),"Atrasada","Agendada")))</f>
        <v>Agendada</v>
      </c>
      <c r="K227" s="42" t="str">
        <f aca="false">IF($C227="","",IF($I227&lt;&gt;"",$I227-$G227,IF($J227="Atrasada",INT(Parâmetros!$C$4)-$G227,"")))</f>
        <v/>
      </c>
      <c r="L227" s="26" t="str">
        <f aca="false">IF($J227&lt;&gt;"Realizada","",IF($K227&lt;=0,"No prazo",IF($K227&lt;=7,"Até 7 dias",IF($K227&lt;=30,"Até 30 dias","Acima de 30"))))</f>
        <v/>
      </c>
      <c r="M227" s="26" t="n">
        <f aca="false">IF($C227="","",COUNTIFS($G$3:$G227,$G227))</f>
        <v>1</v>
      </c>
      <c r="N227" s="26" t="str">
        <f aca="false">IF($C227="","",$G227&amp;"|"&amp;$M227)</f>
        <v>46542|1</v>
      </c>
    </row>
    <row r="228" customFormat="false" ht="18" hidden="false" customHeight="true" outlineLevel="0" collapsed="false">
      <c r="A228" s="26" t="n">
        <v>10</v>
      </c>
      <c r="B228" s="26" t="n">
        <v>10</v>
      </c>
      <c r="C228" s="26" t="str">
        <f aca="false">IF(INDEX(Planos!$B$3:$B$27,10)="","",IF(10&gt;INDEX(Planos!$G$3:$G$27,10),"",INDEX(Planos!$B$3:$B$27,10)))</f>
        <v>EM-001</v>
      </c>
      <c r="D228" s="40" t="str">
        <f aca="false">IF($C228="","",IFERROR(INDEX(Ativos!$B$3:$B$42,MATCH($C228,Ativos!$A$3:$A$42,0)),""))</f>
        <v>Empilhadeira 2,5 t — GLP</v>
      </c>
      <c r="E228" s="40" t="str">
        <f aca="false">IF($C228="","",INDEX(Planos!$C$3:$C$27,10))</f>
        <v>Revisão das 500 h</v>
      </c>
      <c r="F228" s="40" t="str">
        <f aca="false">IF($C228="","",INDEX(Planos!$D$3:$D$27,10))</f>
        <v>Manutenção preventiva</v>
      </c>
      <c r="G228" s="41" t="n">
        <f aca="false">IF($C228="",0,INDEX(Planos!$F$3:$F$27,10)+(10-1)*INDEX(Planos!$E$3:$E$27,10))</f>
        <v>46602</v>
      </c>
      <c r="H228" s="40" t="str">
        <f aca="false">IF($C228="","",INDEX(Planos!$H$3:$H$27,10))</f>
        <v>Carlos Menezes</v>
      </c>
      <c r="I228" s="41" t="str">
        <f aca="false">IF($C228="","",IF(INDEX(Planos!$J$3:$AG$27,$A228,$B228)=0,"",INDEX(Planos!$J$3:$AG$27,$A228,$B228)))</f>
        <v/>
      </c>
      <c r="J228" s="26" t="str">
        <f aca="false">IF($C228="","",IF($I228&lt;&gt;"","Realizada",IF($G228&lt;INT(Parâmetros!$C$4),"Atrasada","Agendada")))</f>
        <v>Agendada</v>
      </c>
      <c r="K228" s="42" t="str">
        <f aca="false">IF($C228="","",IF($I228&lt;&gt;"",$I228-$G228,IF($J228="Atrasada",INT(Parâmetros!$C$4)-$G228,"")))</f>
        <v/>
      </c>
      <c r="L228" s="26" t="str">
        <f aca="false">IF($J228&lt;&gt;"Realizada","",IF($K228&lt;=0,"No prazo",IF($K228&lt;=7,"Até 7 dias",IF($K228&lt;=30,"Até 30 dias","Acima de 30"))))</f>
        <v/>
      </c>
      <c r="M228" s="26" t="n">
        <f aca="false">IF($C228="","",COUNTIFS($G$3:$G228,$G228))</f>
        <v>1</v>
      </c>
      <c r="N228" s="26" t="str">
        <f aca="false">IF($C228="","",$G228&amp;"|"&amp;$M228)</f>
        <v>46602|1</v>
      </c>
    </row>
    <row r="229" customFormat="false" ht="18" hidden="false" customHeight="true" outlineLevel="0" collapsed="false">
      <c r="A229" s="26" t="n">
        <v>10</v>
      </c>
      <c r="B229" s="26" t="n">
        <v>11</v>
      </c>
      <c r="C229" s="26" t="str">
        <f aca="false">IF(INDEX(Planos!$B$3:$B$27,10)="","",IF(11&gt;INDEX(Planos!$G$3:$G$27,10),"",INDEX(Planos!$B$3:$B$27,10)))</f>
        <v>EM-001</v>
      </c>
      <c r="D229" s="40" t="str">
        <f aca="false">IF($C229="","",IFERROR(INDEX(Ativos!$B$3:$B$42,MATCH($C229,Ativos!$A$3:$A$42,0)),""))</f>
        <v>Empilhadeira 2,5 t — GLP</v>
      </c>
      <c r="E229" s="40" t="str">
        <f aca="false">IF($C229="","",INDEX(Planos!$C$3:$C$27,10))</f>
        <v>Revisão das 500 h</v>
      </c>
      <c r="F229" s="40" t="str">
        <f aca="false">IF($C229="","",INDEX(Planos!$D$3:$D$27,10))</f>
        <v>Manutenção preventiva</v>
      </c>
      <c r="G229" s="41" t="n">
        <f aca="false">IF($C229="",0,INDEX(Planos!$F$3:$F$27,10)+(11-1)*INDEX(Planos!$E$3:$E$27,10))</f>
        <v>46662</v>
      </c>
      <c r="H229" s="40" t="str">
        <f aca="false">IF($C229="","",INDEX(Planos!$H$3:$H$27,10))</f>
        <v>Carlos Menezes</v>
      </c>
      <c r="I229" s="41" t="str">
        <f aca="false">IF($C229="","",IF(INDEX(Planos!$J$3:$AG$27,$A229,$B229)=0,"",INDEX(Planos!$J$3:$AG$27,$A229,$B229)))</f>
        <v/>
      </c>
      <c r="J229" s="26" t="str">
        <f aca="false">IF($C229="","",IF($I229&lt;&gt;"","Realizada",IF($G229&lt;INT(Parâmetros!$C$4),"Atrasada","Agendada")))</f>
        <v>Agendada</v>
      </c>
      <c r="K229" s="42" t="str">
        <f aca="false">IF($C229="","",IF($I229&lt;&gt;"",$I229-$G229,IF($J229="Atrasada",INT(Parâmetros!$C$4)-$G229,"")))</f>
        <v/>
      </c>
      <c r="L229" s="26" t="str">
        <f aca="false">IF($J229&lt;&gt;"Realizada","",IF($K229&lt;=0,"No prazo",IF($K229&lt;=7,"Até 7 dias",IF($K229&lt;=30,"Até 30 dias","Acima de 30"))))</f>
        <v/>
      </c>
      <c r="M229" s="26" t="n">
        <f aca="false">IF($C229="","",COUNTIFS($G$3:$G229,$G229))</f>
        <v>1</v>
      </c>
      <c r="N229" s="26" t="str">
        <f aca="false">IF($C229="","",$G229&amp;"|"&amp;$M229)</f>
        <v>46662|1</v>
      </c>
    </row>
    <row r="230" customFormat="false" ht="18" hidden="false" customHeight="true" outlineLevel="0" collapsed="false">
      <c r="A230" s="26" t="n">
        <v>10</v>
      </c>
      <c r="B230" s="26" t="n">
        <v>12</v>
      </c>
      <c r="C230" s="26" t="str">
        <f aca="false">IF(INDEX(Planos!$B$3:$B$27,10)="","",IF(12&gt;INDEX(Planos!$G$3:$G$27,10),"",INDEX(Planos!$B$3:$B$27,10)))</f>
        <v>EM-001</v>
      </c>
      <c r="D230" s="40" t="str">
        <f aca="false">IF($C230="","",IFERROR(INDEX(Ativos!$B$3:$B$42,MATCH($C230,Ativos!$A$3:$A$42,0)),""))</f>
        <v>Empilhadeira 2,5 t — GLP</v>
      </c>
      <c r="E230" s="40" t="str">
        <f aca="false">IF($C230="","",INDEX(Planos!$C$3:$C$27,10))</f>
        <v>Revisão das 500 h</v>
      </c>
      <c r="F230" s="40" t="str">
        <f aca="false">IF($C230="","",INDEX(Planos!$D$3:$D$27,10))</f>
        <v>Manutenção preventiva</v>
      </c>
      <c r="G230" s="41" t="n">
        <f aca="false">IF($C230="",0,INDEX(Planos!$F$3:$F$27,10)+(12-1)*INDEX(Planos!$E$3:$E$27,10))</f>
        <v>46722</v>
      </c>
      <c r="H230" s="40" t="str">
        <f aca="false">IF($C230="","",INDEX(Planos!$H$3:$H$27,10))</f>
        <v>Carlos Menezes</v>
      </c>
      <c r="I230" s="41" t="str">
        <f aca="false">IF($C230="","",IF(INDEX(Planos!$J$3:$AG$27,$A230,$B230)=0,"",INDEX(Planos!$J$3:$AG$27,$A230,$B230)))</f>
        <v/>
      </c>
      <c r="J230" s="26" t="str">
        <f aca="false">IF($C230="","",IF($I230&lt;&gt;"","Realizada",IF($G230&lt;INT(Parâmetros!$C$4),"Atrasada","Agendada")))</f>
        <v>Agendada</v>
      </c>
      <c r="K230" s="42" t="str">
        <f aca="false">IF($C230="","",IF($I230&lt;&gt;"",$I230-$G230,IF($J230="Atrasada",INT(Parâmetros!$C$4)-$G230,"")))</f>
        <v/>
      </c>
      <c r="L230" s="26" t="str">
        <f aca="false">IF($J230&lt;&gt;"Realizada","",IF($K230&lt;=0,"No prazo",IF($K230&lt;=7,"Até 7 dias",IF($K230&lt;=30,"Até 30 dias","Acima de 30"))))</f>
        <v/>
      </c>
      <c r="M230" s="26" t="n">
        <f aca="false">IF($C230="","",COUNTIFS($G$3:$G230,$G230))</f>
        <v>1</v>
      </c>
      <c r="N230" s="26" t="str">
        <f aca="false">IF($C230="","",$G230&amp;"|"&amp;$M230)</f>
        <v>46722|1</v>
      </c>
    </row>
    <row r="231" customFormat="false" ht="18" hidden="false" customHeight="true" outlineLevel="0" collapsed="false">
      <c r="A231" s="26" t="n">
        <v>10</v>
      </c>
      <c r="B231" s="26" t="n">
        <v>13</v>
      </c>
      <c r="C231" s="26" t="str">
        <f aca="false">IF(INDEX(Planos!$B$3:$B$27,10)="","",IF(13&gt;INDEX(Planos!$G$3:$G$27,10),"",INDEX(Planos!$B$3:$B$27,10)))</f>
        <v>EM-001</v>
      </c>
      <c r="D231" s="40" t="str">
        <f aca="false">IF($C231="","",IFERROR(INDEX(Ativos!$B$3:$B$42,MATCH($C231,Ativos!$A$3:$A$42,0)),""))</f>
        <v>Empilhadeira 2,5 t — GLP</v>
      </c>
      <c r="E231" s="40" t="str">
        <f aca="false">IF($C231="","",INDEX(Planos!$C$3:$C$27,10))</f>
        <v>Revisão das 500 h</v>
      </c>
      <c r="F231" s="40" t="str">
        <f aca="false">IF($C231="","",INDEX(Planos!$D$3:$D$27,10))</f>
        <v>Manutenção preventiva</v>
      </c>
      <c r="G231" s="41" t="n">
        <f aca="false">IF($C231="",0,INDEX(Planos!$F$3:$F$27,10)+(13-1)*INDEX(Planos!$E$3:$E$27,10))</f>
        <v>46782</v>
      </c>
      <c r="H231" s="40" t="str">
        <f aca="false">IF($C231="","",INDEX(Planos!$H$3:$H$27,10))</f>
        <v>Carlos Menezes</v>
      </c>
      <c r="I231" s="41" t="str">
        <f aca="false">IF($C231="","",IF(INDEX(Planos!$J$3:$AG$27,$A231,$B231)=0,"",INDEX(Planos!$J$3:$AG$27,$A231,$B231)))</f>
        <v/>
      </c>
      <c r="J231" s="26" t="str">
        <f aca="false">IF($C231="","",IF($I231&lt;&gt;"","Realizada",IF($G231&lt;INT(Parâmetros!$C$4),"Atrasada","Agendada")))</f>
        <v>Agendada</v>
      </c>
      <c r="K231" s="42" t="str">
        <f aca="false">IF($C231="","",IF($I231&lt;&gt;"",$I231-$G231,IF($J231="Atrasada",INT(Parâmetros!$C$4)-$G231,"")))</f>
        <v/>
      </c>
      <c r="L231" s="26" t="str">
        <f aca="false">IF($J231&lt;&gt;"Realizada","",IF($K231&lt;=0,"No prazo",IF($K231&lt;=7,"Até 7 dias",IF($K231&lt;=30,"Até 30 dias","Acima de 30"))))</f>
        <v/>
      </c>
      <c r="M231" s="26" t="n">
        <f aca="false">IF($C231="","",COUNTIFS($G$3:$G231,$G231))</f>
        <v>1</v>
      </c>
      <c r="N231" s="26" t="str">
        <f aca="false">IF($C231="","",$G231&amp;"|"&amp;$M231)</f>
        <v>46782|1</v>
      </c>
    </row>
    <row r="232" customFormat="false" ht="18" hidden="false" customHeight="true" outlineLevel="0" collapsed="false">
      <c r="A232" s="26" t="n">
        <v>10</v>
      </c>
      <c r="B232" s="26" t="n">
        <v>14</v>
      </c>
      <c r="C232" s="26" t="str">
        <f aca="false">IF(INDEX(Planos!$B$3:$B$27,10)="","",IF(14&gt;INDEX(Planos!$G$3:$G$27,10),"",INDEX(Planos!$B$3:$B$27,10)))</f>
        <v>EM-001</v>
      </c>
      <c r="D232" s="40" t="str">
        <f aca="false">IF($C232="","",IFERROR(INDEX(Ativos!$B$3:$B$42,MATCH($C232,Ativos!$A$3:$A$42,0)),""))</f>
        <v>Empilhadeira 2,5 t — GLP</v>
      </c>
      <c r="E232" s="40" t="str">
        <f aca="false">IF($C232="","",INDEX(Planos!$C$3:$C$27,10))</f>
        <v>Revisão das 500 h</v>
      </c>
      <c r="F232" s="40" t="str">
        <f aca="false">IF($C232="","",INDEX(Planos!$D$3:$D$27,10))</f>
        <v>Manutenção preventiva</v>
      </c>
      <c r="G232" s="41" t="n">
        <f aca="false">IF($C232="",0,INDEX(Planos!$F$3:$F$27,10)+(14-1)*INDEX(Planos!$E$3:$E$27,10))</f>
        <v>46842</v>
      </c>
      <c r="H232" s="40" t="str">
        <f aca="false">IF($C232="","",INDEX(Planos!$H$3:$H$27,10))</f>
        <v>Carlos Menezes</v>
      </c>
      <c r="I232" s="41" t="str">
        <f aca="false">IF($C232="","",IF(INDEX(Planos!$J$3:$AG$27,$A232,$B232)=0,"",INDEX(Planos!$J$3:$AG$27,$A232,$B232)))</f>
        <v/>
      </c>
      <c r="J232" s="26" t="str">
        <f aca="false">IF($C232="","",IF($I232&lt;&gt;"","Realizada",IF($G232&lt;INT(Parâmetros!$C$4),"Atrasada","Agendada")))</f>
        <v>Agendada</v>
      </c>
      <c r="K232" s="42" t="str">
        <f aca="false">IF($C232="","",IF($I232&lt;&gt;"",$I232-$G232,IF($J232="Atrasada",INT(Parâmetros!$C$4)-$G232,"")))</f>
        <v/>
      </c>
      <c r="L232" s="26" t="str">
        <f aca="false">IF($J232&lt;&gt;"Realizada","",IF($K232&lt;=0,"No prazo",IF($K232&lt;=7,"Até 7 dias",IF($K232&lt;=30,"Até 30 dias","Acima de 30"))))</f>
        <v/>
      </c>
      <c r="M232" s="26" t="n">
        <f aca="false">IF($C232="","",COUNTIFS($G$3:$G232,$G232))</f>
        <v>1</v>
      </c>
      <c r="N232" s="26" t="str">
        <f aca="false">IF($C232="","",$G232&amp;"|"&amp;$M232)</f>
        <v>46842|1</v>
      </c>
    </row>
    <row r="233" customFormat="false" ht="18" hidden="false" customHeight="true" outlineLevel="0" collapsed="false">
      <c r="A233" s="26" t="n">
        <v>10</v>
      </c>
      <c r="B233" s="26" t="n">
        <v>15</v>
      </c>
      <c r="C233" s="26" t="str">
        <f aca="false">IF(INDEX(Planos!$B$3:$B$27,10)="","",IF(15&gt;INDEX(Planos!$G$3:$G$27,10),"",INDEX(Planos!$B$3:$B$27,10)))</f>
        <v>EM-001</v>
      </c>
      <c r="D233" s="40" t="str">
        <f aca="false">IF($C233="","",IFERROR(INDEX(Ativos!$B$3:$B$42,MATCH($C233,Ativos!$A$3:$A$42,0)),""))</f>
        <v>Empilhadeira 2,5 t — GLP</v>
      </c>
      <c r="E233" s="40" t="str">
        <f aca="false">IF($C233="","",INDEX(Planos!$C$3:$C$27,10))</f>
        <v>Revisão das 500 h</v>
      </c>
      <c r="F233" s="40" t="str">
        <f aca="false">IF($C233="","",INDEX(Planos!$D$3:$D$27,10))</f>
        <v>Manutenção preventiva</v>
      </c>
      <c r="G233" s="41" t="n">
        <f aca="false">IF($C233="",0,INDEX(Planos!$F$3:$F$27,10)+(15-1)*INDEX(Planos!$E$3:$E$27,10))</f>
        <v>46902</v>
      </c>
      <c r="H233" s="40" t="str">
        <f aca="false">IF($C233="","",INDEX(Planos!$H$3:$H$27,10))</f>
        <v>Carlos Menezes</v>
      </c>
      <c r="I233" s="41" t="str">
        <f aca="false">IF($C233="","",IF(INDEX(Planos!$J$3:$AG$27,$A233,$B233)=0,"",INDEX(Planos!$J$3:$AG$27,$A233,$B233)))</f>
        <v/>
      </c>
      <c r="J233" s="26" t="str">
        <f aca="false">IF($C233="","",IF($I233&lt;&gt;"","Realizada",IF($G233&lt;INT(Parâmetros!$C$4),"Atrasada","Agendada")))</f>
        <v>Agendada</v>
      </c>
      <c r="K233" s="42" t="str">
        <f aca="false">IF($C233="","",IF($I233&lt;&gt;"",$I233-$G233,IF($J233="Atrasada",INT(Parâmetros!$C$4)-$G233,"")))</f>
        <v/>
      </c>
      <c r="L233" s="26" t="str">
        <f aca="false">IF($J233&lt;&gt;"Realizada","",IF($K233&lt;=0,"No prazo",IF($K233&lt;=7,"Até 7 dias",IF($K233&lt;=30,"Até 30 dias","Acima de 30"))))</f>
        <v/>
      </c>
      <c r="M233" s="26" t="n">
        <f aca="false">IF($C233="","",COUNTIFS($G$3:$G233,$G233))</f>
        <v>1</v>
      </c>
      <c r="N233" s="26" t="str">
        <f aca="false">IF($C233="","",$G233&amp;"|"&amp;$M233)</f>
        <v>46902|1</v>
      </c>
    </row>
    <row r="234" customFormat="false" ht="18" hidden="false" customHeight="true" outlineLevel="0" collapsed="false">
      <c r="A234" s="26" t="n">
        <v>10</v>
      </c>
      <c r="B234" s="26" t="n">
        <v>16</v>
      </c>
      <c r="C234" s="26" t="str">
        <f aca="false">IF(INDEX(Planos!$B$3:$B$27,10)="","",IF(16&gt;INDEX(Planos!$G$3:$G$27,10),"",INDEX(Planos!$B$3:$B$27,10)))</f>
        <v/>
      </c>
      <c r="D234" s="40" t="str">
        <f aca="false">IF($C234="","",IFERROR(INDEX(Ativos!$B$3:$B$42,MATCH($C234,Ativos!$A$3:$A$42,0)),""))</f>
        <v/>
      </c>
      <c r="E234" s="40" t="str">
        <f aca="false">IF($C234="","",INDEX(Planos!$C$3:$C$27,10))</f>
        <v/>
      </c>
      <c r="F234" s="40" t="str">
        <f aca="false">IF($C234="","",INDEX(Planos!$D$3:$D$27,10))</f>
        <v/>
      </c>
      <c r="G234" s="41" t="n">
        <f aca="false">IF($C234="",0,INDEX(Planos!$F$3:$F$27,10)+(16-1)*INDEX(Planos!$E$3:$E$27,10))</f>
        <v>0</v>
      </c>
      <c r="H234" s="40" t="str">
        <f aca="false">IF($C234="","",INDEX(Planos!$H$3:$H$27,10))</f>
        <v/>
      </c>
      <c r="I234" s="41" t="str">
        <f aca="false">IF($C234="","",IF(INDEX(Planos!$J$3:$AG$27,$A234,$B234)=0,"",INDEX(Planos!$J$3:$AG$27,$A234,$B234)))</f>
        <v/>
      </c>
      <c r="J234" s="26" t="str">
        <f aca="false">IF($C234="","",IF($I234&lt;&gt;"","Realizada",IF($G234&lt;INT(Parâmetros!$C$4),"Atrasada","Agendada")))</f>
        <v/>
      </c>
      <c r="K234" s="42" t="str">
        <f aca="false">IF($C234="","",IF($I234&lt;&gt;"",$I234-$G234,IF($J234="Atrasada",INT(Parâmetros!$C$4)-$G234,"")))</f>
        <v/>
      </c>
      <c r="L234" s="26" t="str">
        <f aca="false">IF($J234&lt;&gt;"Realizada","",IF($K234&lt;=0,"No prazo",IF($K234&lt;=7,"Até 7 dias",IF($K234&lt;=30,"Até 30 dias","Acima de 30"))))</f>
        <v/>
      </c>
      <c r="M234" s="26" t="str">
        <f aca="false">IF($C234="","",COUNTIFS($G$3:$G234,$G234))</f>
        <v/>
      </c>
      <c r="N234" s="26" t="str">
        <f aca="false">IF($C234="","",$G234&amp;"|"&amp;$M234)</f>
        <v/>
      </c>
    </row>
    <row r="235" customFormat="false" ht="18" hidden="false" customHeight="true" outlineLevel="0" collapsed="false">
      <c r="A235" s="26" t="n">
        <v>10</v>
      </c>
      <c r="B235" s="26" t="n">
        <v>17</v>
      </c>
      <c r="C235" s="26" t="str">
        <f aca="false">IF(INDEX(Planos!$B$3:$B$27,10)="","",IF(17&gt;INDEX(Planos!$G$3:$G$27,10),"",INDEX(Planos!$B$3:$B$27,10)))</f>
        <v/>
      </c>
      <c r="D235" s="40" t="str">
        <f aca="false">IF($C235="","",IFERROR(INDEX(Ativos!$B$3:$B$42,MATCH($C235,Ativos!$A$3:$A$42,0)),""))</f>
        <v/>
      </c>
      <c r="E235" s="40" t="str">
        <f aca="false">IF($C235="","",INDEX(Planos!$C$3:$C$27,10))</f>
        <v/>
      </c>
      <c r="F235" s="40" t="str">
        <f aca="false">IF($C235="","",INDEX(Planos!$D$3:$D$27,10))</f>
        <v/>
      </c>
      <c r="G235" s="41" t="n">
        <f aca="false">IF($C235="",0,INDEX(Planos!$F$3:$F$27,10)+(17-1)*INDEX(Planos!$E$3:$E$27,10))</f>
        <v>0</v>
      </c>
      <c r="H235" s="40" t="str">
        <f aca="false">IF($C235="","",INDEX(Planos!$H$3:$H$27,10))</f>
        <v/>
      </c>
      <c r="I235" s="41" t="str">
        <f aca="false">IF($C235="","",IF(INDEX(Planos!$J$3:$AG$27,$A235,$B235)=0,"",INDEX(Planos!$J$3:$AG$27,$A235,$B235)))</f>
        <v/>
      </c>
      <c r="J235" s="26" t="str">
        <f aca="false">IF($C235="","",IF($I235&lt;&gt;"","Realizada",IF($G235&lt;INT(Parâmetros!$C$4),"Atrasada","Agendada")))</f>
        <v/>
      </c>
      <c r="K235" s="42" t="str">
        <f aca="false">IF($C235="","",IF($I235&lt;&gt;"",$I235-$G235,IF($J235="Atrasada",INT(Parâmetros!$C$4)-$G235,"")))</f>
        <v/>
      </c>
      <c r="L235" s="26" t="str">
        <f aca="false">IF($J235&lt;&gt;"Realizada","",IF($K235&lt;=0,"No prazo",IF($K235&lt;=7,"Até 7 dias",IF($K235&lt;=30,"Até 30 dias","Acima de 30"))))</f>
        <v/>
      </c>
      <c r="M235" s="26" t="str">
        <f aca="false">IF($C235="","",COUNTIFS($G$3:$G235,$G235))</f>
        <v/>
      </c>
      <c r="N235" s="26" t="str">
        <f aca="false">IF($C235="","",$G235&amp;"|"&amp;$M235)</f>
        <v/>
      </c>
    </row>
    <row r="236" customFormat="false" ht="18" hidden="false" customHeight="true" outlineLevel="0" collapsed="false">
      <c r="A236" s="26" t="n">
        <v>10</v>
      </c>
      <c r="B236" s="26" t="n">
        <v>18</v>
      </c>
      <c r="C236" s="26" t="str">
        <f aca="false">IF(INDEX(Planos!$B$3:$B$27,10)="","",IF(18&gt;INDEX(Planos!$G$3:$G$27,10),"",INDEX(Planos!$B$3:$B$27,10)))</f>
        <v/>
      </c>
      <c r="D236" s="40" t="str">
        <f aca="false">IF($C236="","",IFERROR(INDEX(Ativos!$B$3:$B$42,MATCH($C236,Ativos!$A$3:$A$42,0)),""))</f>
        <v/>
      </c>
      <c r="E236" s="40" t="str">
        <f aca="false">IF($C236="","",INDEX(Planos!$C$3:$C$27,10))</f>
        <v/>
      </c>
      <c r="F236" s="40" t="str">
        <f aca="false">IF($C236="","",INDEX(Planos!$D$3:$D$27,10))</f>
        <v/>
      </c>
      <c r="G236" s="41" t="n">
        <f aca="false">IF($C236="",0,INDEX(Planos!$F$3:$F$27,10)+(18-1)*INDEX(Planos!$E$3:$E$27,10))</f>
        <v>0</v>
      </c>
      <c r="H236" s="40" t="str">
        <f aca="false">IF($C236="","",INDEX(Planos!$H$3:$H$27,10))</f>
        <v/>
      </c>
      <c r="I236" s="41" t="str">
        <f aca="false">IF($C236="","",IF(INDEX(Planos!$J$3:$AG$27,$A236,$B236)=0,"",INDEX(Planos!$J$3:$AG$27,$A236,$B236)))</f>
        <v/>
      </c>
      <c r="J236" s="26" t="str">
        <f aca="false">IF($C236="","",IF($I236&lt;&gt;"","Realizada",IF($G236&lt;INT(Parâmetros!$C$4),"Atrasada","Agendada")))</f>
        <v/>
      </c>
      <c r="K236" s="42" t="str">
        <f aca="false">IF($C236="","",IF($I236&lt;&gt;"",$I236-$G236,IF($J236="Atrasada",INT(Parâmetros!$C$4)-$G236,"")))</f>
        <v/>
      </c>
      <c r="L236" s="26" t="str">
        <f aca="false">IF($J236&lt;&gt;"Realizada","",IF($K236&lt;=0,"No prazo",IF($K236&lt;=7,"Até 7 dias",IF($K236&lt;=30,"Até 30 dias","Acima de 30"))))</f>
        <v/>
      </c>
      <c r="M236" s="26" t="str">
        <f aca="false">IF($C236="","",COUNTIFS($G$3:$G236,$G236))</f>
        <v/>
      </c>
      <c r="N236" s="26" t="str">
        <f aca="false">IF($C236="","",$G236&amp;"|"&amp;$M236)</f>
        <v/>
      </c>
    </row>
    <row r="237" customFormat="false" ht="18" hidden="false" customHeight="true" outlineLevel="0" collapsed="false">
      <c r="A237" s="26" t="n">
        <v>10</v>
      </c>
      <c r="B237" s="26" t="n">
        <v>19</v>
      </c>
      <c r="C237" s="26" t="str">
        <f aca="false">IF(INDEX(Planos!$B$3:$B$27,10)="","",IF(19&gt;INDEX(Planos!$G$3:$G$27,10),"",INDEX(Planos!$B$3:$B$27,10)))</f>
        <v/>
      </c>
      <c r="D237" s="40" t="str">
        <f aca="false">IF($C237="","",IFERROR(INDEX(Ativos!$B$3:$B$42,MATCH($C237,Ativos!$A$3:$A$42,0)),""))</f>
        <v/>
      </c>
      <c r="E237" s="40" t="str">
        <f aca="false">IF($C237="","",INDEX(Planos!$C$3:$C$27,10))</f>
        <v/>
      </c>
      <c r="F237" s="40" t="str">
        <f aca="false">IF($C237="","",INDEX(Planos!$D$3:$D$27,10))</f>
        <v/>
      </c>
      <c r="G237" s="41" t="n">
        <f aca="false">IF($C237="",0,INDEX(Planos!$F$3:$F$27,10)+(19-1)*INDEX(Planos!$E$3:$E$27,10))</f>
        <v>0</v>
      </c>
      <c r="H237" s="40" t="str">
        <f aca="false">IF($C237="","",INDEX(Planos!$H$3:$H$27,10))</f>
        <v/>
      </c>
      <c r="I237" s="41" t="str">
        <f aca="false">IF($C237="","",IF(INDEX(Planos!$J$3:$AG$27,$A237,$B237)=0,"",INDEX(Planos!$J$3:$AG$27,$A237,$B237)))</f>
        <v/>
      </c>
      <c r="J237" s="26" t="str">
        <f aca="false">IF($C237="","",IF($I237&lt;&gt;"","Realizada",IF($G237&lt;INT(Parâmetros!$C$4),"Atrasada","Agendada")))</f>
        <v/>
      </c>
      <c r="K237" s="42" t="str">
        <f aca="false">IF($C237="","",IF($I237&lt;&gt;"",$I237-$G237,IF($J237="Atrasada",INT(Parâmetros!$C$4)-$G237,"")))</f>
        <v/>
      </c>
      <c r="L237" s="26" t="str">
        <f aca="false">IF($J237&lt;&gt;"Realizada","",IF($K237&lt;=0,"No prazo",IF($K237&lt;=7,"Até 7 dias",IF($K237&lt;=30,"Até 30 dias","Acima de 30"))))</f>
        <v/>
      </c>
      <c r="M237" s="26" t="str">
        <f aca="false">IF($C237="","",COUNTIFS($G$3:$G237,$G237))</f>
        <v/>
      </c>
      <c r="N237" s="26" t="str">
        <f aca="false">IF($C237="","",$G237&amp;"|"&amp;$M237)</f>
        <v/>
      </c>
    </row>
    <row r="238" customFormat="false" ht="18" hidden="false" customHeight="true" outlineLevel="0" collapsed="false">
      <c r="A238" s="26" t="n">
        <v>10</v>
      </c>
      <c r="B238" s="26" t="n">
        <v>20</v>
      </c>
      <c r="C238" s="26" t="str">
        <f aca="false">IF(INDEX(Planos!$B$3:$B$27,10)="","",IF(20&gt;INDEX(Planos!$G$3:$G$27,10),"",INDEX(Planos!$B$3:$B$27,10)))</f>
        <v/>
      </c>
      <c r="D238" s="40" t="str">
        <f aca="false">IF($C238="","",IFERROR(INDEX(Ativos!$B$3:$B$42,MATCH($C238,Ativos!$A$3:$A$42,0)),""))</f>
        <v/>
      </c>
      <c r="E238" s="40" t="str">
        <f aca="false">IF($C238="","",INDEX(Planos!$C$3:$C$27,10))</f>
        <v/>
      </c>
      <c r="F238" s="40" t="str">
        <f aca="false">IF($C238="","",INDEX(Planos!$D$3:$D$27,10))</f>
        <v/>
      </c>
      <c r="G238" s="41" t="n">
        <f aca="false">IF($C238="",0,INDEX(Planos!$F$3:$F$27,10)+(20-1)*INDEX(Planos!$E$3:$E$27,10))</f>
        <v>0</v>
      </c>
      <c r="H238" s="40" t="str">
        <f aca="false">IF($C238="","",INDEX(Planos!$H$3:$H$27,10))</f>
        <v/>
      </c>
      <c r="I238" s="41" t="str">
        <f aca="false">IF($C238="","",IF(INDEX(Planos!$J$3:$AG$27,$A238,$B238)=0,"",INDEX(Planos!$J$3:$AG$27,$A238,$B238)))</f>
        <v/>
      </c>
      <c r="J238" s="26" t="str">
        <f aca="false">IF($C238="","",IF($I238&lt;&gt;"","Realizada",IF($G238&lt;INT(Parâmetros!$C$4),"Atrasada","Agendada")))</f>
        <v/>
      </c>
      <c r="K238" s="42" t="str">
        <f aca="false">IF($C238="","",IF($I238&lt;&gt;"",$I238-$G238,IF($J238="Atrasada",INT(Parâmetros!$C$4)-$G238,"")))</f>
        <v/>
      </c>
      <c r="L238" s="26" t="str">
        <f aca="false">IF($J238&lt;&gt;"Realizada","",IF($K238&lt;=0,"No prazo",IF($K238&lt;=7,"Até 7 dias",IF($K238&lt;=30,"Até 30 dias","Acima de 30"))))</f>
        <v/>
      </c>
      <c r="M238" s="26" t="str">
        <f aca="false">IF($C238="","",COUNTIFS($G$3:$G238,$G238))</f>
        <v/>
      </c>
      <c r="N238" s="26" t="str">
        <f aca="false">IF($C238="","",$G238&amp;"|"&amp;$M238)</f>
        <v/>
      </c>
    </row>
    <row r="239" customFormat="false" ht="18" hidden="false" customHeight="true" outlineLevel="0" collapsed="false">
      <c r="A239" s="26" t="n">
        <v>10</v>
      </c>
      <c r="B239" s="26" t="n">
        <v>21</v>
      </c>
      <c r="C239" s="26" t="str">
        <f aca="false">IF(INDEX(Planos!$B$3:$B$27,10)="","",IF(21&gt;INDEX(Planos!$G$3:$G$27,10),"",INDEX(Planos!$B$3:$B$27,10)))</f>
        <v/>
      </c>
      <c r="D239" s="40" t="str">
        <f aca="false">IF($C239="","",IFERROR(INDEX(Ativos!$B$3:$B$42,MATCH($C239,Ativos!$A$3:$A$42,0)),""))</f>
        <v/>
      </c>
      <c r="E239" s="40" t="str">
        <f aca="false">IF($C239="","",INDEX(Planos!$C$3:$C$27,10))</f>
        <v/>
      </c>
      <c r="F239" s="40" t="str">
        <f aca="false">IF($C239="","",INDEX(Planos!$D$3:$D$27,10))</f>
        <v/>
      </c>
      <c r="G239" s="41" t="n">
        <f aca="false">IF($C239="",0,INDEX(Planos!$F$3:$F$27,10)+(21-1)*INDEX(Planos!$E$3:$E$27,10))</f>
        <v>0</v>
      </c>
      <c r="H239" s="40" t="str">
        <f aca="false">IF($C239="","",INDEX(Planos!$H$3:$H$27,10))</f>
        <v/>
      </c>
      <c r="I239" s="41" t="str">
        <f aca="false">IF($C239="","",IF(INDEX(Planos!$J$3:$AG$27,$A239,$B239)=0,"",INDEX(Planos!$J$3:$AG$27,$A239,$B239)))</f>
        <v/>
      </c>
      <c r="J239" s="26" t="str">
        <f aca="false">IF($C239="","",IF($I239&lt;&gt;"","Realizada",IF($G239&lt;INT(Parâmetros!$C$4),"Atrasada","Agendada")))</f>
        <v/>
      </c>
      <c r="K239" s="42" t="str">
        <f aca="false">IF($C239="","",IF($I239&lt;&gt;"",$I239-$G239,IF($J239="Atrasada",INT(Parâmetros!$C$4)-$G239,"")))</f>
        <v/>
      </c>
      <c r="L239" s="26" t="str">
        <f aca="false">IF($J239&lt;&gt;"Realizada","",IF($K239&lt;=0,"No prazo",IF($K239&lt;=7,"Até 7 dias",IF($K239&lt;=30,"Até 30 dias","Acima de 30"))))</f>
        <v/>
      </c>
      <c r="M239" s="26" t="str">
        <f aca="false">IF($C239="","",COUNTIFS($G$3:$G239,$G239))</f>
        <v/>
      </c>
      <c r="N239" s="26" t="str">
        <f aca="false">IF($C239="","",$G239&amp;"|"&amp;$M239)</f>
        <v/>
      </c>
    </row>
    <row r="240" customFormat="false" ht="18" hidden="false" customHeight="true" outlineLevel="0" collapsed="false">
      <c r="A240" s="26" t="n">
        <v>10</v>
      </c>
      <c r="B240" s="26" t="n">
        <v>22</v>
      </c>
      <c r="C240" s="26" t="str">
        <f aca="false">IF(INDEX(Planos!$B$3:$B$27,10)="","",IF(22&gt;INDEX(Planos!$G$3:$G$27,10),"",INDEX(Planos!$B$3:$B$27,10)))</f>
        <v/>
      </c>
      <c r="D240" s="40" t="str">
        <f aca="false">IF($C240="","",IFERROR(INDEX(Ativos!$B$3:$B$42,MATCH($C240,Ativos!$A$3:$A$42,0)),""))</f>
        <v/>
      </c>
      <c r="E240" s="40" t="str">
        <f aca="false">IF($C240="","",INDEX(Planos!$C$3:$C$27,10))</f>
        <v/>
      </c>
      <c r="F240" s="40" t="str">
        <f aca="false">IF($C240="","",INDEX(Planos!$D$3:$D$27,10))</f>
        <v/>
      </c>
      <c r="G240" s="41" t="n">
        <f aca="false">IF($C240="",0,INDEX(Planos!$F$3:$F$27,10)+(22-1)*INDEX(Planos!$E$3:$E$27,10))</f>
        <v>0</v>
      </c>
      <c r="H240" s="40" t="str">
        <f aca="false">IF($C240="","",INDEX(Planos!$H$3:$H$27,10))</f>
        <v/>
      </c>
      <c r="I240" s="41" t="str">
        <f aca="false">IF($C240="","",IF(INDEX(Planos!$J$3:$AG$27,$A240,$B240)=0,"",INDEX(Planos!$J$3:$AG$27,$A240,$B240)))</f>
        <v/>
      </c>
      <c r="J240" s="26" t="str">
        <f aca="false">IF($C240="","",IF($I240&lt;&gt;"","Realizada",IF($G240&lt;INT(Parâmetros!$C$4),"Atrasada","Agendada")))</f>
        <v/>
      </c>
      <c r="K240" s="42" t="str">
        <f aca="false">IF($C240="","",IF($I240&lt;&gt;"",$I240-$G240,IF($J240="Atrasada",INT(Parâmetros!$C$4)-$G240,"")))</f>
        <v/>
      </c>
      <c r="L240" s="26" t="str">
        <f aca="false">IF($J240&lt;&gt;"Realizada","",IF($K240&lt;=0,"No prazo",IF($K240&lt;=7,"Até 7 dias",IF($K240&lt;=30,"Até 30 dias","Acima de 30"))))</f>
        <v/>
      </c>
      <c r="M240" s="26" t="str">
        <f aca="false">IF($C240="","",COUNTIFS($G$3:$G240,$G240))</f>
        <v/>
      </c>
      <c r="N240" s="26" t="str">
        <f aca="false">IF($C240="","",$G240&amp;"|"&amp;$M240)</f>
        <v/>
      </c>
    </row>
    <row r="241" customFormat="false" ht="18" hidden="false" customHeight="true" outlineLevel="0" collapsed="false">
      <c r="A241" s="26" t="n">
        <v>10</v>
      </c>
      <c r="B241" s="26" t="n">
        <v>23</v>
      </c>
      <c r="C241" s="26" t="str">
        <f aca="false">IF(INDEX(Planos!$B$3:$B$27,10)="","",IF(23&gt;INDEX(Planos!$G$3:$G$27,10),"",INDEX(Planos!$B$3:$B$27,10)))</f>
        <v/>
      </c>
      <c r="D241" s="40" t="str">
        <f aca="false">IF($C241="","",IFERROR(INDEX(Ativos!$B$3:$B$42,MATCH($C241,Ativos!$A$3:$A$42,0)),""))</f>
        <v/>
      </c>
      <c r="E241" s="40" t="str">
        <f aca="false">IF($C241="","",INDEX(Planos!$C$3:$C$27,10))</f>
        <v/>
      </c>
      <c r="F241" s="40" t="str">
        <f aca="false">IF($C241="","",INDEX(Planos!$D$3:$D$27,10))</f>
        <v/>
      </c>
      <c r="G241" s="41" t="n">
        <f aca="false">IF($C241="",0,INDEX(Planos!$F$3:$F$27,10)+(23-1)*INDEX(Planos!$E$3:$E$27,10))</f>
        <v>0</v>
      </c>
      <c r="H241" s="40" t="str">
        <f aca="false">IF($C241="","",INDEX(Planos!$H$3:$H$27,10))</f>
        <v/>
      </c>
      <c r="I241" s="41" t="str">
        <f aca="false">IF($C241="","",IF(INDEX(Planos!$J$3:$AG$27,$A241,$B241)=0,"",INDEX(Planos!$J$3:$AG$27,$A241,$B241)))</f>
        <v/>
      </c>
      <c r="J241" s="26" t="str">
        <f aca="false">IF($C241="","",IF($I241&lt;&gt;"","Realizada",IF($G241&lt;INT(Parâmetros!$C$4),"Atrasada","Agendada")))</f>
        <v/>
      </c>
      <c r="K241" s="42" t="str">
        <f aca="false">IF($C241="","",IF($I241&lt;&gt;"",$I241-$G241,IF($J241="Atrasada",INT(Parâmetros!$C$4)-$G241,"")))</f>
        <v/>
      </c>
      <c r="L241" s="26" t="str">
        <f aca="false">IF($J241&lt;&gt;"Realizada","",IF($K241&lt;=0,"No prazo",IF($K241&lt;=7,"Até 7 dias",IF($K241&lt;=30,"Até 30 dias","Acima de 30"))))</f>
        <v/>
      </c>
      <c r="M241" s="26" t="str">
        <f aca="false">IF($C241="","",COUNTIFS($G$3:$G241,$G241))</f>
        <v/>
      </c>
      <c r="N241" s="26" t="str">
        <f aca="false">IF($C241="","",$G241&amp;"|"&amp;$M241)</f>
        <v/>
      </c>
    </row>
    <row r="242" customFormat="false" ht="18" hidden="false" customHeight="true" outlineLevel="0" collapsed="false">
      <c r="A242" s="26" t="n">
        <v>10</v>
      </c>
      <c r="B242" s="26" t="n">
        <v>24</v>
      </c>
      <c r="C242" s="26" t="str">
        <f aca="false">IF(INDEX(Planos!$B$3:$B$27,10)="","",IF(24&gt;INDEX(Planos!$G$3:$G$27,10),"",INDEX(Planos!$B$3:$B$27,10)))</f>
        <v/>
      </c>
      <c r="D242" s="40" t="str">
        <f aca="false">IF($C242="","",IFERROR(INDEX(Ativos!$B$3:$B$42,MATCH($C242,Ativos!$A$3:$A$42,0)),""))</f>
        <v/>
      </c>
      <c r="E242" s="40" t="str">
        <f aca="false">IF($C242="","",INDEX(Planos!$C$3:$C$27,10))</f>
        <v/>
      </c>
      <c r="F242" s="40" t="str">
        <f aca="false">IF($C242="","",INDEX(Planos!$D$3:$D$27,10))</f>
        <v/>
      </c>
      <c r="G242" s="41" t="n">
        <f aca="false">IF($C242="",0,INDEX(Planos!$F$3:$F$27,10)+(24-1)*INDEX(Planos!$E$3:$E$27,10))</f>
        <v>0</v>
      </c>
      <c r="H242" s="40" t="str">
        <f aca="false">IF($C242="","",INDEX(Planos!$H$3:$H$27,10))</f>
        <v/>
      </c>
      <c r="I242" s="41" t="str">
        <f aca="false">IF($C242="","",IF(INDEX(Planos!$J$3:$AG$27,$A242,$B242)=0,"",INDEX(Planos!$J$3:$AG$27,$A242,$B242)))</f>
        <v/>
      </c>
      <c r="J242" s="26" t="str">
        <f aca="false">IF($C242="","",IF($I242&lt;&gt;"","Realizada",IF($G242&lt;INT(Parâmetros!$C$4),"Atrasada","Agendada")))</f>
        <v/>
      </c>
      <c r="K242" s="42" t="str">
        <f aca="false">IF($C242="","",IF($I242&lt;&gt;"",$I242-$G242,IF($J242="Atrasada",INT(Parâmetros!$C$4)-$G242,"")))</f>
        <v/>
      </c>
      <c r="L242" s="26" t="str">
        <f aca="false">IF($J242&lt;&gt;"Realizada","",IF($K242&lt;=0,"No prazo",IF($K242&lt;=7,"Até 7 dias",IF($K242&lt;=30,"Até 30 dias","Acima de 30"))))</f>
        <v/>
      </c>
      <c r="M242" s="26" t="str">
        <f aca="false">IF($C242="","",COUNTIFS($G$3:$G242,$G242))</f>
        <v/>
      </c>
      <c r="N242" s="26" t="str">
        <f aca="false">IF($C242="","",$G242&amp;"|"&amp;$M242)</f>
        <v/>
      </c>
    </row>
    <row r="243" customFormat="false" ht="18" hidden="false" customHeight="true" outlineLevel="0" collapsed="false">
      <c r="A243" s="26" t="n">
        <v>11</v>
      </c>
      <c r="B243" s="26" t="n">
        <v>1</v>
      </c>
      <c r="C243" s="26" t="str">
        <f aca="false">IF(INDEX(Planos!$B$3:$B$27,11)="","",IF(1&gt;INDEX(Planos!$G$3:$G$27,11),"",INDEX(Planos!$B$3:$B$27,11)))</f>
        <v>FR-001</v>
      </c>
      <c r="D243" s="40" t="str">
        <f aca="false">IF($C243="","",IFERROR(INDEX(Ativos!$B$3:$B$42,MATCH($C243,Ativos!$A$3:$A$42,0)),""))</f>
        <v>Fresadora ferramenteira</v>
      </c>
      <c r="E243" s="40" t="str">
        <f aca="false">IF($C243="","",INDEX(Planos!$C$3:$C$27,11))</f>
        <v>Preventiva mensal — inspeção geral</v>
      </c>
      <c r="F243" s="40" t="str">
        <f aca="false">IF($C243="","",INDEX(Planos!$D$3:$D$27,11))</f>
        <v>Manutenção preventiva</v>
      </c>
      <c r="G243" s="41" t="n">
        <f aca="false">IF($C243="",0,INDEX(Planos!$F$3:$F$27,11)+(1-1)*INDEX(Planos!$E$3:$E$27,11))</f>
        <v>46230</v>
      </c>
      <c r="H243" s="40" t="str">
        <f aca="false">IF($C243="","",INDEX(Planos!$H$3:$H$27,11))</f>
        <v>Rafael Lima</v>
      </c>
      <c r="I243" s="41" t="str">
        <f aca="false">IF($C243="","",IF(INDEX(Planos!$J$3:$AG$27,$A243,$B243)=0,"",INDEX(Planos!$J$3:$AG$27,$A243,$B243)))</f>
        <v/>
      </c>
      <c r="J243" s="26" t="str">
        <f aca="false">IF($C243="","",IF($I243&lt;&gt;"","Realizada",IF($G243&lt;INT(Parâmetros!$C$4),"Atrasada","Agendada")))</f>
        <v>Atrasada</v>
      </c>
      <c r="K243" s="42" t="n">
        <f aca="false">IF($C243="","",IF($I243&lt;&gt;"",$I243-$G243,IF($J243="Atrasada",INT(Parâmetros!$C$4)-$G243,"")))</f>
        <v>3</v>
      </c>
      <c r="L243" s="26" t="str">
        <f aca="false">IF($J243&lt;&gt;"Realizada","",IF($K243&lt;=0,"No prazo",IF($K243&lt;=7,"Até 7 dias",IF($K243&lt;=30,"Até 30 dias","Acima de 30"))))</f>
        <v/>
      </c>
      <c r="M243" s="26" t="n">
        <f aca="false">IF($C243="","",COUNTIFS($G$3:$G243,$G243))</f>
        <v>1</v>
      </c>
      <c r="N243" s="26" t="str">
        <f aca="false">IF($C243="","",$G243&amp;"|"&amp;$M243)</f>
        <v>46230|1</v>
      </c>
    </row>
    <row r="244" customFormat="false" ht="18" hidden="false" customHeight="true" outlineLevel="0" collapsed="false">
      <c r="A244" s="26" t="n">
        <v>11</v>
      </c>
      <c r="B244" s="26" t="n">
        <v>2</v>
      </c>
      <c r="C244" s="26" t="str">
        <f aca="false">IF(INDEX(Planos!$B$3:$B$27,11)="","",IF(2&gt;INDEX(Planos!$G$3:$G$27,11),"",INDEX(Planos!$B$3:$B$27,11)))</f>
        <v>FR-001</v>
      </c>
      <c r="D244" s="40" t="str">
        <f aca="false">IF($C244="","",IFERROR(INDEX(Ativos!$B$3:$B$42,MATCH($C244,Ativos!$A$3:$A$42,0)),""))</f>
        <v>Fresadora ferramenteira</v>
      </c>
      <c r="E244" s="40" t="str">
        <f aca="false">IF($C244="","",INDEX(Planos!$C$3:$C$27,11))</f>
        <v>Preventiva mensal — inspeção geral</v>
      </c>
      <c r="F244" s="40" t="str">
        <f aca="false">IF($C244="","",INDEX(Planos!$D$3:$D$27,11))</f>
        <v>Manutenção preventiva</v>
      </c>
      <c r="G244" s="41" t="n">
        <f aca="false">IF($C244="",0,INDEX(Planos!$F$3:$F$27,11)+(2-1)*INDEX(Planos!$E$3:$E$27,11))</f>
        <v>46260</v>
      </c>
      <c r="H244" s="40" t="str">
        <f aca="false">IF($C244="","",INDEX(Planos!$H$3:$H$27,11))</f>
        <v>Rafael Lima</v>
      </c>
      <c r="I244" s="41" t="str">
        <f aca="false">IF($C244="","",IF(INDEX(Planos!$J$3:$AG$27,$A244,$B244)=0,"",INDEX(Planos!$J$3:$AG$27,$A244,$B244)))</f>
        <v/>
      </c>
      <c r="J244" s="26" t="str">
        <f aca="false">IF($C244="","",IF($I244&lt;&gt;"","Realizada",IF($G244&lt;INT(Parâmetros!$C$4),"Atrasada","Agendada")))</f>
        <v>Agendada</v>
      </c>
      <c r="K244" s="42" t="str">
        <f aca="false">IF($C244="","",IF($I244&lt;&gt;"",$I244-$G244,IF($J244="Atrasada",INT(Parâmetros!$C$4)-$G244,"")))</f>
        <v/>
      </c>
      <c r="L244" s="26" t="str">
        <f aca="false">IF($J244&lt;&gt;"Realizada","",IF($K244&lt;=0,"No prazo",IF($K244&lt;=7,"Até 7 dias",IF($K244&lt;=30,"Até 30 dias","Acima de 30"))))</f>
        <v/>
      </c>
      <c r="M244" s="26" t="n">
        <f aca="false">IF($C244="","",COUNTIFS($G$3:$G244,$G244))</f>
        <v>1</v>
      </c>
      <c r="N244" s="26" t="str">
        <f aca="false">IF($C244="","",$G244&amp;"|"&amp;$M244)</f>
        <v>46260|1</v>
      </c>
    </row>
    <row r="245" customFormat="false" ht="18" hidden="false" customHeight="true" outlineLevel="0" collapsed="false">
      <c r="A245" s="26" t="n">
        <v>11</v>
      </c>
      <c r="B245" s="26" t="n">
        <v>3</v>
      </c>
      <c r="C245" s="26" t="str">
        <f aca="false">IF(INDEX(Planos!$B$3:$B$27,11)="","",IF(3&gt;INDEX(Planos!$G$3:$G$27,11),"",INDEX(Planos!$B$3:$B$27,11)))</f>
        <v>FR-001</v>
      </c>
      <c r="D245" s="40" t="str">
        <f aca="false">IF($C245="","",IFERROR(INDEX(Ativos!$B$3:$B$42,MATCH($C245,Ativos!$A$3:$A$42,0)),""))</f>
        <v>Fresadora ferramenteira</v>
      </c>
      <c r="E245" s="40" t="str">
        <f aca="false">IF($C245="","",INDEX(Planos!$C$3:$C$27,11))</f>
        <v>Preventiva mensal — inspeção geral</v>
      </c>
      <c r="F245" s="40" t="str">
        <f aca="false">IF($C245="","",INDEX(Planos!$D$3:$D$27,11))</f>
        <v>Manutenção preventiva</v>
      </c>
      <c r="G245" s="41" t="n">
        <f aca="false">IF($C245="",0,INDEX(Planos!$F$3:$F$27,11)+(3-1)*INDEX(Planos!$E$3:$E$27,11))</f>
        <v>46290</v>
      </c>
      <c r="H245" s="40" t="str">
        <f aca="false">IF($C245="","",INDEX(Planos!$H$3:$H$27,11))</f>
        <v>Rafael Lima</v>
      </c>
      <c r="I245" s="41" t="str">
        <f aca="false">IF($C245="","",IF(INDEX(Planos!$J$3:$AG$27,$A245,$B245)=0,"",INDEX(Planos!$J$3:$AG$27,$A245,$B245)))</f>
        <v/>
      </c>
      <c r="J245" s="26" t="str">
        <f aca="false">IF($C245="","",IF($I245&lt;&gt;"","Realizada",IF($G245&lt;INT(Parâmetros!$C$4),"Atrasada","Agendada")))</f>
        <v>Agendada</v>
      </c>
      <c r="K245" s="42" t="str">
        <f aca="false">IF($C245="","",IF($I245&lt;&gt;"",$I245-$G245,IF($J245="Atrasada",INT(Parâmetros!$C$4)-$G245,"")))</f>
        <v/>
      </c>
      <c r="L245" s="26" t="str">
        <f aca="false">IF($J245&lt;&gt;"Realizada","",IF($K245&lt;=0,"No prazo",IF($K245&lt;=7,"Até 7 dias",IF($K245&lt;=30,"Até 30 dias","Acima de 30"))))</f>
        <v/>
      </c>
      <c r="M245" s="26" t="n">
        <f aca="false">IF($C245="","",COUNTIFS($G$3:$G245,$G245))</f>
        <v>1</v>
      </c>
      <c r="N245" s="26" t="str">
        <f aca="false">IF($C245="","",$G245&amp;"|"&amp;$M245)</f>
        <v>46290|1</v>
      </c>
    </row>
    <row r="246" customFormat="false" ht="18" hidden="false" customHeight="true" outlineLevel="0" collapsed="false">
      <c r="A246" s="26" t="n">
        <v>11</v>
      </c>
      <c r="B246" s="26" t="n">
        <v>4</v>
      </c>
      <c r="C246" s="26" t="str">
        <f aca="false">IF(INDEX(Planos!$B$3:$B$27,11)="","",IF(4&gt;INDEX(Planos!$G$3:$G$27,11),"",INDEX(Planos!$B$3:$B$27,11)))</f>
        <v>FR-001</v>
      </c>
      <c r="D246" s="40" t="str">
        <f aca="false">IF($C246="","",IFERROR(INDEX(Ativos!$B$3:$B$42,MATCH($C246,Ativos!$A$3:$A$42,0)),""))</f>
        <v>Fresadora ferramenteira</v>
      </c>
      <c r="E246" s="40" t="str">
        <f aca="false">IF($C246="","",INDEX(Planos!$C$3:$C$27,11))</f>
        <v>Preventiva mensal — inspeção geral</v>
      </c>
      <c r="F246" s="40" t="str">
        <f aca="false">IF($C246="","",INDEX(Planos!$D$3:$D$27,11))</f>
        <v>Manutenção preventiva</v>
      </c>
      <c r="G246" s="41" t="n">
        <f aca="false">IF($C246="",0,INDEX(Planos!$F$3:$F$27,11)+(4-1)*INDEX(Planos!$E$3:$E$27,11))</f>
        <v>46320</v>
      </c>
      <c r="H246" s="40" t="str">
        <f aca="false">IF($C246="","",INDEX(Planos!$H$3:$H$27,11))</f>
        <v>Rafael Lima</v>
      </c>
      <c r="I246" s="41" t="str">
        <f aca="false">IF($C246="","",IF(INDEX(Planos!$J$3:$AG$27,$A246,$B246)=0,"",INDEX(Planos!$J$3:$AG$27,$A246,$B246)))</f>
        <v/>
      </c>
      <c r="J246" s="26" t="str">
        <f aca="false">IF($C246="","",IF($I246&lt;&gt;"","Realizada",IF($G246&lt;INT(Parâmetros!$C$4),"Atrasada","Agendada")))</f>
        <v>Agendada</v>
      </c>
      <c r="K246" s="42" t="str">
        <f aca="false">IF($C246="","",IF($I246&lt;&gt;"",$I246-$G246,IF($J246="Atrasada",INT(Parâmetros!$C$4)-$G246,"")))</f>
        <v/>
      </c>
      <c r="L246" s="26" t="str">
        <f aca="false">IF($J246&lt;&gt;"Realizada","",IF($K246&lt;=0,"No prazo",IF($K246&lt;=7,"Até 7 dias",IF($K246&lt;=30,"Até 30 dias","Acima de 30"))))</f>
        <v/>
      </c>
      <c r="M246" s="26" t="n">
        <f aca="false">IF($C246="","",COUNTIFS($G$3:$G246,$G246))</f>
        <v>1</v>
      </c>
      <c r="N246" s="26" t="str">
        <f aca="false">IF($C246="","",$G246&amp;"|"&amp;$M246)</f>
        <v>46320|1</v>
      </c>
    </row>
    <row r="247" customFormat="false" ht="18" hidden="false" customHeight="true" outlineLevel="0" collapsed="false">
      <c r="A247" s="26" t="n">
        <v>11</v>
      </c>
      <c r="B247" s="26" t="n">
        <v>5</v>
      </c>
      <c r="C247" s="26" t="str">
        <f aca="false">IF(INDEX(Planos!$B$3:$B$27,11)="","",IF(5&gt;INDEX(Planos!$G$3:$G$27,11),"",INDEX(Planos!$B$3:$B$27,11)))</f>
        <v>FR-001</v>
      </c>
      <c r="D247" s="40" t="str">
        <f aca="false">IF($C247="","",IFERROR(INDEX(Ativos!$B$3:$B$42,MATCH($C247,Ativos!$A$3:$A$42,0)),""))</f>
        <v>Fresadora ferramenteira</v>
      </c>
      <c r="E247" s="40" t="str">
        <f aca="false">IF($C247="","",INDEX(Planos!$C$3:$C$27,11))</f>
        <v>Preventiva mensal — inspeção geral</v>
      </c>
      <c r="F247" s="40" t="str">
        <f aca="false">IF($C247="","",INDEX(Planos!$D$3:$D$27,11))</f>
        <v>Manutenção preventiva</v>
      </c>
      <c r="G247" s="41" t="n">
        <f aca="false">IF($C247="",0,INDEX(Planos!$F$3:$F$27,11)+(5-1)*INDEX(Planos!$E$3:$E$27,11))</f>
        <v>46350</v>
      </c>
      <c r="H247" s="40" t="str">
        <f aca="false">IF($C247="","",INDEX(Planos!$H$3:$H$27,11))</f>
        <v>Rafael Lima</v>
      </c>
      <c r="I247" s="41" t="str">
        <f aca="false">IF($C247="","",IF(INDEX(Planos!$J$3:$AG$27,$A247,$B247)=0,"",INDEX(Planos!$J$3:$AG$27,$A247,$B247)))</f>
        <v/>
      </c>
      <c r="J247" s="26" t="str">
        <f aca="false">IF($C247="","",IF($I247&lt;&gt;"","Realizada",IF($G247&lt;INT(Parâmetros!$C$4),"Atrasada","Agendada")))</f>
        <v>Agendada</v>
      </c>
      <c r="K247" s="42" t="str">
        <f aca="false">IF($C247="","",IF($I247&lt;&gt;"",$I247-$G247,IF($J247="Atrasada",INT(Parâmetros!$C$4)-$G247,"")))</f>
        <v/>
      </c>
      <c r="L247" s="26" t="str">
        <f aca="false">IF($J247&lt;&gt;"Realizada","",IF($K247&lt;=0,"No prazo",IF($K247&lt;=7,"Até 7 dias",IF($K247&lt;=30,"Até 30 dias","Acima de 30"))))</f>
        <v/>
      </c>
      <c r="M247" s="26" t="n">
        <f aca="false">IF($C247="","",COUNTIFS($G$3:$G247,$G247))</f>
        <v>1</v>
      </c>
      <c r="N247" s="26" t="str">
        <f aca="false">IF($C247="","",$G247&amp;"|"&amp;$M247)</f>
        <v>46350|1</v>
      </c>
    </row>
    <row r="248" customFormat="false" ht="18" hidden="false" customHeight="true" outlineLevel="0" collapsed="false">
      <c r="A248" s="26" t="n">
        <v>11</v>
      </c>
      <c r="B248" s="26" t="n">
        <v>6</v>
      </c>
      <c r="C248" s="26" t="str">
        <f aca="false">IF(INDEX(Planos!$B$3:$B$27,11)="","",IF(6&gt;INDEX(Planos!$G$3:$G$27,11),"",INDEX(Planos!$B$3:$B$27,11)))</f>
        <v>FR-001</v>
      </c>
      <c r="D248" s="40" t="str">
        <f aca="false">IF($C248="","",IFERROR(INDEX(Ativos!$B$3:$B$42,MATCH($C248,Ativos!$A$3:$A$42,0)),""))</f>
        <v>Fresadora ferramenteira</v>
      </c>
      <c r="E248" s="40" t="str">
        <f aca="false">IF($C248="","",INDEX(Planos!$C$3:$C$27,11))</f>
        <v>Preventiva mensal — inspeção geral</v>
      </c>
      <c r="F248" s="40" t="str">
        <f aca="false">IF($C248="","",INDEX(Planos!$D$3:$D$27,11))</f>
        <v>Manutenção preventiva</v>
      </c>
      <c r="G248" s="41" t="n">
        <f aca="false">IF($C248="",0,INDEX(Planos!$F$3:$F$27,11)+(6-1)*INDEX(Planos!$E$3:$E$27,11))</f>
        <v>46380</v>
      </c>
      <c r="H248" s="40" t="str">
        <f aca="false">IF($C248="","",INDEX(Planos!$H$3:$H$27,11))</f>
        <v>Rafael Lima</v>
      </c>
      <c r="I248" s="41" t="str">
        <f aca="false">IF($C248="","",IF(INDEX(Planos!$J$3:$AG$27,$A248,$B248)=0,"",INDEX(Planos!$J$3:$AG$27,$A248,$B248)))</f>
        <v/>
      </c>
      <c r="J248" s="26" t="str">
        <f aca="false">IF($C248="","",IF($I248&lt;&gt;"","Realizada",IF($G248&lt;INT(Parâmetros!$C$4),"Atrasada","Agendada")))</f>
        <v>Agendada</v>
      </c>
      <c r="K248" s="42" t="str">
        <f aca="false">IF($C248="","",IF($I248&lt;&gt;"",$I248-$G248,IF($J248="Atrasada",INT(Parâmetros!$C$4)-$G248,"")))</f>
        <v/>
      </c>
      <c r="L248" s="26" t="str">
        <f aca="false">IF($J248&lt;&gt;"Realizada","",IF($K248&lt;=0,"No prazo",IF($K248&lt;=7,"Até 7 dias",IF($K248&lt;=30,"Até 30 dias","Acima de 30"))))</f>
        <v/>
      </c>
      <c r="M248" s="26" t="n">
        <f aca="false">IF($C248="","",COUNTIFS($G$3:$G248,$G248))</f>
        <v>1</v>
      </c>
      <c r="N248" s="26" t="str">
        <f aca="false">IF($C248="","",$G248&amp;"|"&amp;$M248)</f>
        <v>46380|1</v>
      </c>
    </row>
    <row r="249" customFormat="false" ht="18" hidden="false" customHeight="true" outlineLevel="0" collapsed="false">
      <c r="A249" s="26" t="n">
        <v>11</v>
      </c>
      <c r="B249" s="26" t="n">
        <v>7</v>
      </c>
      <c r="C249" s="26" t="str">
        <f aca="false">IF(INDEX(Planos!$B$3:$B$27,11)="","",IF(7&gt;INDEX(Planos!$G$3:$G$27,11),"",INDEX(Planos!$B$3:$B$27,11)))</f>
        <v>FR-001</v>
      </c>
      <c r="D249" s="40" t="str">
        <f aca="false">IF($C249="","",IFERROR(INDEX(Ativos!$B$3:$B$42,MATCH($C249,Ativos!$A$3:$A$42,0)),""))</f>
        <v>Fresadora ferramenteira</v>
      </c>
      <c r="E249" s="40" t="str">
        <f aca="false">IF($C249="","",INDEX(Planos!$C$3:$C$27,11))</f>
        <v>Preventiva mensal — inspeção geral</v>
      </c>
      <c r="F249" s="40" t="str">
        <f aca="false">IF($C249="","",INDEX(Planos!$D$3:$D$27,11))</f>
        <v>Manutenção preventiva</v>
      </c>
      <c r="G249" s="41" t="n">
        <f aca="false">IF($C249="",0,INDEX(Planos!$F$3:$F$27,11)+(7-1)*INDEX(Planos!$E$3:$E$27,11))</f>
        <v>46410</v>
      </c>
      <c r="H249" s="40" t="str">
        <f aca="false">IF($C249="","",INDEX(Planos!$H$3:$H$27,11))</f>
        <v>Rafael Lima</v>
      </c>
      <c r="I249" s="41" t="str">
        <f aca="false">IF($C249="","",IF(INDEX(Planos!$J$3:$AG$27,$A249,$B249)=0,"",INDEX(Planos!$J$3:$AG$27,$A249,$B249)))</f>
        <v/>
      </c>
      <c r="J249" s="26" t="str">
        <f aca="false">IF($C249="","",IF($I249&lt;&gt;"","Realizada",IF($G249&lt;INT(Parâmetros!$C$4),"Atrasada","Agendada")))</f>
        <v>Agendada</v>
      </c>
      <c r="K249" s="42" t="str">
        <f aca="false">IF($C249="","",IF($I249&lt;&gt;"",$I249-$G249,IF($J249="Atrasada",INT(Parâmetros!$C$4)-$G249,"")))</f>
        <v/>
      </c>
      <c r="L249" s="26" t="str">
        <f aca="false">IF($J249&lt;&gt;"Realizada","",IF($K249&lt;=0,"No prazo",IF($K249&lt;=7,"Até 7 dias",IF($K249&lt;=30,"Até 30 dias","Acima de 30"))))</f>
        <v/>
      </c>
      <c r="M249" s="26" t="n">
        <f aca="false">IF($C249="","",COUNTIFS($G$3:$G249,$G249))</f>
        <v>1</v>
      </c>
      <c r="N249" s="26" t="str">
        <f aca="false">IF($C249="","",$G249&amp;"|"&amp;$M249)</f>
        <v>46410|1</v>
      </c>
    </row>
    <row r="250" customFormat="false" ht="18" hidden="false" customHeight="true" outlineLevel="0" collapsed="false">
      <c r="A250" s="26" t="n">
        <v>11</v>
      </c>
      <c r="B250" s="26" t="n">
        <v>8</v>
      </c>
      <c r="C250" s="26" t="str">
        <f aca="false">IF(INDEX(Planos!$B$3:$B$27,11)="","",IF(8&gt;INDEX(Planos!$G$3:$G$27,11),"",INDEX(Planos!$B$3:$B$27,11)))</f>
        <v>FR-001</v>
      </c>
      <c r="D250" s="40" t="str">
        <f aca="false">IF($C250="","",IFERROR(INDEX(Ativos!$B$3:$B$42,MATCH($C250,Ativos!$A$3:$A$42,0)),""))</f>
        <v>Fresadora ferramenteira</v>
      </c>
      <c r="E250" s="40" t="str">
        <f aca="false">IF($C250="","",INDEX(Planos!$C$3:$C$27,11))</f>
        <v>Preventiva mensal — inspeção geral</v>
      </c>
      <c r="F250" s="40" t="str">
        <f aca="false">IF($C250="","",INDEX(Planos!$D$3:$D$27,11))</f>
        <v>Manutenção preventiva</v>
      </c>
      <c r="G250" s="41" t="n">
        <f aca="false">IF($C250="",0,INDEX(Planos!$F$3:$F$27,11)+(8-1)*INDEX(Planos!$E$3:$E$27,11))</f>
        <v>46440</v>
      </c>
      <c r="H250" s="40" t="str">
        <f aca="false">IF($C250="","",INDEX(Planos!$H$3:$H$27,11))</f>
        <v>Rafael Lima</v>
      </c>
      <c r="I250" s="41" t="str">
        <f aca="false">IF($C250="","",IF(INDEX(Planos!$J$3:$AG$27,$A250,$B250)=0,"",INDEX(Planos!$J$3:$AG$27,$A250,$B250)))</f>
        <v/>
      </c>
      <c r="J250" s="26" t="str">
        <f aca="false">IF($C250="","",IF($I250&lt;&gt;"","Realizada",IF($G250&lt;INT(Parâmetros!$C$4),"Atrasada","Agendada")))</f>
        <v>Agendada</v>
      </c>
      <c r="K250" s="42" t="str">
        <f aca="false">IF($C250="","",IF($I250&lt;&gt;"",$I250-$G250,IF($J250="Atrasada",INT(Parâmetros!$C$4)-$G250,"")))</f>
        <v/>
      </c>
      <c r="L250" s="26" t="str">
        <f aca="false">IF($J250&lt;&gt;"Realizada","",IF($K250&lt;=0,"No prazo",IF($K250&lt;=7,"Até 7 dias",IF($K250&lt;=30,"Até 30 dias","Acima de 30"))))</f>
        <v/>
      </c>
      <c r="M250" s="26" t="n">
        <f aca="false">IF($C250="","",COUNTIFS($G$3:$G250,$G250))</f>
        <v>1</v>
      </c>
      <c r="N250" s="26" t="str">
        <f aca="false">IF($C250="","",$G250&amp;"|"&amp;$M250)</f>
        <v>46440|1</v>
      </c>
    </row>
    <row r="251" customFormat="false" ht="18" hidden="false" customHeight="true" outlineLevel="0" collapsed="false">
      <c r="A251" s="26" t="n">
        <v>11</v>
      </c>
      <c r="B251" s="26" t="n">
        <v>9</v>
      </c>
      <c r="C251" s="26" t="str">
        <f aca="false">IF(INDEX(Planos!$B$3:$B$27,11)="","",IF(9&gt;INDEX(Planos!$G$3:$G$27,11),"",INDEX(Planos!$B$3:$B$27,11)))</f>
        <v>FR-001</v>
      </c>
      <c r="D251" s="40" t="str">
        <f aca="false">IF($C251="","",IFERROR(INDEX(Ativos!$B$3:$B$42,MATCH($C251,Ativos!$A$3:$A$42,0)),""))</f>
        <v>Fresadora ferramenteira</v>
      </c>
      <c r="E251" s="40" t="str">
        <f aca="false">IF($C251="","",INDEX(Planos!$C$3:$C$27,11))</f>
        <v>Preventiva mensal — inspeção geral</v>
      </c>
      <c r="F251" s="40" t="str">
        <f aca="false">IF($C251="","",INDEX(Planos!$D$3:$D$27,11))</f>
        <v>Manutenção preventiva</v>
      </c>
      <c r="G251" s="41" t="n">
        <f aca="false">IF($C251="",0,INDEX(Planos!$F$3:$F$27,11)+(9-1)*INDEX(Planos!$E$3:$E$27,11))</f>
        <v>46470</v>
      </c>
      <c r="H251" s="40" t="str">
        <f aca="false">IF($C251="","",INDEX(Planos!$H$3:$H$27,11))</f>
        <v>Rafael Lima</v>
      </c>
      <c r="I251" s="41" t="str">
        <f aca="false">IF($C251="","",IF(INDEX(Planos!$J$3:$AG$27,$A251,$B251)=0,"",INDEX(Planos!$J$3:$AG$27,$A251,$B251)))</f>
        <v/>
      </c>
      <c r="J251" s="26" t="str">
        <f aca="false">IF($C251="","",IF($I251&lt;&gt;"","Realizada",IF($G251&lt;INT(Parâmetros!$C$4),"Atrasada","Agendada")))</f>
        <v>Agendada</v>
      </c>
      <c r="K251" s="42" t="str">
        <f aca="false">IF($C251="","",IF($I251&lt;&gt;"",$I251-$G251,IF($J251="Atrasada",INT(Parâmetros!$C$4)-$G251,"")))</f>
        <v/>
      </c>
      <c r="L251" s="26" t="str">
        <f aca="false">IF($J251&lt;&gt;"Realizada","",IF($K251&lt;=0,"No prazo",IF($K251&lt;=7,"Até 7 dias",IF($K251&lt;=30,"Até 30 dias","Acima de 30"))))</f>
        <v/>
      </c>
      <c r="M251" s="26" t="n">
        <f aca="false">IF($C251="","",COUNTIFS($G$3:$G251,$G251))</f>
        <v>1</v>
      </c>
      <c r="N251" s="26" t="str">
        <f aca="false">IF($C251="","",$G251&amp;"|"&amp;$M251)</f>
        <v>46470|1</v>
      </c>
    </row>
    <row r="252" customFormat="false" ht="18" hidden="false" customHeight="true" outlineLevel="0" collapsed="false">
      <c r="A252" s="26" t="n">
        <v>11</v>
      </c>
      <c r="B252" s="26" t="n">
        <v>10</v>
      </c>
      <c r="C252" s="26" t="str">
        <f aca="false">IF(INDEX(Planos!$B$3:$B$27,11)="","",IF(10&gt;INDEX(Planos!$G$3:$G$27,11),"",INDEX(Planos!$B$3:$B$27,11)))</f>
        <v>FR-001</v>
      </c>
      <c r="D252" s="40" t="str">
        <f aca="false">IF($C252="","",IFERROR(INDEX(Ativos!$B$3:$B$42,MATCH($C252,Ativos!$A$3:$A$42,0)),""))</f>
        <v>Fresadora ferramenteira</v>
      </c>
      <c r="E252" s="40" t="str">
        <f aca="false">IF($C252="","",INDEX(Planos!$C$3:$C$27,11))</f>
        <v>Preventiva mensal — inspeção geral</v>
      </c>
      <c r="F252" s="40" t="str">
        <f aca="false">IF($C252="","",INDEX(Planos!$D$3:$D$27,11))</f>
        <v>Manutenção preventiva</v>
      </c>
      <c r="G252" s="41" t="n">
        <f aca="false">IF($C252="",0,INDEX(Planos!$F$3:$F$27,11)+(10-1)*INDEX(Planos!$E$3:$E$27,11))</f>
        <v>46500</v>
      </c>
      <c r="H252" s="40" t="str">
        <f aca="false">IF($C252="","",INDEX(Planos!$H$3:$H$27,11))</f>
        <v>Rafael Lima</v>
      </c>
      <c r="I252" s="41" t="str">
        <f aca="false">IF($C252="","",IF(INDEX(Planos!$J$3:$AG$27,$A252,$B252)=0,"",INDEX(Planos!$J$3:$AG$27,$A252,$B252)))</f>
        <v/>
      </c>
      <c r="J252" s="26" t="str">
        <f aca="false">IF($C252="","",IF($I252&lt;&gt;"","Realizada",IF($G252&lt;INT(Parâmetros!$C$4),"Atrasada","Agendada")))</f>
        <v>Agendada</v>
      </c>
      <c r="K252" s="42" t="str">
        <f aca="false">IF($C252="","",IF($I252&lt;&gt;"",$I252-$G252,IF($J252="Atrasada",INT(Parâmetros!$C$4)-$G252,"")))</f>
        <v/>
      </c>
      <c r="L252" s="26" t="str">
        <f aca="false">IF($J252&lt;&gt;"Realizada","",IF($K252&lt;=0,"No prazo",IF($K252&lt;=7,"Até 7 dias",IF($K252&lt;=30,"Até 30 dias","Acima de 30"))))</f>
        <v/>
      </c>
      <c r="M252" s="26" t="n">
        <f aca="false">IF($C252="","",COUNTIFS($G$3:$G252,$G252))</f>
        <v>1</v>
      </c>
      <c r="N252" s="26" t="str">
        <f aca="false">IF($C252="","",$G252&amp;"|"&amp;$M252)</f>
        <v>46500|1</v>
      </c>
    </row>
    <row r="253" customFormat="false" ht="18" hidden="false" customHeight="true" outlineLevel="0" collapsed="false">
      <c r="A253" s="26" t="n">
        <v>11</v>
      </c>
      <c r="B253" s="26" t="n">
        <v>11</v>
      </c>
      <c r="C253" s="26" t="str">
        <f aca="false">IF(INDEX(Planos!$B$3:$B$27,11)="","",IF(11&gt;INDEX(Planos!$G$3:$G$27,11),"",INDEX(Planos!$B$3:$B$27,11)))</f>
        <v>FR-001</v>
      </c>
      <c r="D253" s="40" t="str">
        <f aca="false">IF($C253="","",IFERROR(INDEX(Ativos!$B$3:$B$42,MATCH($C253,Ativos!$A$3:$A$42,0)),""))</f>
        <v>Fresadora ferramenteira</v>
      </c>
      <c r="E253" s="40" t="str">
        <f aca="false">IF($C253="","",INDEX(Planos!$C$3:$C$27,11))</f>
        <v>Preventiva mensal — inspeção geral</v>
      </c>
      <c r="F253" s="40" t="str">
        <f aca="false">IF($C253="","",INDEX(Planos!$D$3:$D$27,11))</f>
        <v>Manutenção preventiva</v>
      </c>
      <c r="G253" s="41" t="n">
        <f aca="false">IF($C253="",0,INDEX(Planos!$F$3:$F$27,11)+(11-1)*INDEX(Planos!$E$3:$E$27,11))</f>
        <v>46530</v>
      </c>
      <c r="H253" s="40" t="str">
        <f aca="false">IF($C253="","",INDEX(Planos!$H$3:$H$27,11))</f>
        <v>Rafael Lima</v>
      </c>
      <c r="I253" s="41" t="str">
        <f aca="false">IF($C253="","",IF(INDEX(Planos!$J$3:$AG$27,$A253,$B253)=0,"",INDEX(Planos!$J$3:$AG$27,$A253,$B253)))</f>
        <v/>
      </c>
      <c r="J253" s="26" t="str">
        <f aca="false">IF($C253="","",IF($I253&lt;&gt;"","Realizada",IF($G253&lt;INT(Parâmetros!$C$4),"Atrasada","Agendada")))</f>
        <v>Agendada</v>
      </c>
      <c r="K253" s="42" t="str">
        <f aca="false">IF($C253="","",IF($I253&lt;&gt;"",$I253-$G253,IF($J253="Atrasada",INT(Parâmetros!$C$4)-$G253,"")))</f>
        <v/>
      </c>
      <c r="L253" s="26" t="str">
        <f aca="false">IF($J253&lt;&gt;"Realizada","",IF($K253&lt;=0,"No prazo",IF($K253&lt;=7,"Até 7 dias",IF($K253&lt;=30,"Até 30 dias","Acima de 30"))))</f>
        <v/>
      </c>
      <c r="M253" s="26" t="n">
        <f aca="false">IF($C253="","",COUNTIFS($G$3:$G253,$G253))</f>
        <v>1</v>
      </c>
      <c r="N253" s="26" t="str">
        <f aca="false">IF($C253="","",$G253&amp;"|"&amp;$M253)</f>
        <v>46530|1</v>
      </c>
    </row>
    <row r="254" customFormat="false" ht="18" hidden="false" customHeight="true" outlineLevel="0" collapsed="false">
      <c r="A254" s="26" t="n">
        <v>11</v>
      </c>
      <c r="B254" s="26" t="n">
        <v>12</v>
      </c>
      <c r="C254" s="26" t="str">
        <f aca="false">IF(INDEX(Planos!$B$3:$B$27,11)="","",IF(12&gt;INDEX(Planos!$G$3:$G$27,11),"",INDEX(Planos!$B$3:$B$27,11)))</f>
        <v>FR-001</v>
      </c>
      <c r="D254" s="40" t="str">
        <f aca="false">IF($C254="","",IFERROR(INDEX(Ativos!$B$3:$B$42,MATCH($C254,Ativos!$A$3:$A$42,0)),""))</f>
        <v>Fresadora ferramenteira</v>
      </c>
      <c r="E254" s="40" t="str">
        <f aca="false">IF($C254="","",INDEX(Planos!$C$3:$C$27,11))</f>
        <v>Preventiva mensal — inspeção geral</v>
      </c>
      <c r="F254" s="40" t="str">
        <f aca="false">IF($C254="","",INDEX(Planos!$D$3:$D$27,11))</f>
        <v>Manutenção preventiva</v>
      </c>
      <c r="G254" s="41" t="n">
        <f aca="false">IF($C254="",0,INDEX(Planos!$F$3:$F$27,11)+(12-1)*INDEX(Planos!$E$3:$E$27,11))</f>
        <v>46560</v>
      </c>
      <c r="H254" s="40" t="str">
        <f aca="false">IF($C254="","",INDEX(Planos!$H$3:$H$27,11))</f>
        <v>Rafael Lima</v>
      </c>
      <c r="I254" s="41" t="str">
        <f aca="false">IF($C254="","",IF(INDEX(Planos!$J$3:$AG$27,$A254,$B254)=0,"",INDEX(Planos!$J$3:$AG$27,$A254,$B254)))</f>
        <v/>
      </c>
      <c r="J254" s="26" t="str">
        <f aca="false">IF($C254="","",IF($I254&lt;&gt;"","Realizada",IF($G254&lt;INT(Parâmetros!$C$4),"Atrasada","Agendada")))</f>
        <v>Agendada</v>
      </c>
      <c r="K254" s="42" t="str">
        <f aca="false">IF($C254="","",IF($I254&lt;&gt;"",$I254-$G254,IF($J254="Atrasada",INT(Parâmetros!$C$4)-$G254,"")))</f>
        <v/>
      </c>
      <c r="L254" s="26" t="str">
        <f aca="false">IF($J254&lt;&gt;"Realizada","",IF($K254&lt;=0,"No prazo",IF($K254&lt;=7,"Até 7 dias",IF($K254&lt;=30,"Até 30 dias","Acima de 30"))))</f>
        <v/>
      </c>
      <c r="M254" s="26" t="n">
        <f aca="false">IF($C254="","",COUNTIFS($G$3:$G254,$G254))</f>
        <v>1</v>
      </c>
      <c r="N254" s="26" t="str">
        <f aca="false">IF($C254="","",$G254&amp;"|"&amp;$M254)</f>
        <v>46560|1</v>
      </c>
    </row>
    <row r="255" customFormat="false" ht="18" hidden="false" customHeight="true" outlineLevel="0" collapsed="false">
      <c r="A255" s="26" t="n">
        <v>11</v>
      </c>
      <c r="B255" s="26" t="n">
        <v>13</v>
      </c>
      <c r="C255" s="26" t="str">
        <f aca="false">IF(INDEX(Planos!$B$3:$B$27,11)="","",IF(13&gt;INDEX(Planos!$G$3:$G$27,11),"",INDEX(Planos!$B$3:$B$27,11)))</f>
        <v>FR-001</v>
      </c>
      <c r="D255" s="40" t="str">
        <f aca="false">IF($C255="","",IFERROR(INDEX(Ativos!$B$3:$B$42,MATCH($C255,Ativos!$A$3:$A$42,0)),""))</f>
        <v>Fresadora ferramenteira</v>
      </c>
      <c r="E255" s="40" t="str">
        <f aca="false">IF($C255="","",INDEX(Planos!$C$3:$C$27,11))</f>
        <v>Preventiva mensal — inspeção geral</v>
      </c>
      <c r="F255" s="40" t="str">
        <f aca="false">IF($C255="","",INDEX(Planos!$D$3:$D$27,11))</f>
        <v>Manutenção preventiva</v>
      </c>
      <c r="G255" s="41" t="n">
        <f aca="false">IF($C255="",0,INDEX(Planos!$F$3:$F$27,11)+(13-1)*INDEX(Planos!$E$3:$E$27,11))</f>
        <v>46590</v>
      </c>
      <c r="H255" s="40" t="str">
        <f aca="false">IF($C255="","",INDEX(Planos!$H$3:$H$27,11))</f>
        <v>Rafael Lima</v>
      </c>
      <c r="I255" s="41" t="str">
        <f aca="false">IF($C255="","",IF(INDEX(Planos!$J$3:$AG$27,$A255,$B255)=0,"",INDEX(Planos!$J$3:$AG$27,$A255,$B255)))</f>
        <v/>
      </c>
      <c r="J255" s="26" t="str">
        <f aca="false">IF($C255="","",IF($I255&lt;&gt;"","Realizada",IF($G255&lt;INT(Parâmetros!$C$4),"Atrasada","Agendada")))</f>
        <v>Agendada</v>
      </c>
      <c r="K255" s="42" t="str">
        <f aca="false">IF($C255="","",IF($I255&lt;&gt;"",$I255-$G255,IF($J255="Atrasada",INT(Parâmetros!$C$4)-$G255,"")))</f>
        <v/>
      </c>
      <c r="L255" s="26" t="str">
        <f aca="false">IF($J255&lt;&gt;"Realizada","",IF($K255&lt;=0,"No prazo",IF($K255&lt;=7,"Até 7 dias",IF($K255&lt;=30,"Até 30 dias","Acima de 30"))))</f>
        <v/>
      </c>
      <c r="M255" s="26" t="n">
        <f aca="false">IF($C255="","",COUNTIFS($G$3:$G255,$G255))</f>
        <v>1</v>
      </c>
      <c r="N255" s="26" t="str">
        <f aca="false">IF($C255="","",$G255&amp;"|"&amp;$M255)</f>
        <v>46590|1</v>
      </c>
    </row>
    <row r="256" customFormat="false" ht="18" hidden="false" customHeight="true" outlineLevel="0" collapsed="false">
      <c r="A256" s="26" t="n">
        <v>11</v>
      </c>
      <c r="B256" s="26" t="n">
        <v>14</v>
      </c>
      <c r="C256" s="26" t="str">
        <f aca="false">IF(INDEX(Planos!$B$3:$B$27,11)="","",IF(14&gt;INDEX(Planos!$G$3:$G$27,11),"",INDEX(Planos!$B$3:$B$27,11)))</f>
        <v>FR-001</v>
      </c>
      <c r="D256" s="40" t="str">
        <f aca="false">IF($C256="","",IFERROR(INDEX(Ativos!$B$3:$B$42,MATCH($C256,Ativos!$A$3:$A$42,0)),""))</f>
        <v>Fresadora ferramenteira</v>
      </c>
      <c r="E256" s="40" t="str">
        <f aca="false">IF($C256="","",INDEX(Planos!$C$3:$C$27,11))</f>
        <v>Preventiva mensal — inspeção geral</v>
      </c>
      <c r="F256" s="40" t="str">
        <f aca="false">IF($C256="","",INDEX(Planos!$D$3:$D$27,11))</f>
        <v>Manutenção preventiva</v>
      </c>
      <c r="G256" s="41" t="n">
        <f aca="false">IF($C256="",0,INDEX(Planos!$F$3:$F$27,11)+(14-1)*INDEX(Planos!$E$3:$E$27,11))</f>
        <v>46620</v>
      </c>
      <c r="H256" s="40" t="str">
        <f aca="false">IF($C256="","",INDEX(Planos!$H$3:$H$27,11))</f>
        <v>Rafael Lima</v>
      </c>
      <c r="I256" s="41" t="str">
        <f aca="false">IF($C256="","",IF(INDEX(Planos!$J$3:$AG$27,$A256,$B256)=0,"",INDEX(Planos!$J$3:$AG$27,$A256,$B256)))</f>
        <v/>
      </c>
      <c r="J256" s="26" t="str">
        <f aca="false">IF($C256="","",IF($I256&lt;&gt;"","Realizada",IF($G256&lt;INT(Parâmetros!$C$4),"Atrasada","Agendada")))</f>
        <v>Agendada</v>
      </c>
      <c r="K256" s="42" t="str">
        <f aca="false">IF($C256="","",IF($I256&lt;&gt;"",$I256-$G256,IF($J256="Atrasada",INT(Parâmetros!$C$4)-$G256,"")))</f>
        <v/>
      </c>
      <c r="L256" s="26" t="str">
        <f aca="false">IF($J256&lt;&gt;"Realizada","",IF($K256&lt;=0,"No prazo",IF($K256&lt;=7,"Até 7 dias",IF($K256&lt;=30,"Até 30 dias","Acima de 30"))))</f>
        <v/>
      </c>
      <c r="M256" s="26" t="n">
        <f aca="false">IF($C256="","",COUNTIFS($G$3:$G256,$G256))</f>
        <v>1</v>
      </c>
      <c r="N256" s="26" t="str">
        <f aca="false">IF($C256="","",$G256&amp;"|"&amp;$M256)</f>
        <v>46620|1</v>
      </c>
    </row>
    <row r="257" customFormat="false" ht="18" hidden="false" customHeight="true" outlineLevel="0" collapsed="false">
      <c r="A257" s="26" t="n">
        <v>11</v>
      </c>
      <c r="B257" s="26" t="n">
        <v>15</v>
      </c>
      <c r="C257" s="26" t="str">
        <f aca="false">IF(INDEX(Planos!$B$3:$B$27,11)="","",IF(15&gt;INDEX(Planos!$G$3:$G$27,11),"",INDEX(Planos!$B$3:$B$27,11)))</f>
        <v>FR-001</v>
      </c>
      <c r="D257" s="40" t="str">
        <f aca="false">IF($C257="","",IFERROR(INDEX(Ativos!$B$3:$B$42,MATCH($C257,Ativos!$A$3:$A$42,0)),""))</f>
        <v>Fresadora ferramenteira</v>
      </c>
      <c r="E257" s="40" t="str">
        <f aca="false">IF($C257="","",INDEX(Planos!$C$3:$C$27,11))</f>
        <v>Preventiva mensal — inspeção geral</v>
      </c>
      <c r="F257" s="40" t="str">
        <f aca="false">IF($C257="","",INDEX(Planos!$D$3:$D$27,11))</f>
        <v>Manutenção preventiva</v>
      </c>
      <c r="G257" s="41" t="n">
        <f aca="false">IF($C257="",0,INDEX(Planos!$F$3:$F$27,11)+(15-1)*INDEX(Planos!$E$3:$E$27,11))</f>
        <v>46650</v>
      </c>
      <c r="H257" s="40" t="str">
        <f aca="false">IF($C257="","",INDEX(Planos!$H$3:$H$27,11))</f>
        <v>Rafael Lima</v>
      </c>
      <c r="I257" s="41" t="str">
        <f aca="false">IF($C257="","",IF(INDEX(Planos!$J$3:$AG$27,$A257,$B257)=0,"",INDEX(Planos!$J$3:$AG$27,$A257,$B257)))</f>
        <v/>
      </c>
      <c r="J257" s="26" t="str">
        <f aca="false">IF($C257="","",IF($I257&lt;&gt;"","Realizada",IF($G257&lt;INT(Parâmetros!$C$4),"Atrasada","Agendada")))</f>
        <v>Agendada</v>
      </c>
      <c r="K257" s="42" t="str">
        <f aca="false">IF($C257="","",IF($I257&lt;&gt;"",$I257-$G257,IF($J257="Atrasada",INT(Parâmetros!$C$4)-$G257,"")))</f>
        <v/>
      </c>
      <c r="L257" s="26" t="str">
        <f aca="false">IF($J257&lt;&gt;"Realizada","",IF($K257&lt;=0,"No prazo",IF($K257&lt;=7,"Até 7 dias",IF($K257&lt;=30,"Até 30 dias","Acima de 30"))))</f>
        <v/>
      </c>
      <c r="M257" s="26" t="n">
        <f aca="false">IF($C257="","",COUNTIFS($G$3:$G257,$G257))</f>
        <v>1</v>
      </c>
      <c r="N257" s="26" t="str">
        <f aca="false">IF($C257="","",$G257&amp;"|"&amp;$M257)</f>
        <v>46650|1</v>
      </c>
    </row>
    <row r="258" customFormat="false" ht="18" hidden="false" customHeight="true" outlineLevel="0" collapsed="false">
      <c r="A258" s="26" t="n">
        <v>11</v>
      </c>
      <c r="B258" s="26" t="n">
        <v>16</v>
      </c>
      <c r="C258" s="26" t="str">
        <f aca="false">IF(INDEX(Planos!$B$3:$B$27,11)="","",IF(16&gt;INDEX(Planos!$G$3:$G$27,11),"",INDEX(Planos!$B$3:$B$27,11)))</f>
        <v>FR-001</v>
      </c>
      <c r="D258" s="40" t="str">
        <f aca="false">IF($C258="","",IFERROR(INDEX(Ativos!$B$3:$B$42,MATCH($C258,Ativos!$A$3:$A$42,0)),""))</f>
        <v>Fresadora ferramenteira</v>
      </c>
      <c r="E258" s="40" t="str">
        <f aca="false">IF($C258="","",INDEX(Planos!$C$3:$C$27,11))</f>
        <v>Preventiva mensal — inspeção geral</v>
      </c>
      <c r="F258" s="40" t="str">
        <f aca="false">IF($C258="","",INDEX(Planos!$D$3:$D$27,11))</f>
        <v>Manutenção preventiva</v>
      </c>
      <c r="G258" s="41" t="n">
        <f aca="false">IF($C258="",0,INDEX(Planos!$F$3:$F$27,11)+(16-1)*INDEX(Planos!$E$3:$E$27,11))</f>
        <v>46680</v>
      </c>
      <c r="H258" s="40" t="str">
        <f aca="false">IF($C258="","",INDEX(Planos!$H$3:$H$27,11))</f>
        <v>Rafael Lima</v>
      </c>
      <c r="I258" s="41" t="str">
        <f aca="false">IF($C258="","",IF(INDEX(Planos!$J$3:$AG$27,$A258,$B258)=0,"",INDEX(Planos!$J$3:$AG$27,$A258,$B258)))</f>
        <v/>
      </c>
      <c r="J258" s="26" t="str">
        <f aca="false">IF($C258="","",IF($I258&lt;&gt;"","Realizada",IF($G258&lt;INT(Parâmetros!$C$4),"Atrasada","Agendada")))</f>
        <v>Agendada</v>
      </c>
      <c r="K258" s="42" t="str">
        <f aca="false">IF($C258="","",IF($I258&lt;&gt;"",$I258-$G258,IF($J258="Atrasada",INT(Parâmetros!$C$4)-$G258,"")))</f>
        <v/>
      </c>
      <c r="L258" s="26" t="str">
        <f aca="false">IF($J258&lt;&gt;"Realizada","",IF($K258&lt;=0,"No prazo",IF($K258&lt;=7,"Até 7 dias",IF($K258&lt;=30,"Até 30 dias","Acima de 30"))))</f>
        <v/>
      </c>
      <c r="M258" s="26" t="n">
        <f aca="false">IF($C258="","",COUNTIFS($G$3:$G258,$G258))</f>
        <v>1</v>
      </c>
      <c r="N258" s="26" t="str">
        <f aca="false">IF($C258="","",$G258&amp;"|"&amp;$M258)</f>
        <v>46680|1</v>
      </c>
    </row>
    <row r="259" customFormat="false" ht="18" hidden="false" customHeight="true" outlineLevel="0" collapsed="false">
      <c r="A259" s="26" t="n">
        <v>11</v>
      </c>
      <c r="B259" s="26" t="n">
        <v>17</v>
      </c>
      <c r="C259" s="26" t="str">
        <f aca="false">IF(INDEX(Planos!$B$3:$B$27,11)="","",IF(17&gt;INDEX(Planos!$G$3:$G$27,11),"",INDEX(Planos!$B$3:$B$27,11)))</f>
        <v>FR-001</v>
      </c>
      <c r="D259" s="40" t="str">
        <f aca="false">IF($C259="","",IFERROR(INDEX(Ativos!$B$3:$B$42,MATCH($C259,Ativos!$A$3:$A$42,0)),""))</f>
        <v>Fresadora ferramenteira</v>
      </c>
      <c r="E259" s="40" t="str">
        <f aca="false">IF($C259="","",INDEX(Planos!$C$3:$C$27,11))</f>
        <v>Preventiva mensal — inspeção geral</v>
      </c>
      <c r="F259" s="40" t="str">
        <f aca="false">IF($C259="","",INDEX(Planos!$D$3:$D$27,11))</f>
        <v>Manutenção preventiva</v>
      </c>
      <c r="G259" s="41" t="n">
        <f aca="false">IF($C259="",0,INDEX(Planos!$F$3:$F$27,11)+(17-1)*INDEX(Planos!$E$3:$E$27,11))</f>
        <v>46710</v>
      </c>
      <c r="H259" s="40" t="str">
        <f aca="false">IF($C259="","",INDEX(Planos!$H$3:$H$27,11))</f>
        <v>Rafael Lima</v>
      </c>
      <c r="I259" s="41" t="str">
        <f aca="false">IF($C259="","",IF(INDEX(Planos!$J$3:$AG$27,$A259,$B259)=0,"",INDEX(Planos!$J$3:$AG$27,$A259,$B259)))</f>
        <v/>
      </c>
      <c r="J259" s="26" t="str">
        <f aca="false">IF($C259="","",IF($I259&lt;&gt;"","Realizada",IF($G259&lt;INT(Parâmetros!$C$4),"Atrasada","Agendada")))</f>
        <v>Agendada</v>
      </c>
      <c r="K259" s="42" t="str">
        <f aca="false">IF($C259="","",IF($I259&lt;&gt;"",$I259-$G259,IF($J259="Atrasada",INT(Parâmetros!$C$4)-$G259,"")))</f>
        <v/>
      </c>
      <c r="L259" s="26" t="str">
        <f aca="false">IF($J259&lt;&gt;"Realizada","",IF($K259&lt;=0,"No prazo",IF($K259&lt;=7,"Até 7 dias",IF($K259&lt;=30,"Até 30 dias","Acima de 30"))))</f>
        <v/>
      </c>
      <c r="M259" s="26" t="n">
        <f aca="false">IF($C259="","",COUNTIFS($G$3:$G259,$G259))</f>
        <v>1</v>
      </c>
      <c r="N259" s="26" t="str">
        <f aca="false">IF($C259="","",$G259&amp;"|"&amp;$M259)</f>
        <v>46710|1</v>
      </c>
    </row>
    <row r="260" customFormat="false" ht="18" hidden="false" customHeight="true" outlineLevel="0" collapsed="false">
      <c r="A260" s="26" t="n">
        <v>11</v>
      </c>
      <c r="B260" s="26" t="n">
        <v>18</v>
      </c>
      <c r="C260" s="26" t="str">
        <f aca="false">IF(INDEX(Planos!$B$3:$B$27,11)="","",IF(18&gt;INDEX(Planos!$G$3:$G$27,11),"",INDEX(Planos!$B$3:$B$27,11)))</f>
        <v>FR-001</v>
      </c>
      <c r="D260" s="40" t="str">
        <f aca="false">IF($C260="","",IFERROR(INDEX(Ativos!$B$3:$B$42,MATCH($C260,Ativos!$A$3:$A$42,0)),""))</f>
        <v>Fresadora ferramenteira</v>
      </c>
      <c r="E260" s="40" t="str">
        <f aca="false">IF($C260="","",INDEX(Planos!$C$3:$C$27,11))</f>
        <v>Preventiva mensal — inspeção geral</v>
      </c>
      <c r="F260" s="40" t="str">
        <f aca="false">IF($C260="","",INDEX(Planos!$D$3:$D$27,11))</f>
        <v>Manutenção preventiva</v>
      </c>
      <c r="G260" s="41" t="n">
        <f aca="false">IF($C260="",0,INDEX(Planos!$F$3:$F$27,11)+(18-1)*INDEX(Planos!$E$3:$E$27,11))</f>
        <v>46740</v>
      </c>
      <c r="H260" s="40" t="str">
        <f aca="false">IF($C260="","",INDEX(Planos!$H$3:$H$27,11))</f>
        <v>Rafael Lima</v>
      </c>
      <c r="I260" s="41" t="str">
        <f aca="false">IF($C260="","",IF(INDEX(Planos!$J$3:$AG$27,$A260,$B260)=0,"",INDEX(Planos!$J$3:$AG$27,$A260,$B260)))</f>
        <v/>
      </c>
      <c r="J260" s="26" t="str">
        <f aca="false">IF($C260="","",IF($I260&lt;&gt;"","Realizada",IF($G260&lt;INT(Parâmetros!$C$4),"Atrasada","Agendada")))</f>
        <v>Agendada</v>
      </c>
      <c r="K260" s="42" t="str">
        <f aca="false">IF($C260="","",IF($I260&lt;&gt;"",$I260-$G260,IF($J260="Atrasada",INT(Parâmetros!$C$4)-$G260,"")))</f>
        <v/>
      </c>
      <c r="L260" s="26" t="str">
        <f aca="false">IF($J260&lt;&gt;"Realizada","",IF($K260&lt;=0,"No prazo",IF($K260&lt;=7,"Até 7 dias",IF($K260&lt;=30,"Até 30 dias","Acima de 30"))))</f>
        <v/>
      </c>
      <c r="M260" s="26" t="n">
        <f aca="false">IF($C260="","",COUNTIFS($G$3:$G260,$G260))</f>
        <v>1</v>
      </c>
      <c r="N260" s="26" t="str">
        <f aca="false">IF($C260="","",$G260&amp;"|"&amp;$M260)</f>
        <v>46740|1</v>
      </c>
    </row>
    <row r="261" customFormat="false" ht="18" hidden="false" customHeight="true" outlineLevel="0" collapsed="false">
      <c r="A261" s="26" t="n">
        <v>11</v>
      </c>
      <c r="B261" s="26" t="n">
        <v>19</v>
      </c>
      <c r="C261" s="26" t="str">
        <f aca="false">IF(INDEX(Planos!$B$3:$B$27,11)="","",IF(19&gt;INDEX(Planos!$G$3:$G$27,11),"",INDEX(Planos!$B$3:$B$27,11)))</f>
        <v>FR-001</v>
      </c>
      <c r="D261" s="40" t="str">
        <f aca="false">IF($C261="","",IFERROR(INDEX(Ativos!$B$3:$B$42,MATCH($C261,Ativos!$A$3:$A$42,0)),""))</f>
        <v>Fresadora ferramenteira</v>
      </c>
      <c r="E261" s="40" t="str">
        <f aca="false">IF($C261="","",INDEX(Planos!$C$3:$C$27,11))</f>
        <v>Preventiva mensal — inspeção geral</v>
      </c>
      <c r="F261" s="40" t="str">
        <f aca="false">IF($C261="","",INDEX(Planos!$D$3:$D$27,11))</f>
        <v>Manutenção preventiva</v>
      </c>
      <c r="G261" s="41" t="n">
        <f aca="false">IF($C261="",0,INDEX(Planos!$F$3:$F$27,11)+(19-1)*INDEX(Planos!$E$3:$E$27,11))</f>
        <v>46770</v>
      </c>
      <c r="H261" s="40" t="str">
        <f aca="false">IF($C261="","",INDEX(Planos!$H$3:$H$27,11))</f>
        <v>Rafael Lima</v>
      </c>
      <c r="I261" s="41" t="str">
        <f aca="false">IF($C261="","",IF(INDEX(Planos!$J$3:$AG$27,$A261,$B261)=0,"",INDEX(Planos!$J$3:$AG$27,$A261,$B261)))</f>
        <v/>
      </c>
      <c r="J261" s="26" t="str">
        <f aca="false">IF($C261="","",IF($I261&lt;&gt;"","Realizada",IF($G261&lt;INT(Parâmetros!$C$4),"Atrasada","Agendada")))</f>
        <v>Agendada</v>
      </c>
      <c r="K261" s="42" t="str">
        <f aca="false">IF($C261="","",IF($I261&lt;&gt;"",$I261-$G261,IF($J261="Atrasada",INT(Parâmetros!$C$4)-$G261,"")))</f>
        <v/>
      </c>
      <c r="L261" s="26" t="str">
        <f aca="false">IF($J261&lt;&gt;"Realizada","",IF($K261&lt;=0,"No prazo",IF($K261&lt;=7,"Até 7 dias",IF($K261&lt;=30,"Até 30 dias","Acima de 30"))))</f>
        <v/>
      </c>
      <c r="M261" s="26" t="n">
        <f aca="false">IF($C261="","",COUNTIFS($G$3:$G261,$G261))</f>
        <v>1</v>
      </c>
      <c r="N261" s="26" t="str">
        <f aca="false">IF($C261="","",$G261&amp;"|"&amp;$M261)</f>
        <v>46770|1</v>
      </c>
    </row>
    <row r="262" customFormat="false" ht="18" hidden="false" customHeight="true" outlineLevel="0" collapsed="false">
      <c r="A262" s="26" t="n">
        <v>11</v>
      </c>
      <c r="B262" s="26" t="n">
        <v>20</v>
      </c>
      <c r="C262" s="26" t="str">
        <f aca="false">IF(INDEX(Planos!$B$3:$B$27,11)="","",IF(20&gt;INDEX(Planos!$G$3:$G$27,11),"",INDEX(Planos!$B$3:$B$27,11)))</f>
        <v>FR-001</v>
      </c>
      <c r="D262" s="40" t="str">
        <f aca="false">IF($C262="","",IFERROR(INDEX(Ativos!$B$3:$B$42,MATCH($C262,Ativos!$A$3:$A$42,0)),""))</f>
        <v>Fresadora ferramenteira</v>
      </c>
      <c r="E262" s="40" t="str">
        <f aca="false">IF($C262="","",INDEX(Planos!$C$3:$C$27,11))</f>
        <v>Preventiva mensal — inspeção geral</v>
      </c>
      <c r="F262" s="40" t="str">
        <f aca="false">IF($C262="","",INDEX(Planos!$D$3:$D$27,11))</f>
        <v>Manutenção preventiva</v>
      </c>
      <c r="G262" s="41" t="n">
        <f aca="false">IF($C262="",0,INDEX(Planos!$F$3:$F$27,11)+(20-1)*INDEX(Planos!$E$3:$E$27,11))</f>
        <v>46800</v>
      </c>
      <c r="H262" s="40" t="str">
        <f aca="false">IF($C262="","",INDEX(Planos!$H$3:$H$27,11))</f>
        <v>Rafael Lima</v>
      </c>
      <c r="I262" s="41" t="str">
        <f aca="false">IF($C262="","",IF(INDEX(Planos!$J$3:$AG$27,$A262,$B262)=0,"",INDEX(Planos!$J$3:$AG$27,$A262,$B262)))</f>
        <v/>
      </c>
      <c r="J262" s="26" t="str">
        <f aca="false">IF($C262="","",IF($I262&lt;&gt;"","Realizada",IF($G262&lt;INT(Parâmetros!$C$4),"Atrasada","Agendada")))</f>
        <v>Agendada</v>
      </c>
      <c r="K262" s="42" t="str">
        <f aca="false">IF($C262="","",IF($I262&lt;&gt;"",$I262-$G262,IF($J262="Atrasada",INT(Parâmetros!$C$4)-$G262,"")))</f>
        <v/>
      </c>
      <c r="L262" s="26" t="str">
        <f aca="false">IF($J262&lt;&gt;"Realizada","",IF($K262&lt;=0,"No prazo",IF($K262&lt;=7,"Até 7 dias",IF($K262&lt;=30,"Até 30 dias","Acima de 30"))))</f>
        <v/>
      </c>
      <c r="M262" s="26" t="n">
        <f aca="false">IF($C262="","",COUNTIFS($G$3:$G262,$G262))</f>
        <v>1</v>
      </c>
      <c r="N262" s="26" t="str">
        <f aca="false">IF($C262="","",$G262&amp;"|"&amp;$M262)</f>
        <v>46800|1</v>
      </c>
    </row>
    <row r="263" customFormat="false" ht="18" hidden="false" customHeight="true" outlineLevel="0" collapsed="false">
      <c r="A263" s="26" t="n">
        <v>11</v>
      </c>
      <c r="B263" s="26" t="n">
        <v>21</v>
      </c>
      <c r="C263" s="26" t="str">
        <f aca="false">IF(INDEX(Planos!$B$3:$B$27,11)="","",IF(21&gt;INDEX(Planos!$G$3:$G$27,11),"",INDEX(Planos!$B$3:$B$27,11)))</f>
        <v>FR-001</v>
      </c>
      <c r="D263" s="40" t="str">
        <f aca="false">IF($C263="","",IFERROR(INDEX(Ativos!$B$3:$B$42,MATCH($C263,Ativos!$A$3:$A$42,0)),""))</f>
        <v>Fresadora ferramenteira</v>
      </c>
      <c r="E263" s="40" t="str">
        <f aca="false">IF($C263="","",INDEX(Planos!$C$3:$C$27,11))</f>
        <v>Preventiva mensal — inspeção geral</v>
      </c>
      <c r="F263" s="40" t="str">
        <f aca="false">IF($C263="","",INDEX(Planos!$D$3:$D$27,11))</f>
        <v>Manutenção preventiva</v>
      </c>
      <c r="G263" s="41" t="n">
        <f aca="false">IF($C263="",0,INDEX(Planos!$F$3:$F$27,11)+(21-1)*INDEX(Planos!$E$3:$E$27,11))</f>
        <v>46830</v>
      </c>
      <c r="H263" s="40" t="str">
        <f aca="false">IF($C263="","",INDEX(Planos!$H$3:$H$27,11))</f>
        <v>Rafael Lima</v>
      </c>
      <c r="I263" s="41" t="str">
        <f aca="false">IF($C263="","",IF(INDEX(Planos!$J$3:$AG$27,$A263,$B263)=0,"",INDEX(Planos!$J$3:$AG$27,$A263,$B263)))</f>
        <v/>
      </c>
      <c r="J263" s="26" t="str">
        <f aca="false">IF($C263="","",IF($I263&lt;&gt;"","Realizada",IF($G263&lt;INT(Parâmetros!$C$4),"Atrasada","Agendada")))</f>
        <v>Agendada</v>
      </c>
      <c r="K263" s="42" t="str">
        <f aca="false">IF($C263="","",IF($I263&lt;&gt;"",$I263-$G263,IF($J263="Atrasada",INT(Parâmetros!$C$4)-$G263,"")))</f>
        <v/>
      </c>
      <c r="L263" s="26" t="str">
        <f aca="false">IF($J263&lt;&gt;"Realizada","",IF($K263&lt;=0,"No prazo",IF($K263&lt;=7,"Até 7 dias",IF($K263&lt;=30,"Até 30 dias","Acima de 30"))))</f>
        <v/>
      </c>
      <c r="M263" s="26" t="n">
        <f aca="false">IF($C263="","",COUNTIFS($G$3:$G263,$G263))</f>
        <v>1</v>
      </c>
      <c r="N263" s="26" t="str">
        <f aca="false">IF($C263="","",$G263&amp;"|"&amp;$M263)</f>
        <v>46830|1</v>
      </c>
    </row>
    <row r="264" customFormat="false" ht="18" hidden="false" customHeight="true" outlineLevel="0" collapsed="false">
      <c r="A264" s="26" t="n">
        <v>11</v>
      </c>
      <c r="B264" s="26" t="n">
        <v>22</v>
      </c>
      <c r="C264" s="26" t="str">
        <f aca="false">IF(INDEX(Planos!$B$3:$B$27,11)="","",IF(22&gt;INDEX(Planos!$G$3:$G$27,11),"",INDEX(Planos!$B$3:$B$27,11)))</f>
        <v>FR-001</v>
      </c>
      <c r="D264" s="40" t="str">
        <f aca="false">IF($C264="","",IFERROR(INDEX(Ativos!$B$3:$B$42,MATCH($C264,Ativos!$A$3:$A$42,0)),""))</f>
        <v>Fresadora ferramenteira</v>
      </c>
      <c r="E264" s="40" t="str">
        <f aca="false">IF($C264="","",INDEX(Planos!$C$3:$C$27,11))</f>
        <v>Preventiva mensal — inspeção geral</v>
      </c>
      <c r="F264" s="40" t="str">
        <f aca="false">IF($C264="","",INDEX(Planos!$D$3:$D$27,11))</f>
        <v>Manutenção preventiva</v>
      </c>
      <c r="G264" s="41" t="n">
        <f aca="false">IF($C264="",0,INDEX(Planos!$F$3:$F$27,11)+(22-1)*INDEX(Planos!$E$3:$E$27,11))</f>
        <v>46860</v>
      </c>
      <c r="H264" s="40" t="str">
        <f aca="false">IF($C264="","",INDEX(Planos!$H$3:$H$27,11))</f>
        <v>Rafael Lima</v>
      </c>
      <c r="I264" s="41" t="str">
        <f aca="false">IF($C264="","",IF(INDEX(Planos!$J$3:$AG$27,$A264,$B264)=0,"",INDEX(Planos!$J$3:$AG$27,$A264,$B264)))</f>
        <v/>
      </c>
      <c r="J264" s="26" t="str">
        <f aca="false">IF($C264="","",IF($I264&lt;&gt;"","Realizada",IF($G264&lt;INT(Parâmetros!$C$4),"Atrasada","Agendada")))</f>
        <v>Agendada</v>
      </c>
      <c r="K264" s="42" t="str">
        <f aca="false">IF($C264="","",IF($I264&lt;&gt;"",$I264-$G264,IF($J264="Atrasada",INT(Parâmetros!$C$4)-$G264,"")))</f>
        <v/>
      </c>
      <c r="L264" s="26" t="str">
        <f aca="false">IF($J264&lt;&gt;"Realizada","",IF($K264&lt;=0,"No prazo",IF($K264&lt;=7,"Até 7 dias",IF($K264&lt;=30,"Até 30 dias","Acima de 30"))))</f>
        <v/>
      </c>
      <c r="M264" s="26" t="n">
        <f aca="false">IF($C264="","",COUNTIFS($G$3:$G264,$G264))</f>
        <v>1</v>
      </c>
      <c r="N264" s="26" t="str">
        <f aca="false">IF($C264="","",$G264&amp;"|"&amp;$M264)</f>
        <v>46860|1</v>
      </c>
    </row>
    <row r="265" customFormat="false" ht="18" hidden="false" customHeight="true" outlineLevel="0" collapsed="false">
      <c r="A265" s="26" t="n">
        <v>11</v>
      </c>
      <c r="B265" s="26" t="n">
        <v>23</v>
      </c>
      <c r="C265" s="26" t="str">
        <f aca="false">IF(INDEX(Planos!$B$3:$B$27,11)="","",IF(23&gt;INDEX(Planos!$G$3:$G$27,11),"",INDEX(Planos!$B$3:$B$27,11)))</f>
        <v>FR-001</v>
      </c>
      <c r="D265" s="40" t="str">
        <f aca="false">IF($C265="","",IFERROR(INDEX(Ativos!$B$3:$B$42,MATCH($C265,Ativos!$A$3:$A$42,0)),""))</f>
        <v>Fresadora ferramenteira</v>
      </c>
      <c r="E265" s="40" t="str">
        <f aca="false">IF($C265="","",INDEX(Planos!$C$3:$C$27,11))</f>
        <v>Preventiva mensal — inspeção geral</v>
      </c>
      <c r="F265" s="40" t="str">
        <f aca="false">IF($C265="","",INDEX(Planos!$D$3:$D$27,11))</f>
        <v>Manutenção preventiva</v>
      </c>
      <c r="G265" s="41" t="n">
        <f aca="false">IF($C265="",0,INDEX(Planos!$F$3:$F$27,11)+(23-1)*INDEX(Planos!$E$3:$E$27,11))</f>
        <v>46890</v>
      </c>
      <c r="H265" s="40" t="str">
        <f aca="false">IF($C265="","",INDEX(Planos!$H$3:$H$27,11))</f>
        <v>Rafael Lima</v>
      </c>
      <c r="I265" s="41" t="str">
        <f aca="false">IF($C265="","",IF(INDEX(Planos!$J$3:$AG$27,$A265,$B265)=0,"",INDEX(Planos!$J$3:$AG$27,$A265,$B265)))</f>
        <v/>
      </c>
      <c r="J265" s="26" t="str">
        <f aca="false">IF($C265="","",IF($I265&lt;&gt;"","Realizada",IF($G265&lt;INT(Parâmetros!$C$4),"Atrasada","Agendada")))</f>
        <v>Agendada</v>
      </c>
      <c r="K265" s="42" t="str">
        <f aca="false">IF($C265="","",IF($I265&lt;&gt;"",$I265-$G265,IF($J265="Atrasada",INT(Parâmetros!$C$4)-$G265,"")))</f>
        <v/>
      </c>
      <c r="L265" s="26" t="str">
        <f aca="false">IF($J265&lt;&gt;"Realizada","",IF($K265&lt;=0,"No prazo",IF($K265&lt;=7,"Até 7 dias",IF($K265&lt;=30,"Até 30 dias","Acima de 30"))))</f>
        <v/>
      </c>
      <c r="M265" s="26" t="n">
        <f aca="false">IF($C265="","",COUNTIFS($G$3:$G265,$G265))</f>
        <v>1</v>
      </c>
      <c r="N265" s="26" t="str">
        <f aca="false">IF($C265="","",$G265&amp;"|"&amp;$M265)</f>
        <v>46890|1</v>
      </c>
    </row>
    <row r="266" customFormat="false" ht="18" hidden="false" customHeight="true" outlineLevel="0" collapsed="false">
      <c r="A266" s="26" t="n">
        <v>11</v>
      </c>
      <c r="B266" s="26" t="n">
        <v>24</v>
      </c>
      <c r="C266" s="26" t="str">
        <f aca="false">IF(INDEX(Planos!$B$3:$B$27,11)="","",IF(24&gt;INDEX(Planos!$G$3:$G$27,11),"",INDEX(Planos!$B$3:$B$27,11)))</f>
        <v>FR-001</v>
      </c>
      <c r="D266" s="40" t="str">
        <f aca="false">IF($C266="","",IFERROR(INDEX(Ativos!$B$3:$B$42,MATCH($C266,Ativos!$A$3:$A$42,0)),""))</f>
        <v>Fresadora ferramenteira</v>
      </c>
      <c r="E266" s="40" t="str">
        <f aca="false">IF($C266="","",INDEX(Planos!$C$3:$C$27,11))</f>
        <v>Preventiva mensal — inspeção geral</v>
      </c>
      <c r="F266" s="40" t="str">
        <f aca="false">IF($C266="","",INDEX(Planos!$D$3:$D$27,11))</f>
        <v>Manutenção preventiva</v>
      </c>
      <c r="G266" s="41" t="n">
        <f aca="false">IF($C266="",0,INDEX(Planos!$F$3:$F$27,11)+(24-1)*INDEX(Planos!$E$3:$E$27,11))</f>
        <v>46920</v>
      </c>
      <c r="H266" s="40" t="str">
        <f aca="false">IF($C266="","",INDEX(Planos!$H$3:$H$27,11))</f>
        <v>Rafael Lima</v>
      </c>
      <c r="I266" s="41" t="str">
        <f aca="false">IF($C266="","",IF(INDEX(Planos!$J$3:$AG$27,$A266,$B266)=0,"",INDEX(Planos!$J$3:$AG$27,$A266,$B266)))</f>
        <v/>
      </c>
      <c r="J266" s="26" t="str">
        <f aca="false">IF($C266="","",IF($I266&lt;&gt;"","Realizada",IF($G266&lt;INT(Parâmetros!$C$4),"Atrasada","Agendada")))</f>
        <v>Agendada</v>
      </c>
      <c r="K266" s="42" t="str">
        <f aca="false">IF($C266="","",IF($I266&lt;&gt;"",$I266-$G266,IF($J266="Atrasada",INT(Parâmetros!$C$4)-$G266,"")))</f>
        <v/>
      </c>
      <c r="L266" s="26" t="str">
        <f aca="false">IF($J266&lt;&gt;"Realizada","",IF($K266&lt;=0,"No prazo",IF($K266&lt;=7,"Até 7 dias",IF($K266&lt;=30,"Até 30 dias","Acima de 30"))))</f>
        <v/>
      </c>
      <c r="M266" s="26" t="n">
        <f aca="false">IF($C266="","",COUNTIFS($G$3:$G266,$G266))</f>
        <v>1</v>
      </c>
      <c r="N266" s="26" t="str">
        <f aca="false">IF($C266="","",$G266&amp;"|"&amp;$M266)</f>
        <v>46920|1</v>
      </c>
    </row>
    <row r="267" customFormat="false" ht="18" hidden="false" customHeight="true" outlineLevel="0" collapsed="false">
      <c r="A267" s="26" t="n">
        <v>12</v>
      </c>
      <c r="B267" s="26" t="n">
        <v>1</v>
      </c>
      <c r="C267" s="26" t="str">
        <f aca="false">IF(INDEX(Planos!$B$3:$B$27,12)="","",IF(1&gt;INDEX(Planos!$G$3:$G$27,12),"",INDEX(Planos!$B$3:$B$27,12)))</f>
        <v/>
      </c>
      <c r="D267" s="40" t="str">
        <f aca="false">IF($C267="","",IFERROR(INDEX(Ativos!$B$3:$B$42,MATCH($C267,Ativos!$A$3:$A$42,0)),""))</f>
        <v/>
      </c>
      <c r="E267" s="40" t="str">
        <f aca="false">IF($C267="","",INDEX(Planos!$C$3:$C$27,12))</f>
        <v/>
      </c>
      <c r="F267" s="40" t="str">
        <f aca="false">IF($C267="","",INDEX(Planos!$D$3:$D$27,12))</f>
        <v/>
      </c>
      <c r="G267" s="41" t="n">
        <f aca="false">IF($C267="",0,INDEX(Planos!$F$3:$F$27,12)+(1-1)*INDEX(Planos!$E$3:$E$27,12))</f>
        <v>0</v>
      </c>
      <c r="H267" s="40" t="str">
        <f aca="false">IF($C267="","",INDEX(Planos!$H$3:$H$27,12))</f>
        <v/>
      </c>
      <c r="I267" s="41" t="str">
        <f aca="false">IF($C267="","",IF(INDEX(Planos!$J$3:$AG$27,$A267,$B267)=0,"",INDEX(Planos!$J$3:$AG$27,$A267,$B267)))</f>
        <v/>
      </c>
      <c r="J267" s="26" t="str">
        <f aca="false">IF($C267="","",IF($I267&lt;&gt;"","Realizada",IF($G267&lt;INT(Parâmetros!$C$4),"Atrasada","Agendada")))</f>
        <v/>
      </c>
      <c r="K267" s="42" t="str">
        <f aca="false">IF($C267="","",IF($I267&lt;&gt;"",$I267-$G267,IF($J267="Atrasada",INT(Parâmetros!$C$4)-$G267,"")))</f>
        <v/>
      </c>
      <c r="L267" s="26" t="str">
        <f aca="false">IF($J267&lt;&gt;"Realizada","",IF($K267&lt;=0,"No prazo",IF($K267&lt;=7,"Até 7 dias",IF($K267&lt;=30,"Até 30 dias","Acima de 30"))))</f>
        <v/>
      </c>
      <c r="M267" s="26" t="str">
        <f aca="false">IF($C267="","",COUNTIFS($G$3:$G267,$G267))</f>
        <v/>
      </c>
      <c r="N267" s="26" t="str">
        <f aca="false">IF($C267="","",$G267&amp;"|"&amp;$M267)</f>
        <v/>
      </c>
    </row>
    <row r="268" customFormat="false" ht="18" hidden="false" customHeight="true" outlineLevel="0" collapsed="false">
      <c r="A268" s="26" t="n">
        <v>12</v>
      </c>
      <c r="B268" s="26" t="n">
        <v>2</v>
      </c>
      <c r="C268" s="26" t="str">
        <f aca="false">IF(INDEX(Planos!$B$3:$B$27,12)="","",IF(2&gt;INDEX(Planos!$G$3:$G$27,12),"",INDEX(Planos!$B$3:$B$27,12)))</f>
        <v/>
      </c>
      <c r="D268" s="40" t="str">
        <f aca="false">IF($C268="","",IFERROR(INDEX(Ativos!$B$3:$B$42,MATCH($C268,Ativos!$A$3:$A$42,0)),""))</f>
        <v/>
      </c>
      <c r="E268" s="40" t="str">
        <f aca="false">IF($C268="","",INDEX(Planos!$C$3:$C$27,12))</f>
        <v/>
      </c>
      <c r="F268" s="40" t="str">
        <f aca="false">IF($C268="","",INDEX(Planos!$D$3:$D$27,12))</f>
        <v/>
      </c>
      <c r="G268" s="41" t="n">
        <f aca="false">IF($C268="",0,INDEX(Planos!$F$3:$F$27,12)+(2-1)*INDEX(Planos!$E$3:$E$27,12))</f>
        <v>0</v>
      </c>
      <c r="H268" s="40" t="str">
        <f aca="false">IF($C268="","",INDEX(Planos!$H$3:$H$27,12))</f>
        <v/>
      </c>
      <c r="I268" s="41" t="str">
        <f aca="false">IF($C268="","",IF(INDEX(Planos!$J$3:$AG$27,$A268,$B268)=0,"",INDEX(Planos!$J$3:$AG$27,$A268,$B268)))</f>
        <v/>
      </c>
      <c r="J268" s="26" t="str">
        <f aca="false">IF($C268="","",IF($I268&lt;&gt;"","Realizada",IF($G268&lt;INT(Parâmetros!$C$4),"Atrasada","Agendada")))</f>
        <v/>
      </c>
      <c r="K268" s="42" t="str">
        <f aca="false">IF($C268="","",IF($I268&lt;&gt;"",$I268-$G268,IF($J268="Atrasada",INT(Parâmetros!$C$4)-$G268,"")))</f>
        <v/>
      </c>
      <c r="L268" s="26" t="str">
        <f aca="false">IF($J268&lt;&gt;"Realizada","",IF($K268&lt;=0,"No prazo",IF($K268&lt;=7,"Até 7 dias",IF($K268&lt;=30,"Até 30 dias","Acima de 30"))))</f>
        <v/>
      </c>
      <c r="M268" s="26" t="str">
        <f aca="false">IF($C268="","",COUNTIFS($G$3:$G268,$G268))</f>
        <v/>
      </c>
      <c r="N268" s="26" t="str">
        <f aca="false">IF($C268="","",$G268&amp;"|"&amp;$M268)</f>
        <v/>
      </c>
    </row>
    <row r="269" customFormat="false" ht="18" hidden="false" customHeight="true" outlineLevel="0" collapsed="false">
      <c r="A269" s="26" t="n">
        <v>12</v>
      </c>
      <c r="B269" s="26" t="n">
        <v>3</v>
      </c>
      <c r="C269" s="26" t="str">
        <f aca="false">IF(INDEX(Planos!$B$3:$B$27,12)="","",IF(3&gt;INDEX(Planos!$G$3:$G$27,12),"",INDEX(Planos!$B$3:$B$27,12)))</f>
        <v/>
      </c>
      <c r="D269" s="40" t="str">
        <f aca="false">IF($C269="","",IFERROR(INDEX(Ativos!$B$3:$B$42,MATCH($C269,Ativos!$A$3:$A$42,0)),""))</f>
        <v/>
      </c>
      <c r="E269" s="40" t="str">
        <f aca="false">IF($C269="","",INDEX(Planos!$C$3:$C$27,12))</f>
        <v/>
      </c>
      <c r="F269" s="40" t="str">
        <f aca="false">IF($C269="","",INDEX(Planos!$D$3:$D$27,12))</f>
        <v/>
      </c>
      <c r="G269" s="41" t="n">
        <f aca="false">IF($C269="",0,INDEX(Planos!$F$3:$F$27,12)+(3-1)*INDEX(Planos!$E$3:$E$27,12))</f>
        <v>0</v>
      </c>
      <c r="H269" s="40" t="str">
        <f aca="false">IF($C269="","",INDEX(Planos!$H$3:$H$27,12))</f>
        <v/>
      </c>
      <c r="I269" s="41" t="str">
        <f aca="false">IF($C269="","",IF(INDEX(Planos!$J$3:$AG$27,$A269,$B269)=0,"",INDEX(Planos!$J$3:$AG$27,$A269,$B269)))</f>
        <v/>
      </c>
      <c r="J269" s="26" t="str">
        <f aca="false">IF($C269="","",IF($I269&lt;&gt;"","Realizada",IF($G269&lt;INT(Parâmetros!$C$4),"Atrasada","Agendada")))</f>
        <v/>
      </c>
      <c r="K269" s="42" t="str">
        <f aca="false">IF($C269="","",IF($I269&lt;&gt;"",$I269-$G269,IF($J269="Atrasada",INT(Parâmetros!$C$4)-$G269,"")))</f>
        <v/>
      </c>
      <c r="L269" s="26" t="str">
        <f aca="false">IF($J269&lt;&gt;"Realizada","",IF($K269&lt;=0,"No prazo",IF($K269&lt;=7,"Até 7 dias",IF($K269&lt;=30,"Até 30 dias","Acima de 30"))))</f>
        <v/>
      </c>
      <c r="M269" s="26" t="str">
        <f aca="false">IF($C269="","",COUNTIFS($G$3:$G269,$G269))</f>
        <v/>
      </c>
      <c r="N269" s="26" t="str">
        <f aca="false">IF($C269="","",$G269&amp;"|"&amp;$M269)</f>
        <v/>
      </c>
    </row>
    <row r="270" customFormat="false" ht="18" hidden="false" customHeight="true" outlineLevel="0" collapsed="false">
      <c r="A270" s="26" t="n">
        <v>12</v>
      </c>
      <c r="B270" s="26" t="n">
        <v>4</v>
      </c>
      <c r="C270" s="26" t="str">
        <f aca="false">IF(INDEX(Planos!$B$3:$B$27,12)="","",IF(4&gt;INDEX(Planos!$G$3:$G$27,12),"",INDEX(Planos!$B$3:$B$27,12)))</f>
        <v/>
      </c>
      <c r="D270" s="40" t="str">
        <f aca="false">IF($C270="","",IFERROR(INDEX(Ativos!$B$3:$B$42,MATCH($C270,Ativos!$A$3:$A$42,0)),""))</f>
        <v/>
      </c>
      <c r="E270" s="40" t="str">
        <f aca="false">IF($C270="","",INDEX(Planos!$C$3:$C$27,12))</f>
        <v/>
      </c>
      <c r="F270" s="40" t="str">
        <f aca="false">IF($C270="","",INDEX(Planos!$D$3:$D$27,12))</f>
        <v/>
      </c>
      <c r="G270" s="41" t="n">
        <f aca="false">IF($C270="",0,INDEX(Planos!$F$3:$F$27,12)+(4-1)*INDEX(Planos!$E$3:$E$27,12))</f>
        <v>0</v>
      </c>
      <c r="H270" s="40" t="str">
        <f aca="false">IF($C270="","",INDEX(Planos!$H$3:$H$27,12))</f>
        <v/>
      </c>
      <c r="I270" s="41" t="str">
        <f aca="false">IF($C270="","",IF(INDEX(Planos!$J$3:$AG$27,$A270,$B270)=0,"",INDEX(Planos!$J$3:$AG$27,$A270,$B270)))</f>
        <v/>
      </c>
      <c r="J270" s="26" t="str">
        <f aca="false">IF($C270="","",IF($I270&lt;&gt;"","Realizada",IF($G270&lt;INT(Parâmetros!$C$4),"Atrasada","Agendada")))</f>
        <v/>
      </c>
      <c r="K270" s="42" t="str">
        <f aca="false">IF($C270="","",IF($I270&lt;&gt;"",$I270-$G270,IF($J270="Atrasada",INT(Parâmetros!$C$4)-$G270,"")))</f>
        <v/>
      </c>
      <c r="L270" s="26" t="str">
        <f aca="false">IF($J270&lt;&gt;"Realizada","",IF($K270&lt;=0,"No prazo",IF($K270&lt;=7,"Até 7 dias",IF($K270&lt;=30,"Até 30 dias","Acima de 30"))))</f>
        <v/>
      </c>
      <c r="M270" s="26" t="str">
        <f aca="false">IF($C270="","",COUNTIFS($G$3:$G270,$G270))</f>
        <v/>
      </c>
      <c r="N270" s="26" t="str">
        <f aca="false">IF($C270="","",$G270&amp;"|"&amp;$M270)</f>
        <v/>
      </c>
    </row>
    <row r="271" customFormat="false" ht="18" hidden="false" customHeight="true" outlineLevel="0" collapsed="false">
      <c r="A271" s="26" t="n">
        <v>12</v>
      </c>
      <c r="B271" s="26" t="n">
        <v>5</v>
      </c>
      <c r="C271" s="26" t="str">
        <f aca="false">IF(INDEX(Planos!$B$3:$B$27,12)="","",IF(5&gt;INDEX(Planos!$G$3:$G$27,12),"",INDEX(Planos!$B$3:$B$27,12)))</f>
        <v/>
      </c>
      <c r="D271" s="40" t="str">
        <f aca="false">IF($C271="","",IFERROR(INDEX(Ativos!$B$3:$B$42,MATCH($C271,Ativos!$A$3:$A$42,0)),""))</f>
        <v/>
      </c>
      <c r="E271" s="40" t="str">
        <f aca="false">IF($C271="","",INDEX(Planos!$C$3:$C$27,12))</f>
        <v/>
      </c>
      <c r="F271" s="40" t="str">
        <f aca="false">IF($C271="","",INDEX(Planos!$D$3:$D$27,12))</f>
        <v/>
      </c>
      <c r="G271" s="41" t="n">
        <f aca="false">IF($C271="",0,INDEX(Planos!$F$3:$F$27,12)+(5-1)*INDEX(Planos!$E$3:$E$27,12))</f>
        <v>0</v>
      </c>
      <c r="H271" s="40" t="str">
        <f aca="false">IF($C271="","",INDEX(Planos!$H$3:$H$27,12))</f>
        <v/>
      </c>
      <c r="I271" s="41" t="str">
        <f aca="false">IF($C271="","",IF(INDEX(Planos!$J$3:$AG$27,$A271,$B271)=0,"",INDEX(Planos!$J$3:$AG$27,$A271,$B271)))</f>
        <v/>
      </c>
      <c r="J271" s="26" t="str">
        <f aca="false">IF($C271="","",IF($I271&lt;&gt;"","Realizada",IF($G271&lt;INT(Parâmetros!$C$4),"Atrasada","Agendada")))</f>
        <v/>
      </c>
      <c r="K271" s="42" t="str">
        <f aca="false">IF($C271="","",IF($I271&lt;&gt;"",$I271-$G271,IF($J271="Atrasada",INT(Parâmetros!$C$4)-$G271,"")))</f>
        <v/>
      </c>
      <c r="L271" s="26" t="str">
        <f aca="false">IF($J271&lt;&gt;"Realizada","",IF($K271&lt;=0,"No prazo",IF($K271&lt;=7,"Até 7 dias",IF($K271&lt;=30,"Até 30 dias","Acima de 30"))))</f>
        <v/>
      </c>
      <c r="M271" s="26" t="str">
        <f aca="false">IF($C271="","",COUNTIFS($G$3:$G271,$G271))</f>
        <v/>
      </c>
      <c r="N271" s="26" t="str">
        <f aca="false">IF($C271="","",$G271&amp;"|"&amp;$M271)</f>
        <v/>
      </c>
    </row>
    <row r="272" customFormat="false" ht="18" hidden="false" customHeight="true" outlineLevel="0" collapsed="false">
      <c r="A272" s="26" t="n">
        <v>12</v>
      </c>
      <c r="B272" s="26" t="n">
        <v>6</v>
      </c>
      <c r="C272" s="26" t="str">
        <f aca="false">IF(INDEX(Planos!$B$3:$B$27,12)="","",IF(6&gt;INDEX(Planos!$G$3:$G$27,12),"",INDEX(Planos!$B$3:$B$27,12)))</f>
        <v/>
      </c>
      <c r="D272" s="40" t="str">
        <f aca="false">IF($C272="","",IFERROR(INDEX(Ativos!$B$3:$B$42,MATCH($C272,Ativos!$A$3:$A$42,0)),""))</f>
        <v/>
      </c>
      <c r="E272" s="40" t="str">
        <f aca="false">IF($C272="","",INDEX(Planos!$C$3:$C$27,12))</f>
        <v/>
      </c>
      <c r="F272" s="40" t="str">
        <f aca="false">IF($C272="","",INDEX(Planos!$D$3:$D$27,12))</f>
        <v/>
      </c>
      <c r="G272" s="41" t="n">
        <f aca="false">IF($C272="",0,INDEX(Planos!$F$3:$F$27,12)+(6-1)*INDEX(Planos!$E$3:$E$27,12))</f>
        <v>0</v>
      </c>
      <c r="H272" s="40" t="str">
        <f aca="false">IF($C272="","",INDEX(Planos!$H$3:$H$27,12))</f>
        <v/>
      </c>
      <c r="I272" s="41" t="str">
        <f aca="false">IF($C272="","",IF(INDEX(Planos!$J$3:$AG$27,$A272,$B272)=0,"",INDEX(Planos!$J$3:$AG$27,$A272,$B272)))</f>
        <v/>
      </c>
      <c r="J272" s="26" t="str">
        <f aca="false">IF($C272="","",IF($I272&lt;&gt;"","Realizada",IF($G272&lt;INT(Parâmetros!$C$4),"Atrasada","Agendada")))</f>
        <v/>
      </c>
      <c r="K272" s="42" t="str">
        <f aca="false">IF($C272="","",IF($I272&lt;&gt;"",$I272-$G272,IF($J272="Atrasada",INT(Parâmetros!$C$4)-$G272,"")))</f>
        <v/>
      </c>
      <c r="L272" s="26" t="str">
        <f aca="false">IF($J272&lt;&gt;"Realizada","",IF($K272&lt;=0,"No prazo",IF($K272&lt;=7,"Até 7 dias",IF($K272&lt;=30,"Até 30 dias","Acima de 30"))))</f>
        <v/>
      </c>
      <c r="M272" s="26" t="str">
        <f aca="false">IF($C272="","",COUNTIFS($G$3:$G272,$G272))</f>
        <v/>
      </c>
      <c r="N272" s="26" t="str">
        <f aca="false">IF($C272="","",$G272&amp;"|"&amp;$M272)</f>
        <v/>
      </c>
    </row>
    <row r="273" customFormat="false" ht="18" hidden="false" customHeight="true" outlineLevel="0" collapsed="false">
      <c r="A273" s="26" t="n">
        <v>12</v>
      </c>
      <c r="B273" s="26" t="n">
        <v>7</v>
      </c>
      <c r="C273" s="26" t="str">
        <f aca="false">IF(INDEX(Planos!$B$3:$B$27,12)="","",IF(7&gt;INDEX(Planos!$G$3:$G$27,12),"",INDEX(Planos!$B$3:$B$27,12)))</f>
        <v/>
      </c>
      <c r="D273" s="40" t="str">
        <f aca="false">IF($C273="","",IFERROR(INDEX(Ativos!$B$3:$B$42,MATCH($C273,Ativos!$A$3:$A$42,0)),""))</f>
        <v/>
      </c>
      <c r="E273" s="40" t="str">
        <f aca="false">IF($C273="","",INDEX(Planos!$C$3:$C$27,12))</f>
        <v/>
      </c>
      <c r="F273" s="40" t="str">
        <f aca="false">IF($C273="","",INDEX(Planos!$D$3:$D$27,12))</f>
        <v/>
      </c>
      <c r="G273" s="41" t="n">
        <f aca="false">IF($C273="",0,INDEX(Planos!$F$3:$F$27,12)+(7-1)*INDEX(Planos!$E$3:$E$27,12))</f>
        <v>0</v>
      </c>
      <c r="H273" s="40" t="str">
        <f aca="false">IF($C273="","",INDEX(Planos!$H$3:$H$27,12))</f>
        <v/>
      </c>
      <c r="I273" s="41" t="str">
        <f aca="false">IF($C273="","",IF(INDEX(Planos!$J$3:$AG$27,$A273,$B273)=0,"",INDEX(Planos!$J$3:$AG$27,$A273,$B273)))</f>
        <v/>
      </c>
      <c r="J273" s="26" t="str">
        <f aca="false">IF($C273="","",IF($I273&lt;&gt;"","Realizada",IF($G273&lt;INT(Parâmetros!$C$4),"Atrasada","Agendada")))</f>
        <v/>
      </c>
      <c r="K273" s="42" t="str">
        <f aca="false">IF($C273="","",IF($I273&lt;&gt;"",$I273-$G273,IF($J273="Atrasada",INT(Parâmetros!$C$4)-$G273,"")))</f>
        <v/>
      </c>
      <c r="L273" s="26" t="str">
        <f aca="false">IF($J273&lt;&gt;"Realizada","",IF($K273&lt;=0,"No prazo",IF($K273&lt;=7,"Até 7 dias",IF($K273&lt;=30,"Até 30 dias","Acima de 30"))))</f>
        <v/>
      </c>
      <c r="M273" s="26" t="str">
        <f aca="false">IF($C273="","",COUNTIFS($G$3:$G273,$G273))</f>
        <v/>
      </c>
      <c r="N273" s="26" t="str">
        <f aca="false">IF($C273="","",$G273&amp;"|"&amp;$M273)</f>
        <v/>
      </c>
    </row>
    <row r="274" customFormat="false" ht="18" hidden="false" customHeight="true" outlineLevel="0" collapsed="false">
      <c r="A274" s="26" t="n">
        <v>12</v>
      </c>
      <c r="B274" s="26" t="n">
        <v>8</v>
      </c>
      <c r="C274" s="26" t="str">
        <f aca="false">IF(INDEX(Planos!$B$3:$B$27,12)="","",IF(8&gt;INDEX(Planos!$G$3:$G$27,12),"",INDEX(Planos!$B$3:$B$27,12)))</f>
        <v/>
      </c>
      <c r="D274" s="40" t="str">
        <f aca="false">IF($C274="","",IFERROR(INDEX(Ativos!$B$3:$B$42,MATCH($C274,Ativos!$A$3:$A$42,0)),""))</f>
        <v/>
      </c>
      <c r="E274" s="40" t="str">
        <f aca="false">IF($C274="","",INDEX(Planos!$C$3:$C$27,12))</f>
        <v/>
      </c>
      <c r="F274" s="40" t="str">
        <f aca="false">IF($C274="","",INDEX(Planos!$D$3:$D$27,12))</f>
        <v/>
      </c>
      <c r="G274" s="41" t="n">
        <f aca="false">IF($C274="",0,INDEX(Planos!$F$3:$F$27,12)+(8-1)*INDEX(Planos!$E$3:$E$27,12))</f>
        <v>0</v>
      </c>
      <c r="H274" s="40" t="str">
        <f aca="false">IF($C274="","",INDEX(Planos!$H$3:$H$27,12))</f>
        <v/>
      </c>
      <c r="I274" s="41" t="str">
        <f aca="false">IF($C274="","",IF(INDEX(Planos!$J$3:$AG$27,$A274,$B274)=0,"",INDEX(Planos!$J$3:$AG$27,$A274,$B274)))</f>
        <v/>
      </c>
      <c r="J274" s="26" t="str">
        <f aca="false">IF($C274="","",IF($I274&lt;&gt;"","Realizada",IF($G274&lt;INT(Parâmetros!$C$4),"Atrasada","Agendada")))</f>
        <v/>
      </c>
      <c r="K274" s="42" t="str">
        <f aca="false">IF($C274="","",IF($I274&lt;&gt;"",$I274-$G274,IF($J274="Atrasada",INT(Parâmetros!$C$4)-$G274,"")))</f>
        <v/>
      </c>
      <c r="L274" s="26" t="str">
        <f aca="false">IF($J274&lt;&gt;"Realizada","",IF($K274&lt;=0,"No prazo",IF($K274&lt;=7,"Até 7 dias",IF($K274&lt;=30,"Até 30 dias","Acima de 30"))))</f>
        <v/>
      </c>
      <c r="M274" s="26" t="str">
        <f aca="false">IF($C274="","",COUNTIFS($G$3:$G274,$G274))</f>
        <v/>
      </c>
      <c r="N274" s="26" t="str">
        <f aca="false">IF($C274="","",$G274&amp;"|"&amp;$M274)</f>
        <v/>
      </c>
    </row>
    <row r="275" customFormat="false" ht="18" hidden="false" customHeight="true" outlineLevel="0" collapsed="false">
      <c r="A275" s="26" t="n">
        <v>12</v>
      </c>
      <c r="B275" s="26" t="n">
        <v>9</v>
      </c>
      <c r="C275" s="26" t="str">
        <f aca="false">IF(INDEX(Planos!$B$3:$B$27,12)="","",IF(9&gt;INDEX(Planos!$G$3:$G$27,12),"",INDEX(Planos!$B$3:$B$27,12)))</f>
        <v/>
      </c>
      <c r="D275" s="40" t="str">
        <f aca="false">IF($C275="","",IFERROR(INDEX(Ativos!$B$3:$B$42,MATCH($C275,Ativos!$A$3:$A$42,0)),""))</f>
        <v/>
      </c>
      <c r="E275" s="40" t="str">
        <f aca="false">IF($C275="","",INDEX(Planos!$C$3:$C$27,12))</f>
        <v/>
      </c>
      <c r="F275" s="40" t="str">
        <f aca="false">IF($C275="","",INDEX(Planos!$D$3:$D$27,12))</f>
        <v/>
      </c>
      <c r="G275" s="41" t="n">
        <f aca="false">IF($C275="",0,INDEX(Planos!$F$3:$F$27,12)+(9-1)*INDEX(Planos!$E$3:$E$27,12))</f>
        <v>0</v>
      </c>
      <c r="H275" s="40" t="str">
        <f aca="false">IF($C275="","",INDEX(Planos!$H$3:$H$27,12))</f>
        <v/>
      </c>
      <c r="I275" s="41" t="str">
        <f aca="false">IF($C275="","",IF(INDEX(Planos!$J$3:$AG$27,$A275,$B275)=0,"",INDEX(Planos!$J$3:$AG$27,$A275,$B275)))</f>
        <v/>
      </c>
      <c r="J275" s="26" t="str">
        <f aca="false">IF($C275="","",IF($I275&lt;&gt;"","Realizada",IF($G275&lt;INT(Parâmetros!$C$4),"Atrasada","Agendada")))</f>
        <v/>
      </c>
      <c r="K275" s="42" t="str">
        <f aca="false">IF($C275="","",IF($I275&lt;&gt;"",$I275-$G275,IF($J275="Atrasada",INT(Parâmetros!$C$4)-$G275,"")))</f>
        <v/>
      </c>
      <c r="L275" s="26" t="str">
        <f aca="false">IF($J275&lt;&gt;"Realizada","",IF($K275&lt;=0,"No prazo",IF($K275&lt;=7,"Até 7 dias",IF($K275&lt;=30,"Até 30 dias","Acima de 30"))))</f>
        <v/>
      </c>
      <c r="M275" s="26" t="str">
        <f aca="false">IF($C275="","",COUNTIFS($G$3:$G275,$G275))</f>
        <v/>
      </c>
      <c r="N275" s="26" t="str">
        <f aca="false">IF($C275="","",$G275&amp;"|"&amp;$M275)</f>
        <v/>
      </c>
    </row>
    <row r="276" customFormat="false" ht="18" hidden="false" customHeight="true" outlineLevel="0" collapsed="false">
      <c r="A276" s="26" t="n">
        <v>12</v>
      </c>
      <c r="B276" s="26" t="n">
        <v>10</v>
      </c>
      <c r="C276" s="26" t="str">
        <f aca="false">IF(INDEX(Planos!$B$3:$B$27,12)="","",IF(10&gt;INDEX(Planos!$G$3:$G$27,12),"",INDEX(Planos!$B$3:$B$27,12)))</f>
        <v/>
      </c>
      <c r="D276" s="40" t="str">
        <f aca="false">IF($C276="","",IFERROR(INDEX(Ativos!$B$3:$B$42,MATCH($C276,Ativos!$A$3:$A$42,0)),""))</f>
        <v/>
      </c>
      <c r="E276" s="40" t="str">
        <f aca="false">IF($C276="","",INDEX(Planos!$C$3:$C$27,12))</f>
        <v/>
      </c>
      <c r="F276" s="40" t="str">
        <f aca="false">IF($C276="","",INDEX(Planos!$D$3:$D$27,12))</f>
        <v/>
      </c>
      <c r="G276" s="41" t="n">
        <f aca="false">IF($C276="",0,INDEX(Planos!$F$3:$F$27,12)+(10-1)*INDEX(Planos!$E$3:$E$27,12))</f>
        <v>0</v>
      </c>
      <c r="H276" s="40" t="str">
        <f aca="false">IF($C276="","",INDEX(Planos!$H$3:$H$27,12))</f>
        <v/>
      </c>
      <c r="I276" s="41" t="str">
        <f aca="false">IF($C276="","",IF(INDEX(Planos!$J$3:$AG$27,$A276,$B276)=0,"",INDEX(Planos!$J$3:$AG$27,$A276,$B276)))</f>
        <v/>
      </c>
      <c r="J276" s="26" t="str">
        <f aca="false">IF($C276="","",IF($I276&lt;&gt;"","Realizada",IF($G276&lt;INT(Parâmetros!$C$4),"Atrasada","Agendada")))</f>
        <v/>
      </c>
      <c r="K276" s="42" t="str">
        <f aca="false">IF($C276="","",IF($I276&lt;&gt;"",$I276-$G276,IF($J276="Atrasada",INT(Parâmetros!$C$4)-$G276,"")))</f>
        <v/>
      </c>
      <c r="L276" s="26" t="str">
        <f aca="false">IF($J276&lt;&gt;"Realizada","",IF($K276&lt;=0,"No prazo",IF($K276&lt;=7,"Até 7 dias",IF($K276&lt;=30,"Até 30 dias","Acima de 30"))))</f>
        <v/>
      </c>
      <c r="M276" s="26" t="str">
        <f aca="false">IF($C276="","",COUNTIFS($G$3:$G276,$G276))</f>
        <v/>
      </c>
      <c r="N276" s="26" t="str">
        <f aca="false">IF($C276="","",$G276&amp;"|"&amp;$M276)</f>
        <v/>
      </c>
    </row>
    <row r="277" customFormat="false" ht="18" hidden="false" customHeight="true" outlineLevel="0" collapsed="false">
      <c r="A277" s="26" t="n">
        <v>12</v>
      </c>
      <c r="B277" s="26" t="n">
        <v>11</v>
      </c>
      <c r="C277" s="26" t="str">
        <f aca="false">IF(INDEX(Planos!$B$3:$B$27,12)="","",IF(11&gt;INDEX(Planos!$G$3:$G$27,12),"",INDEX(Planos!$B$3:$B$27,12)))</f>
        <v/>
      </c>
      <c r="D277" s="40" t="str">
        <f aca="false">IF($C277="","",IFERROR(INDEX(Ativos!$B$3:$B$42,MATCH($C277,Ativos!$A$3:$A$42,0)),""))</f>
        <v/>
      </c>
      <c r="E277" s="40" t="str">
        <f aca="false">IF($C277="","",INDEX(Planos!$C$3:$C$27,12))</f>
        <v/>
      </c>
      <c r="F277" s="40" t="str">
        <f aca="false">IF($C277="","",INDEX(Planos!$D$3:$D$27,12))</f>
        <v/>
      </c>
      <c r="G277" s="41" t="n">
        <f aca="false">IF($C277="",0,INDEX(Planos!$F$3:$F$27,12)+(11-1)*INDEX(Planos!$E$3:$E$27,12))</f>
        <v>0</v>
      </c>
      <c r="H277" s="40" t="str">
        <f aca="false">IF($C277="","",INDEX(Planos!$H$3:$H$27,12))</f>
        <v/>
      </c>
      <c r="I277" s="41" t="str">
        <f aca="false">IF($C277="","",IF(INDEX(Planos!$J$3:$AG$27,$A277,$B277)=0,"",INDEX(Planos!$J$3:$AG$27,$A277,$B277)))</f>
        <v/>
      </c>
      <c r="J277" s="26" t="str">
        <f aca="false">IF($C277="","",IF($I277&lt;&gt;"","Realizada",IF($G277&lt;INT(Parâmetros!$C$4),"Atrasada","Agendada")))</f>
        <v/>
      </c>
      <c r="K277" s="42" t="str">
        <f aca="false">IF($C277="","",IF($I277&lt;&gt;"",$I277-$G277,IF($J277="Atrasada",INT(Parâmetros!$C$4)-$G277,"")))</f>
        <v/>
      </c>
      <c r="L277" s="26" t="str">
        <f aca="false">IF($J277&lt;&gt;"Realizada","",IF($K277&lt;=0,"No prazo",IF($K277&lt;=7,"Até 7 dias",IF($K277&lt;=30,"Até 30 dias","Acima de 30"))))</f>
        <v/>
      </c>
      <c r="M277" s="26" t="str">
        <f aca="false">IF($C277="","",COUNTIFS($G$3:$G277,$G277))</f>
        <v/>
      </c>
      <c r="N277" s="26" t="str">
        <f aca="false">IF($C277="","",$G277&amp;"|"&amp;$M277)</f>
        <v/>
      </c>
    </row>
    <row r="278" customFormat="false" ht="18" hidden="false" customHeight="true" outlineLevel="0" collapsed="false">
      <c r="A278" s="26" t="n">
        <v>12</v>
      </c>
      <c r="B278" s="26" t="n">
        <v>12</v>
      </c>
      <c r="C278" s="26" t="str">
        <f aca="false">IF(INDEX(Planos!$B$3:$B$27,12)="","",IF(12&gt;INDEX(Planos!$G$3:$G$27,12),"",INDEX(Planos!$B$3:$B$27,12)))</f>
        <v/>
      </c>
      <c r="D278" s="40" t="str">
        <f aca="false">IF($C278="","",IFERROR(INDEX(Ativos!$B$3:$B$42,MATCH($C278,Ativos!$A$3:$A$42,0)),""))</f>
        <v/>
      </c>
      <c r="E278" s="40" t="str">
        <f aca="false">IF($C278="","",INDEX(Planos!$C$3:$C$27,12))</f>
        <v/>
      </c>
      <c r="F278" s="40" t="str">
        <f aca="false">IF($C278="","",INDEX(Planos!$D$3:$D$27,12))</f>
        <v/>
      </c>
      <c r="G278" s="41" t="n">
        <f aca="false">IF($C278="",0,INDEX(Planos!$F$3:$F$27,12)+(12-1)*INDEX(Planos!$E$3:$E$27,12))</f>
        <v>0</v>
      </c>
      <c r="H278" s="40" t="str">
        <f aca="false">IF($C278="","",INDEX(Planos!$H$3:$H$27,12))</f>
        <v/>
      </c>
      <c r="I278" s="41" t="str">
        <f aca="false">IF($C278="","",IF(INDEX(Planos!$J$3:$AG$27,$A278,$B278)=0,"",INDEX(Planos!$J$3:$AG$27,$A278,$B278)))</f>
        <v/>
      </c>
      <c r="J278" s="26" t="str">
        <f aca="false">IF($C278="","",IF($I278&lt;&gt;"","Realizada",IF($G278&lt;INT(Parâmetros!$C$4),"Atrasada","Agendada")))</f>
        <v/>
      </c>
      <c r="K278" s="42" t="str">
        <f aca="false">IF($C278="","",IF($I278&lt;&gt;"",$I278-$G278,IF($J278="Atrasada",INT(Parâmetros!$C$4)-$G278,"")))</f>
        <v/>
      </c>
      <c r="L278" s="26" t="str">
        <f aca="false">IF($J278&lt;&gt;"Realizada","",IF($K278&lt;=0,"No prazo",IF($K278&lt;=7,"Até 7 dias",IF($K278&lt;=30,"Até 30 dias","Acima de 30"))))</f>
        <v/>
      </c>
      <c r="M278" s="26" t="str">
        <f aca="false">IF($C278="","",COUNTIFS($G$3:$G278,$G278))</f>
        <v/>
      </c>
      <c r="N278" s="26" t="str">
        <f aca="false">IF($C278="","",$G278&amp;"|"&amp;$M278)</f>
        <v/>
      </c>
    </row>
    <row r="279" customFormat="false" ht="18" hidden="false" customHeight="true" outlineLevel="0" collapsed="false">
      <c r="A279" s="26" t="n">
        <v>12</v>
      </c>
      <c r="B279" s="26" t="n">
        <v>13</v>
      </c>
      <c r="C279" s="26" t="str">
        <f aca="false">IF(INDEX(Planos!$B$3:$B$27,12)="","",IF(13&gt;INDEX(Planos!$G$3:$G$27,12),"",INDEX(Planos!$B$3:$B$27,12)))</f>
        <v/>
      </c>
      <c r="D279" s="40" t="str">
        <f aca="false">IF($C279="","",IFERROR(INDEX(Ativos!$B$3:$B$42,MATCH($C279,Ativos!$A$3:$A$42,0)),""))</f>
        <v/>
      </c>
      <c r="E279" s="40" t="str">
        <f aca="false">IF($C279="","",INDEX(Planos!$C$3:$C$27,12))</f>
        <v/>
      </c>
      <c r="F279" s="40" t="str">
        <f aca="false">IF($C279="","",INDEX(Planos!$D$3:$D$27,12))</f>
        <v/>
      </c>
      <c r="G279" s="41" t="n">
        <f aca="false">IF($C279="",0,INDEX(Planos!$F$3:$F$27,12)+(13-1)*INDEX(Planos!$E$3:$E$27,12))</f>
        <v>0</v>
      </c>
      <c r="H279" s="40" t="str">
        <f aca="false">IF($C279="","",INDEX(Planos!$H$3:$H$27,12))</f>
        <v/>
      </c>
      <c r="I279" s="41" t="str">
        <f aca="false">IF($C279="","",IF(INDEX(Planos!$J$3:$AG$27,$A279,$B279)=0,"",INDEX(Planos!$J$3:$AG$27,$A279,$B279)))</f>
        <v/>
      </c>
      <c r="J279" s="26" t="str">
        <f aca="false">IF($C279="","",IF($I279&lt;&gt;"","Realizada",IF($G279&lt;INT(Parâmetros!$C$4),"Atrasada","Agendada")))</f>
        <v/>
      </c>
      <c r="K279" s="42" t="str">
        <f aca="false">IF($C279="","",IF($I279&lt;&gt;"",$I279-$G279,IF($J279="Atrasada",INT(Parâmetros!$C$4)-$G279,"")))</f>
        <v/>
      </c>
      <c r="L279" s="26" t="str">
        <f aca="false">IF($J279&lt;&gt;"Realizada","",IF($K279&lt;=0,"No prazo",IF($K279&lt;=7,"Até 7 dias",IF($K279&lt;=30,"Até 30 dias","Acima de 30"))))</f>
        <v/>
      </c>
      <c r="M279" s="26" t="str">
        <f aca="false">IF($C279="","",COUNTIFS($G$3:$G279,$G279))</f>
        <v/>
      </c>
      <c r="N279" s="26" t="str">
        <f aca="false">IF($C279="","",$G279&amp;"|"&amp;$M279)</f>
        <v/>
      </c>
    </row>
    <row r="280" customFormat="false" ht="18" hidden="false" customHeight="true" outlineLevel="0" collapsed="false">
      <c r="A280" s="26" t="n">
        <v>12</v>
      </c>
      <c r="B280" s="26" t="n">
        <v>14</v>
      </c>
      <c r="C280" s="26" t="str">
        <f aca="false">IF(INDEX(Planos!$B$3:$B$27,12)="","",IF(14&gt;INDEX(Planos!$G$3:$G$27,12),"",INDEX(Planos!$B$3:$B$27,12)))</f>
        <v/>
      </c>
      <c r="D280" s="40" t="str">
        <f aca="false">IF($C280="","",IFERROR(INDEX(Ativos!$B$3:$B$42,MATCH($C280,Ativos!$A$3:$A$42,0)),""))</f>
        <v/>
      </c>
      <c r="E280" s="40" t="str">
        <f aca="false">IF($C280="","",INDEX(Planos!$C$3:$C$27,12))</f>
        <v/>
      </c>
      <c r="F280" s="40" t="str">
        <f aca="false">IF($C280="","",INDEX(Planos!$D$3:$D$27,12))</f>
        <v/>
      </c>
      <c r="G280" s="41" t="n">
        <f aca="false">IF($C280="",0,INDEX(Planos!$F$3:$F$27,12)+(14-1)*INDEX(Planos!$E$3:$E$27,12))</f>
        <v>0</v>
      </c>
      <c r="H280" s="40" t="str">
        <f aca="false">IF($C280="","",INDEX(Planos!$H$3:$H$27,12))</f>
        <v/>
      </c>
      <c r="I280" s="41" t="str">
        <f aca="false">IF($C280="","",IF(INDEX(Planos!$J$3:$AG$27,$A280,$B280)=0,"",INDEX(Planos!$J$3:$AG$27,$A280,$B280)))</f>
        <v/>
      </c>
      <c r="J280" s="26" t="str">
        <f aca="false">IF($C280="","",IF($I280&lt;&gt;"","Realizada",IF($G280&lt;INT(Parâmetros!$C$4),"Atrasada","Agendada")))</f>
        <v/>
      </c>
      <c r="K280" s="42" t="str">
        <f aca="false">IF($C280="","",IF($I280&lt;&gt;"",$I280-$G280,IF($J280="Atrasada",INT(Parâmetros!$C$4)-$G280,"")))</f>
        <v/>
      </c>
      <c r="L280" s="26" t="str">
        <f aca="false">IF($J280&lt;&gt;"Realizada","",IF($K280&lt;=0,"No prazo",IF($K280&lt;=7,"Até 7 dias",IF($K280&lt;=30,"Até 30 dias","Acima de 30"))))</f>
        <v/>
      </c>
      <c r="M280" s="26" t="str">
        <f aca="false">IF($C280="","",COUNTIFS($G$3:$G280,$G280))</f>
        <v/>
      </c>
      <c r="N280" s="26" t="str">
        <f aca="false">IF($C280="","",$G280&amp;"|"&amp;$M280)</f>
        <v/>
      </c>
    </row>
    <row r="281" customFormat="false" ht="18" hidden="false" customHeight="true" outlineLevel="0" collapsed="false">
      <c r="A281" s="26" t="n">
        <v>12</v>
      </c>
      <c r="B281" s="26" t="n">
        <v>15</v>
      </c>
      <c r="C281" s="26" t="str">
        <f aca="false">IF(INDEX(Planos!$B$3:$B$27,12)="","",IF(15&gt;INDEX(Planos!$G$3:$G$27,12),"",INDEX(Planos!$B$3:$B$27,12)))</f>
        <v/>
      </c>
      <c r="D281" s="40" t="str">
        <f aca="false">IF($C281="","",IFERROR(INDEX(Ativos!$B$3:$B$42,MATCH($C281,Ativos!$A$3:$A$42,0)),""))</f>
        <v/>
      </c>
      <c r="E281" s="40" t="str">
        <f aca="false">IF($C281="","",INDEX(Planos!$C$3:$C$27,12))</f>
        <v/>
      </c>
      <c r="F281" s="40" t="str">
        <f aca="false">IF($C281="","",INDEX(Planos!$D$3:$D$27,12))</f>
        <v/>
      </c>
      <c r="G281" s="41" t="n">
        <f aca="false">IF($C281="",0,INDEX(Planos!$F$3:$F$27,12)+(15-1)*INDEX(Planos!$E$3:$E$27,12))</f>
        <v>0</v>
      </c>
      <c r="H281" s="40" t="str">
        <f aca="false">IF($C281="","",INDEX(Planos!$H$3:$H$27,12))</f>
        <v/>
      </c>
      <c r="I281" s="41" t="str">
        <f aca="false">IF($C281="","",IF(INDEX(Planos!$J$3:$AG$27,$A281,$B281)=0,"",INDEX(Planos!$J$3:$AG$27,$A281,$B281)))</f>
        <v/>
      </c>
      <c r="J281" s="26" t="str">
        <f aca="false">IF($C281="","",IF($I281&lt;&gt;"","Realizada",IF($G281&lt;INT(Parâmetros!$C$4),"Atrasada","Agendada")))</f>
        <v/>
      </c>
      <c r="K281" s="42" t="str">
        <f aca="false">IF($C281="","",IF($I281&lt;&gt;"",$I281-$G281,IF($J281="Atrasada",INT(Parâmetros!$C$4)-$G281,"")))</f>
        <v/>
      </c>
      <c r="L281" s="26" t="str">
        <f aca="false">IF($J281&lt;&gt;"Realizada","",IF($K281&lt;=0,"No prazo",IF($K281&lt;=7,"Até 7 dias",IF($K281&lt;=30,"Até 30 dias","Acima de 30"))))</f>
        <v/>
      </c>
      <c r="M281" s="26" t="str">
        <f aca="false">IF($C281="","",COUNTIFS($G$3:$G281,$G281))</f>
        <v/>
      </c>
      <c r="N281" s="26" t="str">
        <f aca="false">IF($C281="","",$G281&amp;"|"&amp;$M281)</f>
        <v/>
      </c>
    </row>
    <row r="282" customFormat="false" ht="18" hidden="false" customHeight="true" outlineLevel="0" collapsed="false">
      <c r="A282" s="26" t="n">
        <v>12</v>
      </c>
      <c r="B282" s="26" t="n">
        <v>16</v>
      </c>
      <c r="C282" s="26" t="str">
        <f aca="false">IF(INDEX(Planos!$B$3:$B$27,12)="","",IF(16&gt;INDEX(Planos!$G$3:$G$27,12),"",INDEX(Planos!$B$3:$B$27,12)))</f>
        <v/>
      </c>
      <c r="D282" s="40" t="str">
        <f aca="false">IF($C282="","",IFERROR(INDEX(Ativos!$B$3:$B$42,MATCH($C282,Ativos!$A$3:$A$42,0)),""))</f>
        <v/>
      </c>
      <c r="E282" s="40" t="str">
        <f aca="false">IF($C282="","",INDEX(Planos!$C$3:$C$27,12))</f>
        <v/>
      </c>
      <c r="F282" s="40" t="str">
        <f aca="false">IF($C282="","",INDEX(Planos!$D$3:$D$27,12))</f>
        <v/>
      </c>
      <c r="G282" s="41" t="n">
        <f aca="false">IF($C282="",0,INDEX(Planos!$F$3:$F$27,12)+(16-1)*INDEX(Planos!$E$3:$E$27,12))</f>
        <v>0</v>
      </c>
      <c r="H282" s="40" t="str">
        <f aca="false">IF($C282="","",INDEX(Planos!$H$3:$H$27,12))</f>
        <v/>
      </c>
      <c r="I282" s="41" t="str">
        <f aca="false">IF($C282="","",IF(INDEX(Planos!$J$3:$AG$27,$A282,$B282)=0,"",INDEX(Planos!$J$3:$AG$27,$A282,$B282)))</f>
        <v/>
      </c>
      <c r="J282" s="26" t="str">
        <f aca="false">IF($C282="","",IF($I282&lt;&gt;"","Realizada",IF($G282&lt;INT(Parâmetros!$C$4),"Atrasada","Agendada")))</f>
        <v/>
      </c>
      <c r="K282" s="42" t="str">
        <f aca="false">IF($C282="","",IF($I282&lt;&gt;"",$I282-$G282,IF($J282="Atrasada",INT(Parâmetros!$C$4)-$G282,"")))</f>
        <v/>
      </c>
      <c r="L282" s="26" t="str">
        <f aca="false">IF($J282&lt;&gt;"Realizada","",IF($K282&lt;=0,"No prazo",IF($K282&lt;=7,"Até 7 dias",IF($K282&lt;=30,"Até 30 dias","Acima de 30"))))</f>
        <v/>
      </c>
      <c r="M282" s="26" t="str">
        <f aca="false">IF($C282="","",COUNTIFS($G$3:$G282,$G282))</f>
        <v/>
      </c>
      <c r="N282" s="26" t="str">
        <f aca="false">IF($C282="","",$G282&amp;"|"&amp;$M282)</f>
        <v/>
      </c>
    </row>
    <row r="283" customFormat="false" ht="18" hidden="false" customHeight="true" outlineLevel="0" collapsed="false">
      <c r="A283" s="26" t="n">
        <v>12</v>
      </c>
      <c r="B283" s="26" t="n">
        <v>17</v>
      </c>
      <c r="C283" s="26" t="str">
        <f aca="false">IF(INDEX(Planos!$B$3:$B$27,12)="","",IF(17&gt;INDEX(Planos!$G$3:$G$27,12),"",INDEX(Planos!$B$3:$B$27,12)))</f>
        <v/>
      </c>
      <c r="D283" s="40" t="str">
        <f aca="false">IF($C283="","",IFERROR(INDEX(Ativos!$B$3:$B$42,MATCH($C283,Ativos!$A$3:$A$42,0)),""))</f>
        <v/>
      </c>
      <c r="E283" s="40" t="str">
        <f aca="false">IF($C283="","",INDEX(Planos!$C$3:$C$27,12))</f>
        <v/>
      </c>
      <c r="F283" s="40" t="str">
        <f aca="false">IF($C283="","",INDEX(Planos!$D$3:$D$27,12))</f>
        <v/>
      </c>
      <c r="G283" s="41" t="n">
        <f aca="false">IF($C283="",0,INDEX(Planos!$F$3:$F$27,12)+(17-1)*INDEX(Planos!$E$3:$E$27,12))</f>
        <v>0</v>
      </c>
      <c r="H283" s="40" t="str">
        <f aca="false">IF($C283="","",INDEX(Planos!$H$3:$H$27,12))</f>
        <v/>
      </c>
      <c r="I283" s="41" t="str">
        <f aca="false">IF($C283="","",IF(INDEX(Planos!$J$3:$AG$27,$A283,$B283)=0,"",INDEX(Planos!$J$3:$AG$27,$A283,$B283)))</f>
        <v/>
      </c>
      <c r="J283" s="26" t="str">
        <f aca="false">IF($C283="","",IF($I283&lt;&gt;"","Realizada",IF($G283&lt;INT(Parâmetros!$C$4),"Atrasada","Agendada")))</f>
        <v/>
      </c>
      <c r="K283" s="42" t="str">
        <f aca="false">IF($C283="","",IF($I283&lt;&gt;"",$I283-$G283,IF($J283="Atrasada",INT(Parâmetros!$C$4)-$G283,"")))</f>
        <v/>
      </c>
      <c r="L283" s="26" t="str">
        <f aca="false">IF($J283&lt;&gt;"Realizada","",IF($K283&lt;=0,"No prazo",IF($K283&lt;=7,"Até 7 dias",IF($K283&lt;=30,"Até 30 dias","Acima de 30"))))</f>
        <v/>
      </c>
      <c r="M283" s="26" t="str">
        <f aca="false">IF($C283="","",COUNTIFS($G$3:$G283,$G283))</f>
        <v/>
      </c>
      <c r="N283" s="26" t="str">
        <f aca="false">IF($C283="","",$G283&amp;"|"&amp;$M283)</f>
        <v/>
      </c>
    </row>
    <row r="284" customFormat="false" ht="18" hidden="false" customHeight="true" outlineLevel="0" collapsed="false">
      <c r="A284" s="26" t="n">
        <v>12</v>
      </c>
      <c r="B284" s="26" t="n">
        <v>18</v>
      </c>
      <c r="C284" s="26" t="str">
        <f aca="false">IF(INDEX(Planos!$B$3:$B$27,12)="","",IF(18&gt;INDEX(Planos!$G$3:$G$27,12),"",INDEX(Planos!$B$3:$B$27,12)))</f>
        <v/>
      </c>
      <c r="D284" s="40" t="str">
        <f aca="false">IF($C284="","",IFERROR(INDEX(Ativos!$B$3:$B$42,MATCH($C284,Ativos!$A$3:$A$42,0)),""))</f>
        <v/>
      </c>
      <c r="E284" s="40" t="str">
        <f aca="false">IF($C284="","",INDEX(Planos!$C$3:$C$27,12))</f>
        <v/>
      </c>
      <c r="F284" s="40" t="str">
        <f aca="false">IF($C284="","",INDEX(Planos!$D$3:$D$27,12))</f>
        <v/>
      </c>
      <c r="G284" s="41" t="n">
        <f aca="false">IF($C284="",0,INDEX(Planos!$F$3:$F$27,12)+(18-1)*INDEX(Planos!$E$3:$E$27,12))</f>
        <v>0</v>
      </c>
      <c r="H284" s="40" t="str">
        <f aca="false">IF($C284="","",INDEX(Planos!$H$3:$H$27,12))</f>
        <v/>
      </c>
      <c r="I284" s="41" t="str">
        <f aca="false">IF($C284="","",IF(INDEX(Planos!$J$3:$AG$27,$A284,$B284)=0,"",INDEX(Planos!$J$3:$AG$27,$A284,$B284)))</f>
        <v/>
      </c>
      <c r="J284" s="26" t="str">
        <f aca="false">IF($C284="","",IF($I284&lt;&gt;"","Realizada",IF($G284&lt;INT(Parâmetros!$C$4),"Atrasada","Agendada")))</f>
        <v/>
      </c>
      <c r="K284" s="42" t="str">
        <f aca="false">IF($C284="","",IF($I284&lt;&gt;"",$I284-$G284,IF($J284="Atrasada",INT(Parâmetros!$C$4)-$G284,"")))</f>
        <v/>
      </c>
      <c r="L284" s="26" t="str">
        <f aca="false">IF($J284&lt;&gt;"Realizada","",IF($K284&lt;=0,"No prazo",IF($K284&lt;=7,"Até 7 dias",IF($K284&lt;=30,"Até 30 dias","Acima de 30"))))</f>
        <v/>
      </c>
      <c r="M284" s="26" t="str">
        <f aca="false">IF($C284="","",COUNTIFS($G$3:$G284,$G284))</f>
        <v/>
      </c>
      <c r="N284" s="26" t="str">
        <f aca="false">IF($C284="","",$G284&amp;"|"&amp;$M284)</f>
        <v/>
      </c>
    </row>
    <row r="285" customFormat="false" ht="18" hidden="false" customHeight="true" outlineLevel="0" collapsed="false">
      <c r="A285" s="26" t="n">
        <v>12</v>
      </c>
      <c r="B285" s="26" t="n">
        <v>19</v>
      </c>
      <c r="C285" s="26" t="str">
        <f aca="false">IF(INDEX(Planos!$B$3:$B$27,12)="","",IF(19&gt;INDEX(Planos!$G$3:$G$27,12),"",INDEX(Planos!$B$3:$B$27,12)))</f>
        <v/>
      </c>
      <c r="D285" s="40" t="str">
        <f aca="false">IF($C285="","",IFERROR(INDEX(Ativos!$B$3:$B$42,MATCH($C285,Ativos!$A$3:$A$42,0)),""))</f>
        <v/>
      </c>
      <c r="E285" s="40" t="str">
        <f aca="false">IF($C285="","",INDEX(Planos!$C$3:$C$27,12))</f>
        <v/>
      </c>
      <c r="F285" s="40" t="str">
        <f aca="false">IF($C285="","",INDEX(Planos!$D$3:$D$27,12))</f>
        <v/>
      </c>
      <c r="G285" s="41" t="n">
        <f aca="false">IF($C285="",0,INDEX(Planos!$F$3:$F$27,12)+(19-1)*INDEX(Planos!$E$3:$E$27,12))</f>
        <v>0</v>
      </c>
      <c r="H285" s="40" t="str">
        <f aca="false">IF($C285="","",INDEX(Planos!$H$3:$H$27,12))</f>
        <v/>
      </c>
      <c r="I285" s="41" t="str">
        <f aca="false">IF($C285="","",IF(INDEX(Planos!$J$3:$AG$27,$A285,$B285)=0,"",INDEX(Planos!$J$3:$AG$27,$A285,$B285)))</f>
        <v/>
      </c>
      <c r="J285" s="26" t="str">
        <f aca="false">IF($C285="","",IF($I285&lt;&gt;"","Realizada",IF($G285&lt;INT(Parâmetros!$C$4),"Atrasada","Agendada")))</f>
        <v/>
      </c>
      <c r="K285" s="42" t="str">
        <f aca="false">IF($C285="","",IF($I285&lt;&gt;"",$I285-$G285,IF($J285="Atrasada",INT(Parâmetros!$C$4)-$G285,"")))</f>
        <v/>
      </c>
      <c r="L285" s="26" t="str">
        <f aca="false">IF($J285&lt;&gt;"Realizada","",IF($K285&lt;=0,"No prazo",IF($K285&lt;=7,"Até 7 dias",IF($K285&lt;=30,"Até 30 dias","Acima de 30"))))</f>
        <v/>
      </c>
      <c r="M285" s="26" t="str">
        <f aca="false">IF($C285="","",COUNTIFS($G$3:$G285,$G285))</f>
        <v/>
      </c>
      <c r="N285" s="26" t="str">
        <f aca="false">IF($C285="","",$G285&amp;"|"&amp;$M285)</f>
        <v/>
      </c>
    </row>
    <row r="286" customFormat="false" ht="18" hidden="false" customHeight="true" outlineLevel="0" collapsed="false">
      <c r="A286" s="26" t="n">
        <v>12</v>
      </c>
      <c r="B286" s="26" t="n">
        <v>20</v>
      </c>
      <c r="C286" s="26" t="str">
        <f aca="false">IF(INDEX(Planos!$B$3:$B$27,12)="","",IF(20&gt;INDEX(Planos!$G$3:$G$27,12),"",INDEX(Planos!$B$3:$B$27,12)))</f>
        <v/>
      </c>
      <c r="D286" s="40" t="str">
        <f aca="false">IF($C286="","",IFERROR(INDEX(Ativos!$B$3:$B$42,MATCH($C286,Ativos!$A$3:$A$42,0)),""))</f>
        <v/>
      </c>
      <c r="E286" s="40" t="str">
        <f aca="false">IF($C286="","",INDEX(Planos!$C$3:$C$27,12))</f>
        <v/>
      </c>
      <c r="F286" s="40" t="str">
        <f aca="false">IF($C286="","",INDEX(Planos!$D$3:$D$27,12))</f>
        <v/>
      </c>
      <c r="G286" s="41" t="n">
        <f aca="false">IF($C286="",0,INDEX(Planos!$F$3:$F$27,12)+(20-1)*INDEX(Planos!$E$3:$E$27,12))</f>
        <v>0</v>
      </c>
      <c r="H286" s="40" t="str">
        <f aca="false">IF($C286="","",INDEX(Planos!$H$3:$H$27,12))</f>
        <v/>
      </c>
      <c r="I286" s="41" t="str">
        <f aca="false">IF($C286="","",IF(INDEX(Planos!$J$3:$AG$27,$A286,$B286)=0,"",INDEX(Planos!$J$3:$AG$27,$A286,$B286)))</f>
        <v/>
      </c>
      <c r="J286" s="26" t="str">
        <f aca="false">IF($C286="","",IF($I286&lt;&gt;"","Realizada",IF($G286&lt;INT(Parâmetros!$C$4),"Atrasada","Agendada")))</f>
        <v/>
      </c>
      <c r="K286" s="42" t="str">
        <f aca="false">IF($C286="","",IF($I286&lt;&gt;"",$I286-$G286,IF($J286="Atrasada",INT(Parâmetros!$C$4)-$G286,"")))</f>
        <v/>
      </c>
      <c r="L286" s="26" t="str">
        <f aca="false">IF($J286&lt;&gt;"Realizada","",IF($K286&lt;=0,"No prazo",IF($K286&lt;=7,"Até 7 dias",IF($K286&lt;=30,"Até 30 dias","Acima de 30"))))</f>
        <v/>
      </c>
      <c r="M286" s="26" t="str">
        <f aca="false">IF($C286="","",COUNTIFS($G$3:$G286,$G286))</f>
        <v/>
      </c>
      <c r="N286" s="26" t="str">
        <f aca="false">IF($C286="","",$G286&amp;"|"&amp;$M286)</f>
        <v/>
      </c>
    </row>
    <row r="287" customFormat="false" ht="18" hidden="false" customHeight="true" outlineLevel="0" collapsed="false">
      <c r="A287" s="26" t="n">
        <v>12</v>
      </c>
      <c r="B287" s="26" t="n">
        <v>21</v>
      </c>
      <c r="C287" s="26" t="str">
        <f aca="false">IF(INDEX(Planos!$B$3:$B$27,12)="","",IF(21&gt;INDEX(Planos!$G$3:$G$27,12),"",INDEX(Planos!$B$3:$B$27,12)))</f>
        <v/>
      </c>
      <c r="D287" s="40" t="str">
        <f aca="false">IF($C287="","",IFERROR(INDEX(Ativos!$B$3:$B$42,MATCH($C287,Ativos!$A$3:$A$42,0)),""))</f>
        <v/>
      </c>
      <c r="E287" s="40" t="str">
        <f aca="false">IF($C287="","",INDEX(Planos!$C$3:$C$27,12))</f>
        <v/>
      </c>
      <c r="F287" s="40" t="str">
        <f aca="false">IF($C287="","",INDEX(Planos!$D$3:$D$27,12))</f>
        <v/>
      </c>
      <c r="G287" s="41" t="n">
        <f aca="false">IF($C287="",0,INDEX(Planos!$F$3:$F$27,12)+(21-1)*INDEX(Planos!$E$3:$E$27,12))</f>
        <v>0</v>
      </c>
      <c r="H287" s="40" t="str">
        <f aca="false">IF($C287="","",INDEX(Planos!$H$3:$H$27,12))</f>
        <v/>
      </c>
      <c r="I287" s="41" t="str">
        <f aca="false">IF($C287="","",IF(INDEX(Planos!$J$3:$AG$27,$A287,$B287)=0,"",INDEX(Planos!$J$3:$AG$27,$A287,$B287)))</f>
        <v/>
      </c>
      <c r="J287" s="26" t="str">
        <f aca="false">IF($C287="","",IF($I287&lt;&gt;"","Realizada",IF($G287&lt;INT(Parâmetros!$C$4),"Atrasada","Agendada")))</f>
        <v/>
      </c>
      <c r="K287" s="42" t="str">
        <f aca="false">IF($C287="","",IF($I287&lt;&gt;"",$I287-$G287,IF($J287="Atrasada",INT(Parâmetros!$C$4)-$G287,"")))</f>
        <v/>
      </c>
      <c r="L287" s="26" t="str">
        <f aca="false">IF($J287&lt;&gt;"Realizada","",IF($K287&lt;=0,"No prazo",IF($K287&lt;=7,"Até 7 dias",IF($K287&lt;=30,"Até 30 dias","Acima de 30"))))</f>
        <v/>
      </c>
      <c r="M287" s="26" t="str">
        <f aca="false">IF($C287="","",COUNTIFS($G$3:$G287,$G287))</f>
        <v/>
      </c>
      <c r="N287" s="26" t="str">
        <f aca="false">IF($C287="","",$G287&amp;"|"&amp;$M287)</f>
        <v/>
      </c>
    </row>
    <row r="288" customFormat="false" ht="18" hidden="false" customHeight="true" outlineLevel="0" collapsed="false">
      <c r="A288" s="26" t="n">
        <v>12</v>
      </c>
      <c r="B288" s="26" t="n">
        <v>22</v>
      </c>
      <c r="C288" s="26" t="str">
        <f aca="false">IF(INDEX(Planos!$B$3:$B$27,12)="","",IF(22&gt;INDEX(Planos!$G$3:$G$27,12),"",INDEX(Planos!$B$3:$B$27,12)))</f>
        <v/>
      </c>
      <c r="D288" s="40" t="str">
        <f aca="false">IF($C288="","",IFERROR(INDEX(Ativos!$B$3:$B$42,MATCH($C288,Ativos!$A$3:$A$42,0)),""))</f>
        <v/>
      </c>
      <c r="E288" s="40" t="str">
        <f aca="false">IF($C288="","",INDEX(Planos!$C$3:$C$27,12))</f>
        <v/>
      </c>
      <c r="F288" s="40" t="str">
        <f aca="false">IF($C288="","",INDEX(Planos!$D$3:$D$27,12))</f>
        <v/>
      </c>
      <c r="G288" s="41" t="n">
        <f aca="false">IF($C288="",0,INDEX(Planos!$F$3:$F$27,12)+(22-1)*INDEX(Planos!$E$3:$E$27,12))</f>
        <v>0</v>
      </c>
      <c r="H288" s="40" t="str">
        <f aca="false">IF($C288="","",INDEX(Planos!$H$3:$H$27,12))</f>
        <v/>
      </c>
      <c r="I288" s="41" t="str">
        <f aca="false">IF($C288="","",IF(INDEX(Planos!$J$3:$AG$27,$A288,$B288)=0,"",INDEX(Planos!$J$3:$AG$27,$A288,$B288)))</f>
        <v/>
      </c>
      <c r="J288" s="26" t="str">
        <f aca="false">IF($C288="","",IF($I288&lt;&gt;"","Realizada",IF($G288&lt;INT(Parâmetros!$C$4),"Atrasada","Agendada")))</f>
        <v/>
      </c>
      <c r="K288" s="42" t="str">
        <f aca="false">IF($C288="","",IF($I288&lt;&gt;"",$I288-$G288,IF($J288="Atrasada",INT(Parâmetros!$C$4)-$G288,"")))</f>
        <v/>
      </c>
      <c r="L288" s="26" t="str">
        <f aca="false">IF($J288&lt;&gt;"Realizada","",IF($K288&lt;=0,"No prazo",IF($K288&lt;=7,"Até 7 dias",IF($K288&lt;=30,"Até 30 dias","Acima de 30"))))</f>
        <v/>
      </c>
      <c r="M288" s="26" t="str">
        <f aca="false">IF($C288="","",COUNTIFS($G$3:$G288,$G288))</f>
        <v/>
      </c>
      <c r="N288" s="26" t="str">
        <f aca="false">IF($C288="","",$G288&amp;"|"&amp;$M288)</f>
        <v/>
      </c>
    </row>
    <row r="289" customFormat="false" ht="18" hidden="false" customHeight="true" outlineLevel="0" collapsed="false">
      <c r="A289" s="26" t="n">
        <v>12</v>
      </c>
      <c r="B289" s="26" t="n">
        <v>23</v>
      </c>
      <c r="C289" s="26" t="str">
        <f aca="false">IF(INDEX(Planos!$B$3:$B$27,12)="","",IF(23&gt;INDEX(Planos!$G$3:$G$27,12),"",INDEX(Planos!$B$3:$B$27,12)))</f>
        <v/>
      </c>
      <c r="D289" s="40" t="str">
        <f aca="false">IF($C289="","",IFERROR(INDEX(Ativos!$B$3:$B$42,MATCH($C289,Ativos!$A$3:$A$42,0)),""))</f>
        <v/>
      </c>
      <c r="E289" s="40" t="str">
        <f aca="false">IF($C289="","",INDEX(Planos!$C$3:$C$27,12))</f>
        <v/>
      </c>
      <c r="F289" s="40" t="str">
        <f aca="false">IF($C289="","",INDEX(Planos!$D$3:$D$27,12))</f>
        <v/>
      </c>
      <c r="G289" s="41" t="n">
        <f aca="false">IF($C289="",0,INDEX(Planos!$F$3:$F$27,12)+(23-1)*INDEX(Planos!$E$3:$E$27,12))</f>
        <v>0</v>
      </c>
      <c r="H289" s="40" t="str">
        <f aca="false">IF($C289="","",INDEX(Planos!$H$3:$H$27,12))</f>
        <v/>
      </c>
      <c r="I289" s="41" t="str">
        <f aca="false">IF($C289="","",IF(INDEX(Planos!$J$3:$AG$27,$A289,$B289)=0,"",INDEX(Planos!$J$3:$AG$27,$A289,$B289)))</f>
        <v/>
      </c>
      <c r="J289" s="26" t="str">
        <f aca="false">IF($C289="","",IF($I289&lt;&gt;"","Realizada",IF($G289&lt;INT(Parâmetros!$C$4),"Atrasada","Agendada")))</f>
        <v/>
      </c>
      <c r="K289" s="42" t="str">
        <f aca="false">IF($C289="","",IF($I289&lt;&gt;"",$I289-$G289,IF($J289="Atrasada",INT(Parâmetros!$C$4)-$G289,"")))</f>
        <v/>
      </c>
      <c r="L289" s="26" t="str">
        <f aca="false">IF($J289&lt;&gt;"Realizada","",IF($K289&lt;=0,"No prazo",IF($K289&lt;=7,"Até 7 dias",IF($K289&lt;=30,"Até 30 dias","Acima de 30"))))</f>
        <v/>
      </c>
      <c r="M289" s="26" t="str">
        <f aca="false">IF($C289="","",COUNTIFS($G$3:$G289,$G289))</f>
        <v/>
      </c>
      <c r="N289" s="26" t="str">
        <f aca="false">IF($C289="","",$G289&amp;"|"&amp;$M289)</f>
        <v/>
      </c>
    </row>
    <row r="290" customFormat="false" ht="18" hidden="false" customHeight="true" outlineLevel="0" collapsed="false">
      <c r="A290" s="26" t="n">
        <v>12</v>
      </c>
      <c r="B290" s="26" t="n">
        <v>24</v>
      </c>
      <c r="C290" s="26" t="str">
        <f aca="false">IF(INDEX(Planos!$B$3:$B$27,12)="","",IF(24&gt;INDEX(Planos!$G$3:$G$27,12),"",INDEX(Planos!$B$3:$B$27,12)))</f>
        <v/>
      </c>
      <c r="D290" s="40" t="str">
        <f aca="false">IF($C290="","",IFERROR(INDEX(Ativos!$B$3:$B$42,MATCH($C290,Ativos!$A$3:$A$42,0)),""))</f>
        <v/>
      </c>
      <c r="E290" s="40" t="str">
        <f aca="false">IF($C290="","",INDEX(Planos!$C$3:$C$27,12))</f>
        <v/>
      </c>
      <c r="F290" s="40" t="str">
        <f aca="false">IF($C290="","",INDEX(Planos!$D$3:$D$27,12))</f>
        <v/>
      </c>
      <c r="G290" s="41" t="n">
        <f aca="false">IF($C290="",0,INDEX(Planos!$F$3:$F$27,12)+(24-1)*INDEX(Planos!$E$3:$E$27,12))</f>
        <v>0</v>
      </c>
      <c r="H290" s="40" t="str">
        <f aca="false">IF($C290="","",INDEX(Planos!$H$3:$H$27,12))</f>
        <v/>
      </c>
      <c r="I290" s="41" t="str">
        <f aca="false">IF($C290="","",IF(INDEX(Planos!$J$3:$AG$27,$A290,$B290)=0,"",INDEX(Planos!$J$3:$AG$27,$A290,$B290)))</f>
        <v/>
      </c>
      <c r="J290" s="26" t="str">
        <f aca="false">IF($C290="","",IF($I290&lt;&gt;"","Realizada",IF($G290&lt;INT(Parâmetros!$C$4),"Atrasada","Agendada")))</f>
        <v/>
      </c>
      <c r="K290" s="42" t="str">
        <f aca="false">IF($C290="","",IF($I290&lt;&gt;"",$I290-$G290,IF($J290="Atrasada",INT(Parâmetros!$C$4)-$G290,"")))</f>
        <v/>
      </c>
      <c r="L290" s="26" t="str">
        <f aca="false">IF($J290&lt;&gt;"Realizada","",IF($K290&lt;=0,"No prazo",IF($K290&lt;=7,"Até 7 dias",IF($K290&lt;=30,"Até 30 dias","Acima de 30"))))</f>
        <v/>
      </c>
      <c r="M290" s="26" t="str">
        <f aca="false">IF($C290="","",COUNTIFS($G$3:$G290,$G290))</f>
        <v/>
      </c>
      <c r="N290" s="26" t="str">
        <f aca="false">IF($C290="","",$G290&amp;"|"&amp;$M290)</f>
        <v/>
      </c>
    </row>
    <row r="291" customFormat="false" ht="18" hidden="false" customHeight="true" outlineLevel="0" collapsed="false">
      <c r="A291" s="26" t="n">
        <v>13</v>
      </c>
      <c r="B291" s="26" t="n">
        <v>1</v>
      </c>
      <c r="C291" s="26" t="str">
        <f aca="false">IF(INDEX(Planos!$B$3:$B$27,13)="","",IF(1&gt;INDEX(Planos!$G$3:$G$27,13),"",INDEX(Planos!$B$3:$B$27,13)))</f>
        <v/>
      </c>
      <c r="D291" s="40" t="str">
        <f aca="false">IF($C291="","",IFERROR(INDEX(Ativos!$B$3:$B$42,MATCH($C291,Ativos!$A$3:$A$42,0)),""))</f>
        <v/>
      </c>
      <c r="E291" s="40" t="str">
        <f aca="false">IF($C291="","",INDEX(Planos!$C$3:$C$27,13))</f>
        <v/>
      </c>
      <c r="F291" s="40" t="str">
        <f aca="false">IF($C291="","",INDEX(Planos!$D$3:$D$27,13))</f>
        <v/>
      </c>
      <c r="G291" s="41" t="n">
        <f aca="false">IF($C291="",0,INDEX(Planos!$F$3:$F$27,13)+(1-1)*INDEX(Planos!$E$3:$E$27,13))</f>
        <v>0</v>
      </c>
      <c r="H291" s="40" t="str">
        <f aca="false">IF($C291="","",INDEX(Planos!$H$3:$H$27,13))</f>
        <v/>
      </c>
      <c r="I291" s="41" t="str">
        <f aca="false">IF($C291="","",IF(INDEX(Planos!$J$3:$AG$27,$A291,$B291)=0,"",INDEX(Planos!$J$3:$AG$27,$A291,$B291)))</f>
        <v/>
      </c>
      <c r="J291" s="26" t="str">
        <f aca="false">IF($C291="","",IF($I291&lt;&gt;"","Realizada",IF($G291&lt;INT(Parâmetros!$C$4),"Atrasada","Agendada")))</f>
        <v/>
      </c>
      <c r="K291" s="42" t="str">
        <f aca="false">IF($C291="","",IF($I291&lt;&gt;"",$I291-$G291,IF($J291="Atrasada",INT(Parâmetros!$C$4)-$G291,"")))</f>
        <v/>
      </c>
      <c r="L291" s="26" t="str">
        <f aca="false">IF($J291&lt;&gt;"Realizada","",IF($K291&lt;=0,"No prazo",IF($K291&lt;=7,"Até 7 dias",IF($K291&lt;=30,"Até 30 dias","Acima de 30"))))</f>
        <v/>
      </c>
      <c r="M291" s="26" t="str">
        <f aca="false">IF($C291="","",COUNTIFS($G$3:$G291,$G291))</f>
        <v/>
      </c>
      <c r="N291" s="26" t="str">
        <f aca="false">IF($C291="","",$G291&amp;"|"&amp;$M291)</f>
        <v/>
      </c>
    </row>
    <row r="292" customFormat="false" ht="18" hidden="false" customHeight="true" outlineLevel="0" collapsed="false">
      <c r="A292" s="26" t="n">
        <v>13</v>
      </c>
      <c r="B292" s="26" t="n">
        <v>2</v>
      </c>
      <c r="C292" s="26" t="str">
        <f aca="false">IF(INDEX(Planos!$B$3:$B$27,13)="","",IF(2&gt;INDEX(Planos!$G$3:$G$27,13),"",INDEX(Planos!$B$3:$B$27,13)))</f>
        <v/>
      </c>
      <c r="D292" s="40" t="str">
        <f aca="false">IF($C292="","",IFERROR(INDEX(Ativos!$B$3:$B$42,MATCH($C292,Ativos!$A$3:$A$42,0)),""))</f>
        <v/>
      </c>
      <c r="E292" s="40" t="str">
        <f aca="false">IF($C292="","",INDEX(Planos!$C$3:$C$27,13))</f>
        <v/>
      </c>
      <c r="F292" s="40" t="str">
        <f aca="false">IF($C292="","",INDEX(Planos!$D$3:$D$27,13))</f>
        <v/>
      </c>
      <c r="G292" s="41" t="n">
        <f aca="false">IF($C292="",0,INDEX(Planos!$F$3:$F$27,13)+(2-1)*INDEX(Planos!$E$3:$E$27,13))</f>
        <v>0</v>
      </c>
      <c r="H292" s="40" t="str">
        <f aca="false">IF($C292="","",INDEX(Planos!$H$3:$H$27,13))</f>
        <v/>
      </c>
      <c r="I292" s="41" t="str">
        <f aca="false">IF($C292="","",IF(INDEX(Planos!$J$3:$AG$27,$A292,$B292)=0,"",INDEX(Planos!$J$3:$AG$27,$A292,$B292)))</f>
        <v/>
      </c>
      <c r="J292" s="26" t="str">
        <f aca="false">IF($C292="","",IF($I292&lt;&gt;"","Realizada",IF($G292&lt;INT(Parâmetros!$C$4),"Atrasada","Agendada")))</f>
        <v/>
      </c>
      <c r="K292" s="42" t="str">
        <f aca="false">IF($C292="","",IF($I292&lt;&gt;"",$I292-$G292,IF($J292="Atrasada",INT(Parâmetros!$C$4)-$G292,"")))</f>
        <v/>
      </c>
      <c r="L292" s="26" t="str">
        <f aca="false">IF($J292&lt;&gt;"Realizada","",IF($K292&lt;=0,"No prazo",IF($K292&lt;=7,"Até 7 dias",IF($K292&lt;=30,"Até 30 dias","Acima de 30"))))</f>
        <v/>
      </c>
      <c r="M292" s="26" t="str">
        <f aca="false">IF($C292="","",COUNTIFS($G$3:$G292,$G292))</f>
        <v/>
      </c>
      <c r="N292" s="26" t="str">
        <f aca="false">IF($C292="","",$G292&amp;"|"&amp;$M292)</f>
        <v/>
      </c>
    </row>
    <row r="293" customFormat="false" ht="18" hidden="false" customHeight="true" outlineLevel="0" collapsed="false">
      <c r="A293" s="26" t="n">
        <v>13</v>
      </c>
      <c r="B293" s="26" t="n">
        <v>3</v>
      </c>
      <c r="C293" s="26" t="str">
        <f aca="false">IF(INDEX(Planos!$B$3:$B$27,13)="","",IF(3&gt;INDEX(Planos!$G$3:$G$27,13),"",INDEX(Planos!$B$3:$B$27,13)))</f>
        <v/>
      </c>
      <c r="D293" s="40" t="str">
        <f aca="false">IF($C293="","",IFERROR(INDEX(Ativos!$B$3:$B$42,MATCH($C293,Ativos!$A$3:$A$42,0)),""))</f>
        <v/>
      </c>
      <c r="E293" s="40" t="str">
        <f aca="false">IF($C293="","",INDEX(Planos!$C$3:$C$27,13))</f>
        <v/>
      </c>
      <c r="F293" s="40" t="str">
        <f aca="false">IF($C293="","",INDEX(Planos!$D$3:$D$27,13))</f>
        <v/>
      </c>
      <c r="G293" s="41" t="n">
        <f aca="false">IF($C293="",0,INDEX(Planos!$F$3:$F$27,13)+(3-1)*INDEX(Planos!$E$3:$E$27,13))</f>
        <v>0</v>
      </c>
      <c r="H293" s="40" t="str">
        <f aca="false">IF($C293="","",INDEX(Planos!$H$3:$H$27,13))</f>
        <v/>
      </c>
      <c r="I293" s="41" t="str">
        <f aca="false">IF($C293="","",IF(INDEX(Planos!$J$3:$AG$27,$A293,$B293)=0,"",INDEX(Planos!$J$3:$AG$27,$A293,$B293)))</f>
        <v/>
      </c>
      <c r="J293" s="26" t="str">
        <f aca="false">IF($C293="","",IF($I293&lt;&gt;"","Realizada",IF($G293&lt;INT(Parâmetros!$C$4),"Atrasada","Agendada")))</f>
        <v/>
      </c>
      <c r="K293" s="42" t="str">
        <f aca="false">IF($C293="","",IF($I293&lt;&gt;"",$I293-$G293,IF($J293="Atrasada",INT(Parâmetros!$C$4)-$G293,"")))</f>
        <v/>
      </c>
      <c r="L293" s="26" t="str">
        <f aca="false">IF($J293&lt;&gt;"Realizada","",IF($K293&lt;=0,"No prazo",IF($K293&lt;=7,"Até 7 dias",IF($K293&lt;=30,"Até 30 dias","Acima de 30"))))</f>
        <v/>
      </c>
      <c r="M293" s="26" t="str">
        <f aca="false">IF($C293="","",COUNTIFS($G$3:$G293,$G293))</f>
        <v/>
      </c>
      <c r="N293" s="26" t="str">
        <f aca="false">IF($C293="","",$G293&amp;"|"&amp;$M293)</f>
        <v/>
      </c>
    </row>
    <row r="294" customFormat="false" ht="18" hidden="false" customHeight="true" outlineLevel="0" collapsed="false">
      <c r="A294" s="26" t="n">
        <v>13</v>
      </c>
      <c r="B294" s="26" t="n">
        <v>4</v>
      </c>
      <c r="C294" s="26" t="str">
        <f aca="false">IF(INDEX(Planos!$B$3:$B$27,13)="","",IF(4&gt;INDEX(Planos!$G$3:$G$27,13),"",INDEX(Planos!$B$3:$B$27,13)))</f>
        <v/>
      </c>
      <c r="D294" s="40" t="str">
        <f aca="false">IF($C294="","",IFERROR(INDEX(Ativos!$B$3:$B$42,MATCH($C294,Ativos!$A$3:$A$42,0)),""))</f>
        <v/>
      </c>
      <c r="E294" s="40" t="str">
        <f aca="false">IF($C294="","",INDEX(Planos!$C$3:$C$27,13))</f>
        <v/>
      </c>
      <c r="F294" s="40" t="str">
        <f aca="false">IF($C294="","",INDEX(Planos!$D$3:$D$27,13))</f>
        <v/>
      </c>
      <c r="G294" s="41" t="n">
        <f aca="false">IF($C294="",0,INDEX(Planos!$F$3:$F$27,13)+(4-1)*INDEX(Planos!$E$3:$E$27,13))</f>
        <v>0</v>
      </c>
      <c r="H294" s="40" t="str">
        <f aca="false">IF($C294="","",INDEX(Planos!$H$3:$H$27,13))</f>
        <v/>
      </c>
      <c r="I294" s="41" t="str">
        <f aca="false">IF($C294="","",IF(INDEX(Planos!$J$3:$AG$27,$A294,$B294)=0,"",INDEX(Planos!$J$3:$AG$27,$A294,$B294)))</f>
        <v/>
      </c>
      <c r="J294" s="26" t="str">
        <f aca="false">IF($C294="","",IF($I294&lt;&gt;"","Realizada",IF($G294&lt;INT(Parâmetros!$C$4),"Atrasada","Agendada")))</f>
        <v/>
      </c>
      <c r="K294" s="42" t="str">
        <f aca="false">IF($C294="","",IF($I294&lt;&gt;"",$I294-$G294,IF($J294="Atrasada",INT(Parâmetros!$C$4)-$G294,"")))</f>
        <v/>
      </c>
      <c r="L294" s="26" t="str">
        <f aca="false">IF($J294&lt;&gt;"Realizada","",IF($K294&lt;=0,"No prazo",IF($K294&lt;=7,"Até 7 dias",IF($K294&lt;=30,"Até 30 dias","Acima de 30"))))</f>
        <v/>
      </c>
      <c r="M294" s="26" t="str">
        <f aca="false">IF($C294="","",COUNTIFS($G$3:$G294,$G294))</f>
        <v/>
      </c>
      <c r="N294" s="26" t="str">
        <f aca="false">IF($C294="","",$G294&amp;"|"&amp;$M294)</f>
        <v/>
      </c>
    </row>
    <row r="295" customFormat="false" ht="18" hidden="false" customHeight="true" outlineLevel="0" collapsed="false">
      <c r="A295" s="26" t="n">
        <v>13</v>
      </c>
      <c r="B295" s="26" t="n">
        <v>5</v>
      </c>
      <c r="C295" s="26" t="str">
        <f aca="false">IF(INDEX(Planos!$B$3:$B$27,13)="","",IF(5&gt;INDEX(Planos!$G$3:$G$27,13),"",INDEX(Planos!$B$3:$B$27,13)))</f>
        <v/>
      </c>
      <c r="D295" s="40" t="str">
        <f aca="false">IF($C295="","",IFERROR(INDEX(Ativos!$B$3:$B$42,MATCH($C295,Ativos!$A$3:$A$42,0)),""))</f>
        <v/>
      </c>
      <c r="E295" s="40" t="str">
        <f aca="false">IF($C295="","",INDEX(Planos!$C$3:$C$27,13))</f>
        <v/>
      </c>
      <c r="F295" s="40" t="str">
        <f aca="false">IF($C295="","",INDEX(Planos!$D$3:$D$27,13))</f>
        <v/>
      </c>
      <c r="G295" s="41" t="n">
        <f aca="false">IF($C295="",0,INDEX(Planos!$F$3:$F$27,13)+(5-1)*INDEX(Planos!$E$3:$E$27,13))</f>
        <v>0</v>
      </c>
      <c r="H295" s="40" t="str">
        <f aca="false">IF($C295="","",INDEX(Planos!$H$3:$H$27,13))</f>
        <v/>
      </c>
      <c r="I295" s="41" t="str">
        <f aca="false">IF($C295="","",IF(INDEX(Planos!$J$3:$AG$27,$A295,$B295)=0,"",INDEX(Planos!$J$3:$AG$27,$A295,$B295)))</f>
        <v/>
      </c>
      <c r="J295" s="26" t="str">
        <f aca="false">IF($C295="","",IF($I295&lt;&gt;"","Realizada",IF($G295&lt;INT(Parâmetros!$C$4),"Atrasada","Agendada")))</f>
        <v/>
      </c>
      <c r="K295" s="42" t="str">
        <f aca="false">IF($C295="","",IF($I295&lt;&gt;"",$I295-$G295,IF($J295="Atrasada",INT(Parâmetros!$C$4)-$G295,"")))</f>
        <v/>
      </c>
      <c r="L295" s="26" t="str">
        <f aca="false">IF($J295&lt;&gt;"Realizada","",IF($K295&lt;=0,"No prazo",IF($K295&lt;=7,"Até 7 dias",IF($K295&lt;=30,"Até 30 dias","Acima de 30"))))</f>
        <v/>
      </c>
      <c r="M295" s="26" t="str">
        <f aca="false">IF($C295="","",COUNTIFS($G$3:$G295,$G295))</f>
        <v/>
      </c>
      <c r="N295" s="26" t="str">
        <f aca="false">IF($C295="","",$G295&amp;"|"&amp;$M295)</f>
        <v/>
      </c>
    </row>
    <row r="296" customFormat="false" ht="18" hidden="false" customHeight="true" outlineLevel="0" collapsed="false">
      <c r="A296" s="26" t="n">
        <v>13</v>
      </c>
      <c r="B296" s="26" t="n">
        <v>6</v>
      </c>
      <c r="C296" s="26" t="str">
        <f aca="false">IF(INDEX(Planos!$B$3:$B$27,13)="","",IF(6&gt;INDEX(Planos!$G$3:$G$27,13),"",INDEX(Planos!$B$3:$B$27,13)))</f>
        <v/>
      </c>
      <c r="D296" s="40" t="str">
        <f aca="false">IF($C296="","",IFERROR(INDEX(Ativos!$B$3:$B$42,MATCH($C296,Ativos!$A$3:$A$42,0)),""))</f>
        <v/>
      </c>
      <c r="E296" s="40" t="str">
        <f aca="false">IF($C296="","",INDEX(Planos!$C$3:$C$27,13))</f>
        <v/>
      </c>
      <c r="F296" s="40" t="str">
        <f aca="false">IF($C296="","",INDEX(Planos!$D$3:$D$27,13))</f>
        <v/>
      </c>
      <c r="G296" s="41" t="n">
        <f aca="false">IF($C296="",0,INDEX(Planos!$F$3:$F$27,13)+(6-1)*INDEX(Planos!$E$3:$E$27,13))</f>
        <v>0</v>
      </c>
      <c r="H296" s="40" t="str">
        <f aca="false">IF($C296="","",INDEX(Planos!$H$3:$H$27,13))</f>
        <v/>
      </c>
      <c r="I296" s="41" t="str">
        <f aca="false">IF($C296="","",IF(INDEX(Planos!$J$3:$AG$27,$A296,$B296)=0,"",INDEX(Planos!$J$3:$AG$27,$A296,$B296)))</f>
        <v/>
      </c>
      <c r="J296" s="26" t="str">
        <f aca="false">IF($C296="","",IF($I296&lt;&gt;"","Realizada",IF($G296&lt;INT(Parâmetros!$C$4),"Atrasada","Agendada")))</f>
        <v/>
      </c>
      <c r="K296" s="42" t="str">
        <f aca="false">IF($C296="","",IF($I296&lt;&gt;"",$I296-$G296,IF($J296="Atrasada",INT(Parâmetros!$C$4)-$G296,"")))</f>
        <v/>
      </c>
      <c r="L296" s="26" t="str">
        <f aca="false">IF($J296&lt;&gt;"Realizada","",IF($K296&lt;=0,"No prazo",IF($K296&lt;=7,"Até 7 dias",IF($K296&lt;=30,"Até 30 dias","Acima de 30"))))</f>
        <v/>
      </c>
      <c r="M296" s="26" t="str">
        <f aca="false">IF($C296="","",COUNTIFS($G$3:$G296,$G296))</f>
        <v/>
      </c>
      <c r="N296" s="26" t="str">
        <f aca="false">IF($C296="","",$G296&amp;"|"&amp;$M296)</f>
        <v/>
      </c>
    </row>
    <row r="297" customFormat="false" ht="18" hidden="false" customHeight="true" outlineLevel="0" collapsed="false">
      <c r="A297" s="26" t="n">
        <v>13</v>
      </c>
      <c r="B297" s="26" t="n">
        <v>7</v>
      </c>
      <c r="C297" s="26" t="str">
        <f aca="false">IF(INDEX(Planos!$B$3:$B$27,13)="","",IF(7&gt;INDEX(Planos!$G$3:$G$27,13),"",INDEX(Planos!$B$3:$B$27,13)))</f>
        <v/>
      </c>
      <c r="D297" s="40" t="str">
        <f aca="false">IF($C297="","",IFERROR(INDEX(Ativos!$B$3:$B$42,MATCH($C297,Ativos!$A$3:$A$42,0)),""))</f>
        <v/>
      </c>
      <c r="E297" s="40" t="str">
        <f aca="false">IF($C297="","",INDEX(Planos!$C$3:$C$27,13))</f>
        <v/>
      </c>
      <c r="F297" s="40" t="str">
        <f aca="false">IF($C297="","",INDEX(Planos!$D$3:$D$27,13))</f>
        <v/>
      </c>
      <c r="G297" s="41" t="n">
        <f aca="false">IF($C297="",0,INDEX(Planos!$F$3:$F$27,13)+(7-1)*INDEX(Planos!$E$3:$E$27,13))</f>
        <v>0</v>
      </c>
      <c r="H297" s="40" t="str">
        <f aca="false">IF($C297="","",INDEX(Planos!$H$3:$H$27,13))</f>
        <v/>
      </c>
      <c r="I297" s="41" t="str">
        <f aca="false">IF($C297="","",IF(INDEX(Planos!$J$3:$AG$27,$A297,$B297)=0,"",INDEX(Planos!$J$3:$AG$27,$A297,$B297)))</f>
        <v/>
      </c>
      <c r="J297" s="26" t="str">
        <f aca="false">IF($C297="","",IF($I297&lt;&gt;"","Realizada",IF($G297&lt;INT(Parâmetros!$C$4),"Atrasada","Agendada")))</f>
        <v/>
      </c>
      <c r="K297" s="42" t="str">
        <f aca="false">IF($C297="","",IF($I297&lt;&gt;"",$I297-$G297,IF($J297="Atrasada",INT(Parâmetros!$C$4)-$G297,"")))</f>
        <v/>
      </c>
      <c r="L297" s="26" t="str">
        <f aca="false">IF($J297&lt;&gt;"Realizada","",IF($K297&lt;=0,"No prazo",IF($K297&lt;=7,"Até 7 dias",IF($K297&lt;=30,"Até 30 dias","Acima de 30"))))</f>
        <v/>
      </c>
      <c r="M297" s="26" t="str">
        <f aca="false">IF($C297="","",COUNTIFS($G$3:$G297,$G297))</f>
        <v/>
      </c>
      <c r="N297" s="26" t="str">
        <f aca="false">IF($C297="","",$G297&amp;"|"&amp;$M297)</f>
        <v/>
      </c>
    </row>
    <row r="298" customFormat="false" ht="18" hidden="false" customHeight="true" outlineLevel="0" collapsed="false">
      <c r="A298" s="26" t="n">
        <v>13</v>
      </c>
      <c r="B298" s="26" t="n">
        <v>8</v>
      </c>
      <c r="C298" s="26" t="str">
        <f aca="false">IF(INDEX(Planos!$B$3:$B$27,13)="","",IF(8&gt;INDEX(Planos!$G$3:$G$27,13),"",INDEX(Planos!$B$3:$B$27,13)))</f>
        <v/>
      </c>
      <c r="D298" s="40" t="str">
        <f aca="false">IF($C298="","",IFERROR(INDEX(Ativos!$B$3:$B$42,MATCH($C298,Ativos!$A$3:$A$42,0)),""))</f>
        <v/>
      </c>
      <c r="E298" s="40" t="str">
        <f aca="false">IF($C298="","",INDEX(Planos!$C$3:$C$27,13))</f>
        <v/>
      </c>
      <c r="F298" s="40" t="str">
        <f aca="false">IF($C298="","",INDEX(Planos!$D$3:$D$27,13))</f>
        <v/>
      </c>
      <c r="G298" s="41" t="n">
        <f aca="false">IF($C298="",0,INDEX(Planos!$F$3:$F$27,13)+(8-1)*INDEX(Planos!$E$3:$E$27,13))</f>
        <v>0</v>
      </c>
      <c r="H298" s="40" t="str">
        <f aca="false">IF($C298="","",INDEX(Planos!$H$3:$H$27,13))</f>
        <v/>
      </c>
      <c r="I298" s="41" t="str">
        <f aca="false">IF($C298="","",IF(INDEX(Planos!$J$3:$AG$27,$A298,$B298)=0,"",INDEX(Planos!$J$3:$AG$27,$A298,$B298)))</f>
        <v/>
      </c>
      <c r="J298" s="26" t="str">
        <f aca="false">IF($C298="","",IF($I298&lt;&gt;"","Realizada",IF($G298&lt;INT(Parâmetros!$C$4),"Atrasada","Agendada")))</f>
        <v/>
      </c>
      <c r="K298" s="42" t="str">
        <f aca="false">IF($C298="","",IF($I298&lt;&gt;"",$I298-$G298,IF($J298="Atrasada",INT(Parâmetros!$C$4)-$G298,"")))</f>
        <v/>
      </c>
      <c r="L298" s="26" t="str">
        <f aca="false">IF($J298&lt;&gt;"Realizada","",IF($K298&lt;=0,"No prazo",IF($K298&lt;=7,"Até 7 dias",IF($K298&lt;=30,"Até 30 dias","Acima de 30"))))</f>
        <v/>
      </c>
      <c r="M298" s="26" t="str">
        <f aca="false">IF($C298="","",COUNTIFS($G$3:$G298,$G298))</f>
        <v/>
      </c>
      <c r="N298" s="26" t="str">
        <f aca="false">IF($C298="","",$G298&amp;"|"&amp;$M298)</f>
        <v/>
      </c>
    </row>
    <row r="299" customFormat="false" ht="18" hidden="false" customHeight="true" outlineLevel="0" collapsed="false">
      <c r="A299" s="26" t="n">
        <v>13</v>
      </c>
      <c r="B299" s="26" t="n">
        <v>9</v>
      </c>
      <c r="C299" s="26" t="str">
        <f aca="false">IF(INDEX(Planos!$B$3:$B$27,13)="","",IF(9&gt;INDEX(Planos!$G$3:$G$27,13),"",INDEX(Planos!$B$3:$B$27,13)))</f>
        <v/>
      </c>
      <c r="D299" s="40" t="str">
        <f aca="false">IF($C299="","",IFERROR(INDEX(Ativos!$B$3:$B$42,MATCH($C299,Ativos!$A$3:$A$42,0)),""))</f>
        <v/>
      </c>
      <c r="E299" s="40" t="str">
        <f aca="false">IF($C299="","",INDEX(Planos!$C$3:$C$27,13))</f>
        <v/>
      </c>
      <c r="F299" s="40" t="str">
        <f aca="false">IF($C299="","",INDEX(Planos!$D$3:$D$27,13))</f>
        <v/>
      </c>
      <c r="G299" s="41" t="n">
        <f aca="false">IF($C299="",0,INDEX(Planos!$F$3:$F$27,13)+(9-1)*INDEX(Planos!$E$3:$E$27,13))</f>
        <v>0</v>
      </c>
      <c r="H299" s="40" t="str">
        <f aca="false">IF($C299="","",INDEX(Planos!$H$3:$H$27,13))</f>
        <v/>
      </c>
      <c r="I299" s="41" t="str">
        <f aca="false">IF($C299="","",IF(INDEX(Planos!$J$3:$AG$27,$A299,$B299)=0,"",INDEX(Planos!$J$3:$AG$27,$A299,$B299)))</f>
        <v/>
      </c>
      <c r="J299" s="26" t="str">
        <f aca="false">IF($C299="","",IF($I299&lt;&gt;"","Realizada",IF($G299&lt;INT(Parâmetros!$C$4),"Atrasada","Agendada")))</f>
        <v/>
      </c>
      <c r="K299" s="42" t="str">
        <f aca="false">IF($C299="","",IF($I299&lt;&gt;"",$I299-$G299,IF($J299="Atrasada",INT(Parâmetros!$C$4)-$G299,"")))</f>
        <v/>
      </c>
      <c r="L299" s="26" t="str">
        <f aca="false">IF($J299&lt;&gt;"Realizada","",IF($K299&lt;=0,"No prazo",IF($K299&lt;=7,"Até 7 dias",IF($K299&lt;=30,"Até 30 dias","Acima de 30"))))</f>
        <v/>
      </c>
      <c r="M299" s="26" t="str">
        <f aca="false">IF($C299="","",COUNTIFS($G$3:$G299,$G299))</f>
        <v/>
      </c>
      <c r="N299" s="26" t="str">
        <f aca="false">IF($C299="","",$G299&amp;"|"&amp;$M299)</f>
        <v/>
      </c>
    </row>
    <row r="300" customFormat="false" ht="18" hidden="false" customHeight="true" outlineLevel="0" collapsed="false">
      <c r="A300" s="26" t="n">
        <v>13</v>
      </c>
      <c r="B300" s="26" t="n">
        <v>10</v>
      </c>
      <c r="C300" s="26" t="str">
        <f aca="false">IF(INDEX(Planos!$B$3:$B$27,13)="","",IF(10&gt;INDEX(Planos!$G$3:$G$27,13),"",INDEX(Planos!$B$3:$B$27,13)))</f>
        <v/>
      </c>
      <c r="D300" s="40" t="str">
        <f aca="false">IF($C300="","",IFERROR(INDEX(Ativos!$B$3:$B$42,MATCH($C300,Ativos!$A$3:$A$42,0)),""))</f>
        <v/>
      </c>
      <c r="E300" s="40" t="str">
        <f aca="false">IF($C300="","",INDEX(Planos!$C$3:$C$27,13))</f>
        <v/>
      </c>
      <c r="F300" s="40" t="str">
        <f aca="false">IF($C300="","",INDEX(Planos!$D$3:$D$27,13))</f>
        <v/>
      </c>
      <c r="G300" s="41" t="n">
        <f aca="false">IF($C300="",0,INDEX(Planos!$F$3:$F$27,13)+(10-1)*INDEX(Planos!$E$3:$E$27,13))</f>
        <v>0</v>
      </c>
      <c r="H300" s="40" t="str">
        <f aca="false">IF($C300="","",INDEX(Planos!$H$3:$H$27,13))</f>
        <v/>
      </c>
      <c r="I300" s="41" t="str">
        <f aca="false">IF($C300="","",IF(INDEX(Planos!$J$3:$AG$27,$A300,$B300)=0,"",INDEX(Planos!$J$3:$AG$27,$A300,$B300)))</f>
        <v/>
      </c>
      <c r="J300" s="26" t="str">
        <f aca="false">IF($C300="","",IF($I300&lt;&gt;"","Realizada",IF($G300&lt;INT(Parâmetros!$C$4),"Atrasada","Agendada")))</f>
        <v/>
      </c>
      <c r="K300" s="42" t="str">
        <f aca="false">IF($C300="","",IF($I300&lt;&gt;"",$I300-$G300,IF($J300="Atrasada",INT(Parâmetros!$C$4)-$G300,"")))</f>
        <v/>
      </c>
      <c r="L300" s="26" t="str">
        <f aca="false">IF($J300&lt;&gt;"Realizada","",IF($K300&lt;=0,"No prazo",IF($K300&lt;=7,"Até 7 dias",IF($K300&lt;=30,"Até 30 dias","Acima de 30"))))</f>
        <v/>
      </c>
      <c r="M300" s="26" t="str">
        <f aca="false">IF($C300="","",COUNTIFS($G$3:$G300,$G300))</f>
        <v/>
      </c>
      <c r="N300" s="26" t="str">
        <f aca="false">IF($C300="","",$G300&amp;"|"&amp;$M300)</f>
        <v/>
      </c>
    </row>
    <row r="301" customFormat="false" ht="18" hidden="false" customHeight="true" outlineLevel="0" collapsed="false">
      <c r="A301" s="26" t="n">
        <v>13</v>
      </c>
      <c r="B301" s="26" t="n">
        <v>11</v>
      </c>
      <c r="C301" s="26" t="str">
        <f aca="false">IF(INDEX(Planos!$B$3:$B$27,13)="","",IF(11&gt;INDEX(Planos!$G$3:$G$27,13),"",INDEX(Planos!$B$3:$B$27,13)))</f>
        <v/>
      </c>
      <c r="D301" s="40" t="str">
        <f aca="false">IF($C301="","",IFERROR(INDEX(Ativos!$B$3:$B$42,MATCH($C301,Ativos!$A$3:$A$42,0)),""))</f>
        <v/>
      </c>
      <c r="E301" s="40" t="str">
        <f aca="false">IF($C301="","",INDEX(Planos!$C$3:$C$27,13))</f>
        <v/>
      </c>
      <c r="F301" s="40" t="str">
        <f aca="false">IF($C301="","",INDEX(Planos!$D$3:$D$27,13))</f>
        <v/>
      </c>
      <c r="G301" s="41" t="n">
        <f aca="false">IF($C301="",0,INDEX(Planos!$F$3:$F$27,13)+(11-1)*INDEX(Planos!$E$3:$E$27,13))</f>
        <v>0</v>
      </c>
      <c r="H301" s="40" t="str">
        <f aca="false">IF($C301="","",INDEX(Planos!$H$3:$H$27,13))</f>
        <v/>
      </c>
      <c r="I301" s="41" t="str">
        <f aca="false">IF($C301="","",IF(INDEX(Planos!$J$3:$AG$27,$A301,$B301)=0,"",INDEX(Planos!$J$3:$AG$27,$A301,$B301)))</f>
        <v/>
      </c>
      <c r="J301" s="26" t="str">
        <f aca="false">IF($C301="","",IF($I301&lt;&gt;"","Realizada",IF($G301&lt;INT(Parâmetros!$C$4),"Atrasada","Agendada")))</f>
        <v/>
      </c>
      <c r="K301" s="42" t="str">
        <f aca="false">IF($C301="","",IF($I301&lt;&gt;"",$I301-$G301,IF($J301="Atrasada",INT(Parâmetros!$C$4)-$G301,"")))</f>
        <v/>
      </c>
      <c r="L301" s="26" t="str">
        <f aca="false">IF($J301&lt;&gt;"Realizada","",IF($K301&lt;=0,"No prazo",IF($K301&lt;=7,"Até 7 dias",IF($K301&lt;=30,"Até 30 dias","Acima de 30"))))</f>
        <v/>
      </c>
      <c r="M301" s="26" t="str">
        <f aca="false">IF($C301="","",COUNTIFS($G$3:$G301,$G301))</f>
        <v/>
      </c>
      <c r="N301" s="26" t="str">
        <f aca="false">IF($C301="","",$G301&amp;"|"&amp;$M301)</f>
        <v/>
      </c>
    </row>
    <row r="302" customFormat="false" ht="18" hidden="false" customHeight="true" outlineLevel="0" collapsed="false">
      <c r="A302" s="26" t="n">
        <v>13</v>
      </c>
      <c r="B302" s="26" t="n">
        <v>12</v>
      </c>
      <c r="C302" s="26" t="str">
        <f aca="false">IF(INDEX(Planos!$B$3:$B$27,13)="","",IF(12&gt;INDEX(Planos!$G$3:$G$27,13),"",INDEX(Planos!$B$3:$B$27,13)))</f>
        <v/>
      </c>
      <c r="D302" s="40" t="str">
        <f aca="false">IF($C302="","",IFERROR(INDEX(Ativos!$B$3:$B$42,MATCH($C302,Ativos!$A$3:$A$42,0)),""))</f>
        <v/>
      </c>
      <c r="E302" s="40" t="str">
        <f aca="false">IF($C302="","",INDEX(Planos!$C$3:$C$27,13))</f>
        <v/>
      </c>
      <c r="F302" s="40" t="str">
        <f aca="false">IF($C302="","",INDEX(Planos!$D$3:$D$27,13))</f>
        <v/>
      </c>
      <c r="G302" s="41" t="n">
        <f aca="false">IF($C302="",0,INDEX(Planos!$F$3:$F$27,13)+(12-1)*INDEX(Planos!$E$3:$E$27,13))</f>
        <v>0</v>
      </c>
      <c r="H302" s="40" t="str">
        <f aca="false">IF($C302="","",INDEX(Planos!$H$3:$H$27,13))</f>
        <v/>
      </c>
      <c r="I302" s="41" t="str">
        <f aca="false">IF($C302="","",IF(INDEX(Planos!$J$3:$AG$27,$A302,$B302)=0,"",INDEX(Planos!$J$3:$AG$27,$A302,$B302)))</f>
        <v/>
      </c>
      <c r="J302" s="26" t="str">
        <f aca="false">IF($C302="","",IF($I302&lt;&gt;"","Realizada",IF($G302&lt;INT(Parâmetros!$C$4),"Atrasada","Agendada")))</f>
        <v/>
      </c>
      <c r="K302" s="42" t="str">
        <f aca="false">IF($C302="","",IF($I302&lt;&gt;"",$I302-$G302,IF($J302="Atrasada",INT(Parâmetros!$C$4)-$G302,"")))</f>
        <v/>
      </c>
      <c r="L302" s="26" t="str">
        <f aca="false">IF($J302&lt;&gt;"Realizada","",IF($K302&lt;=0,"No prazo",IF($K302&lt;=7,"Até 7 dias",IF($K302&lt;=30,"Até 30 dias","Acima de 30"))))</f>
        <v/>
      </c>
      <c r="M302" s="26" t="str">
        <f aca="false">IF($C302="","",COUNTIFS($G$3:$G302,$G302))</f>
        <v/>
      </c>
      <c r="N302" s="26" t="str">
        <f aca="false">IF($C302="","",$G302&amp;"|"&amp;$M302)</f>
        <v/>
      </c>
    </row>
    <row r="303" customFormat="false" ht="18" hidden="false" customHeight="true" outlineLevel="0" collapsed="false">
      <c r="A303" s="26" t="n">
        <v>13</v>
      </c>
      <c r="B303" s="26" t="n">
        <v>13</v>
      </c>
      <c r="C303" s="26" t="str">
        <f aca="false">IF(INDEX(Planos!$B$3:$B$27,13)="","",IF(13&gt;INDEX(Planos!$G$3:$G$27,13),"",INDEX(Planos!$B$3:$B$27,13)))</f>
        <v/>
      </c>
      <c r="D303" s="40" t="str">
        <f aca="false">IF($C303="","",IFERROR(INDEX(Ativos!$B$3:$B$42,MATCH($C303,Ativos!$A$3:$A$42,0)),""))</f>
        <v/>
      </c>
      <c r="E303" s="40" t="str">
        <f aca="false">IF($C303="","",INDEX(Planos!$C$3:$C$27,13))</f>
        <v/>
      </c>
      <c r="F303" s="40" t="str">
        <f aca="false">IF($C303="","",INDEX(Planos!$D$3:$D$27,13))</f>
        <v/>
      </c>
      <c r="G303" s="41" t="n">
        <f aca="false">IF($C303="",0,INDEX(Planos!$F$3:$F$27,13)+(13-1)*INDEX(Planos!$E$3:$E$27,13))</f>
        <v>0</v>
      </c>
      <c r="H303" s="40" t="str">
        <f aca="false">IF($C303="","",INDEX(Planos!$H$3:$H$27,13))</f>
        <v/>
      </c>
      <c r="I303" s="41" t="str">
        <f aca="false">IF($C303="","",IF(INDEX(Planos!$J$3:$AG$27,$A303,$B303)=0,"",INDEX(Planos!$J$3:$AG$27,$A303,$B303)))</f>
        <v/>
      </c>
      <c r="J303" s="26" t="str">
        <f aca="false">IF($C303="","",IF($I303&lt;&gt;"","Realizada",IF($G303&lt;INT(Parâmetros!$C$4),"Atrasada","Agendada")))</f>
        <v/>
      </c>
      <c r="K303" s="42" t="str">
        <f aca="false">IF($C303="","",IF($I303&lt;&gt;"",$I303-$G303,IF($J303="Atrasada",INT(Parâmetros!$C$4)-$G303,"")))</f>
        <v/>
      </c>
      <c r="L303" s="26" t="str">
        <f aca="false">IF($J303&lt;&gt;"Realizada","",IF($K303&lt;=0,"No prazo",IF($K303&lt;=7,"Até 7 dias",IF($K303&lt;=30,"Até 30 dias","Acima de 30"))))</f>
        <v/>
      </c>
      <c r="M303" s="26" t="str">
        <f aca="false">IF($C303="","",COUNTIFS($G$3:$G303,$G303))</f>
        <v/>
      </c>
      <c r="N303" s="26" t="str">
        <f aca="false">IF($C303="","",$G303&amp;"|"&amp;$M303)</f>
        <v/>
      </c>
    </row>
    <row r="304" customFormat="false" ht="18" hidden="false" customHeight="true" outlineLevel="0" collapsed="false">
      <c r="A304" s="26" t="n">
        <v>13</v>
      </c>
      <c r="B304" s="26" t="n">
        <v>14</v>
      </c>
      <c r="C304" s="26" t="str">
        <f aca="false">IF(INDEX(Planos!$B$3:$B$27,13)="","",IF(14&gt;INDEX(Planos!$G$3:$G$27,13),"",INDEX(Planos!$B$3:$B$27,13)))</f>
        <v/>
      </c>
      <c r="D304" s="40" t="str">
        <f aca="false">IF($C304="","",IFERROR(INDEX(Ativos!$B$3:$B$42,MATCH($C304,Ativos!$A$3:$A$42,0)),""))</f>
        <v/>
      </c>
      <c r="E304" s="40" t="str">
        <f aca="false">IF($C304="","",INDEX(Planos!$C$3:$C$27,13))</f>
        <v/>
      </c>
      <c r="F304" s="40" t="str">
        <f aca="false">IF($C304="","",INDEX(Planos!$D$3:$D$27,13))</f>
        <v/>
      </c>
      <c r="G304" s="41" t="n">
        <f aca="false">IF($C304="",0,INDEX(Planos!$F$3:$F$27,13)+(14-1)*INDEX(Planos!$E$3:$E$27,13))</f>
        <v>0</v>
      </c>
      <c r="H304" s="40" t="str">
        <f aca="false">IF($C304="","",INDEX(Planos!$H$3:$H$27,13))</f>
        <v/>
      </c>
      <c r="I304" s="41" t="str">
        <f aca="false">IF($C304="","",IF(INDEX(Planos!$J$3:$AG$27,$A304,$B304)=0,"",INDEX(Planos!$J$3:$AG$27,$A304,$B304)))</f>
        <v/>
      </c>
      <c r="J304" s="26" t="str">
        <f aca="false">IF($C304="","",IF($I304&lt;&gt;"","Realizada",IF($G304&lt;INT(Parâmetros!$C$4),"Atrasada","Agendada")))</f>
        <v/>
      </c>
      <c r="K304" s="42" t="str">
        <f aca="false">IF($C304="","",IF($I304&lt;&gt;"",$I304-$G304,IF($J304="Atrasada",INT(Parâmetros!$C$4)-$G304,"")))</f>
        <v/>
      </c>
      <c r="L304" s="26" t="str">
        <f aca="false">IF($J304&lt;&gt;"Realizada","",IF($K304&lt;=0,"No prazo",IF($K304&lt;=7,"Até 7 dias",IF($K304&lt;=30,"Até 30 dias","Acima de 30"))))</f>
        <v/>
      </c>
      <c r="M304" s="26" t="str">
        <f aca="false">IF($C304="","",COUNTIFS($G$3:$G304,$G304))</f>
        <v/>
      </c>
      <c r="N304" s="26" t="str">
        <f aca="false">IF($C304="","",$G304&amp;"|"&amp;$M304)</f>
        <v/>
      </c>
    </row>
    <row r="305" customFormat="false" ht="18" hidden="false" customHeight="true" outlineLevel="0" collapsed="false">
      <c r="A305" s="26" t="n">
        <v>13</v>
      </c>
      <c r="B305" s="26" t="n">
        <v>15</v>
      </c>
      <c r="C305" s="26" t="str">
        <f aca="false">IF(INDEX(Planos!$B$3:$B$27,13)="","",IF(15&gt;INDEX(Planos!$G$3:$G$27,13),"",INDEX(Planos!$B$3:$B$27,13)))</f>
        <v/>
      </c>
      <c r="D305" s="40" t="str">
        <f aca="false">IF($C305="","",IFERROR(INDEX(Ativos!$B$3:$B$42,MATCH($C305,Ativos!$A$3:$A$42,0)),""))</f>
        <v/>
      </c>
      <c r="E305" s="40" t="str">
        <f aca="false">IF($C305="","",INDEX(Planos!$C$3:$C$27,13))</f>
        <v/>
      </c>
      <c r="F305" s="40" t="str">
        <f aca="false">IF($C305="","",INDEX(Planos!$D$3:$D$27,13))</f>
        <v/>
      </c>
      <c r="G305" s="41" t="n">
        <f aca="false">IF($C305="",0,INDEX(Planos!$F$3:$F$27,13)+(15-1)*INDEX(Planos!$E$3:$E$27,13))</f>
        <v>0</v>
      </c>
      <c r="H305" s="40" t="str">
        <f aca="false">IF($C305="","",INDEX(Planos!$H$3:$H$27,13))</f>
        <v/>
      </c>
      <c r="I305" s="41" t="str">
        <f aca="false">IF($C305="","",IF(INDEX(Planos!$J$3:$AG$27,$A305,$B305)=0,"",INDEX(Planos!$J$3:$AG$27,$A305,$B305)))</f>
        <v/>
      </c>
      <c r="J305" s="26" t="str">
        <f aca="false">IF($C305="","",IF($I305&lt;&gt;"","Realizada",IF($G305&lt;INT(Parâmetros!$C$4),"Atrasada","Agendada")))</f>
        <v/>
      </c>
      <c r="K305" s="42" t="str">
        <f aca="false">IF($C305="","",IF($I305&lt;&gt;"",$I305-$G305,IF($J305="Atrasada",INT(Parâmetros!$C$4)-$G305,"")))</f>
        <v/>
      </c>
      <c r="L305" s="26" t="str">
        <f aca="false">IF($J305&lt;&gt;"Realizada","",IF($K305&lt;=0,"No prazo",IF($K305&lt;=7,"Até 7 dias",IF($K305&lt;=30,"Até 30 dias","Acima de 30"))))</f>
        <v/>
      </c>
      <c r="M305" s="26" t="str">
        <f aca="false">IF($C305="","",COUNTIFS($G$3:$G305,$G305))</f>
        <v/>
      </c>
      <c r="N305" s="26" t="str">
        <f aca="false">IF($C305="","",$G305&amp;"|"&amp;$M305)</f>
        <v/>
      </c>
    </row>
    <row r="306" customFormat="false" ht="18" hidden="false" customHeight="true" outlineLevel="0" collapsed="false">
      <c r="A306" s="26" t="n">
        <v>13</v>
      </c>
      <c r="B306" s="26" t="n">
        <v>16</v>
      </c>
      <c r="C306" s="26" t="str">
        <f aca="false">IF(INDEX(Planos!$B$3:$B$27,13)="","",IF(16&gt;INDEX(Planos!$G$3:$G$27,13),"",INDEX(Planos!$B$3:$B$27,13)))</f>
        <v/>
      </c>
      <c r="D306" s="40" t="str">
        <f aca="false">IF($C306="","",IFERROR(INDEX(Ativos!$B$3:$B$42,MATCH($C306,Ativos!$A$3:$A$42,0)),""))</f>
        <v/>
      </c>
      <c r="E306" s="40" t="str">
        <f aca="false">IF($C306="","",INDEX(Planos!$C$3:$C$27,13))</f>
        <v/>
      </c>
      <c r="F306" s="40" t="str">
        <f aca="false">IF($C306="","",INDEX(Planos!$D$3:$D$27,13))</f>
        <v/>
      </c>
      <c r="G306" s="41" t="n">
        <f aca="false">IF($C306="",0,INDEX(Planos!$F$3:$F$27,13)+(16-1)*INDEX(Planos!$E$3:$E$27,13))</f>
        <v>0</v>
      </c>
      <c r="H306" s="40" t="str">
        <f aca="false">IF($C306="","",INDEX(Planos!$H$3:$H$27,13))</f>
        <v/>
      </c>
      <c r="I306" s="41" t="str">
        <f aca="false">IF($C306="","",IF(INDEX(Planos!$J$3:$AG$27,$A306,$B306)=0,"",INDEX(Planos!$J$3:$AG$27,$A306,$B306)))</f>
        <v/>
      </c>
      <c r="J306" s="26" t="str">
        <f aca="false">IF($C306="","",IF($I306&lt;&gt;"","Realizada",IF($G306&lt;INT(Parâmetros!$C$4),"Atrasada","Agendada")))</f>
        <v/>
      </c>
      <c r="K306" s="42" t="str">
        <f aca="false">IF($C306="","",IF($I306&lt;&gt;"",$I306-$G306,IF($J306="Atrasada",INT(Parâmetros!$C$4)-$G306,"")))</f>
        <v/>
      </c>
      <c r="L306" s="26" t="str">
        <f aca="false">IF($J306&lt;&gt;"Realizada","",IF($K306&lt;=0,"No prazo",IF($K306&lt;=7,"Até 7 dias",IF($K306&lt;=30,"Até 30 dias","Acima de 30"))))</f>
        <v/>
      </c>
      <c r="M306" s="26" t="str">
        <f aca="false">IF($C306="","",COUNTIFS($G$3:$G306,$G306))</f>
        <v/>
      </c>
      <c r="N306" s="26" t="str">
        <f aca="false">IF($C306="","",$G306&amp;"|"&amp;$M306)</f>
        <v/>
      </c>
    </row>
    <row r="307" customFormat="false" ht="18" hidden="false" customHeight="true" outlineLevel="0" collapsed="false">
      <c r="A307" s="26" t="n">
        <v>13</v>
      </c>
      <c r="B307" s="26" t="n">
        <v>17</v>
      </c>
      <c r="C307" s="26" t="str">
        <f aca="false">IF(INDEX(Planos!$B$3:$B$27,13)="","",IF(17&gt;INDEX(Planos!$G$3:$G$27,13),"",INDEX(Planos!$B$3:$B$27,13)))</f>
        <v/>
      </c>
      <c r="D307" s="40" t="str">
        <f aca="false">IF($C307="","",IFERROR(INDEX(Ativos!$B$3:$B$42,MATCH($C307,Ativos!$A$3:$A$42,0)),""))</f>
        <v/>
      </c>
      <c r="E307" s="40" t="str">
        <f aca="false">IF($C307="","",INDEX(Planos!$C$3:$C$27,13))</f>
        <v/>
      </c>
      <c r="F307" s="40" t="str">
        <f aca="false">IF($C307="","",INDEX(Planos!$D$3:$D$27,13))</f>
        <v/>
      </c>
      <c r="G307" s="41" t="n">
        <f aca="false">IF($C307="",0,INDEX(Planos!$F$3:$F$27,13)+(17-1)*INDEX(Planos!$E$3:$E$27,13))</f>
        <v>0</v>
      </c>
      <c r="H307" s="40" t="str">
        <f aca="false">IF($C307="","",INDEX(Planos!$H$3:$H$27,13))</f>
        <v/>
      </c>
      <c r="I307" s="41" t="str">
        <f aca="false">IF($C307="","",IF(INDEX(Planos!$J$3:$AG$27,$A307,$B307)=0,"",INDEX(Planos!$J$3:$AG$27,$A307,$B307)))</f>
        <v/>
      </c>
      <c r="J307" s="26" t="str">
        <f aca="false">IF($C307="","",IF($I307&lt;&gt;"","Realizada",IF($G307&lt;INT(Parâmetros!$C$4),"Atrasada","Agendada")))</f>
        <v/>
      </c>
      <c r="K307" s="42" t="str">
        <f aca="false">IF($C307="","",IF($I307&lt;&gt;"",$I307-$G307,IF($J307="Atrasada",INT(Parâmetros!$C$4)-$G307,"")))</f>
        <v/>
      </c>
      <c r="L307" s="26" t="str">
        <f aca="false">IF($J307&lt;&gt;"Realizada","",IF($K307&lt;=0,"No prazo",IF($K307&lt;=7,"Até 7 dias",IF($K307&lt;=30,"Até 30 dias","Acima de 30"))))</f>
        <v/>
      </c>
      <c r="M307" s="26" t="str">
        <f aca="false">IF($C307="","",COUNTIFS($G$3:$G307,$G307))</f>
        <v/>
      </c>
      <c r="N307" s="26" t="str">
        <f aca="false">IF($C307="","",$G307&amp;"|"&amp;$M307)</f>
        <v/>
      </c>
    </row>
    <row r="308" customFormat="false" ht="18" hidden="false" customHeight="true" outlineLevel="0" collapsed="false">
      <c r="A308" s="26" t="n">
        <v>13</v>
      </c>
      <c r="B308" s="26" t="n">
        <v>18</v>
      </c>
      <c r="C308" s="26" t="str">
        <f aca="false">IF(INDEX(Planos!$B$3:$B$27,13)="","",IF(18&gt;INDEX(Planos!$G$3:$G$27,13),"",INDEX(Planos!$B$3:$B$27,13)))</f>
        <v/>
      </c>
      <c r="D308" s="40" t="str">
        <f aca="false">IF($C308="","",IFERROR(INDEX(Ativos!$B$3:$B$42,MATCH($C308,Ativos!$A$3:$A$42,0)),""))</f>
        <v/>
      </c>
      <c r="E308" s="40" t="str">
        <f aca="false">IF($C308="","",INDEX(Planos!$C$3:$C$27,13))</f>
        <v/>
      </c>
      <c r="F308" s="40" t="str">
        <f aca="false">IF($C308="","",INDEX(Planos!$D$3:$D$27,13))</f>
        <v/>
      </c>
      <c r="G308" s="41" t="n">
        <f aca="false">IF($C308="",0,INDEX(Planos!$F$3:$F$27,13)+(18-1)*INDEX(Planos!$E$3:$E$27,13))</f>
        <v>0</v>
      </c>
      <c r="H308" s="40" t="str">
        <f aca="false">IF($C308="","",INDEX(Planos!$H$3:$H$27,13))</f>
        <v/>
      </c>
      <c r="I308" s="41" t="str">
        <f aca="false">IF($C308="","",IF(INDEX(Planos!$J$3:$AG$27,$A308,$B308)=0,"",INDEX(Planos!$J$3:$AG$27,$A308,$B308)))</f>
        <v/>
      </c>
      <c r="J308" s="26" t="str">
        <f aca="false">IF($C308="","",IF($I308&lt;&gt;"","Realizada",IF($G308&lt;INT(Parâmetros!$C$4),"Atrasada","Agendada")))</f>
        <v/>
      </c>
      <c r="K308" s="42" t="str">
        <f aca="false">IF($C308="","",IF($I308&lt;&gt;"",$I308-$G308,IF($J308="Atrasada",INT(Parâmetros!$C$4)-$G308,"")))</f>
        <v/>
      </c>
      <c r="L308" s="26" t="str">
        <f aca="false">IF($J308&lt;&gt;"Realizada","",IF($K308&lt;=0,"No prazo",IF($K308&lt;=7,"Até 7 dias",IF($K308&lt;=30,"Até 30 dias","Acima de 30"))))</f>
        <v/>
      </c>
      <c r="M308" s="26" t="str">
        <f aca="false">IF($C308="","",COUNTIFS($G$3:$G308,$G308))</f>
        <v/>
      </c>
      <c r="N308" s="26" t="str">
        <f aca="false">IF($C308="","",$G308&amp;"|"&amp;$M308)</f>
        <v/>
      </c>
    </row>
    <row r="309" customFormat="false" ht="18" hidden="false" customHeight="true" outlineLevel="0" collapsed="false">
      <c r="A309" s="26" t="n">
        <v>13</v>
      </c>
      <c r="B309" s="26" t="n">
        <v>19</v>
      </c>
      <c r="C309" s="26" t="str">
        <f aca="false">IF(INDEX(Planos!$B$3:$B$27,13)="","",IF(19&gt;INDEX(Planos!$G$3:$G$27,13),"",INDEX(Planos!$B$3:$B$27,13)))</f>
        <v/>
      </c>
      <c r="D309" s="40" t="str">
        <f aca="false">IF($C309="","",IFERROR(INDEX(Ativos!$B$3:$B$42,MATCH($C309,Ativos!$A$3:$A$42,0)),""))</f>
        <v/>
      </c>
      <c r="E309" s="40" t="str">
        <f aca="false">IF($C309="","",INDEX(Planos!$C$3:$C$27,13))</f>
        <v/>
      </c>
      <c r="F309" s="40" t="str">
        <f aca="false">IF($C309="","",INDEX(Planos!$D$3:$D$27,13))</f>
        <v/>
      </c>
      <c r="G309" s="41" t="n">
        <f aca="false">IF($C309="",0,INDEX(Planos!$F$3:$F$27,13)+(19-1)*INDEX(Planos!$E$3:$E$27,13))</f>
        <v>0</v>
      </c>
      <c r="H309" s="40" t="str">
        <f aca="false">IF($C309="","",INDEX(Planos!$H$3:$H$27,13))</f>
        <v/>
      </c>
      <c r="I309" s="41" t="str">
        <f aca="false">IF($C309="","",IF(INDEX(Planos!$J$3:$AG$27,$A309,$B309)=0,"",INDEX(Planos!$J$3:$AG$27,$A309,$B309)))</f>
        <v/>
      </c>
      <c r="J309" s="26" t="str">
        <f aca="false">IF($C309="","",IF($I309&lt;&gt;"","Realizada",IF($G309&lt;INT(Parâmetros!$C$4),"Atrasada","Agendada")))</f>
        <v/>
      </c>
      <c r="K309" s="42" t="str">
        <f aca="false">IF($C309="","",IF($I309&lt;&gt;"",$I309-$G309,IF($J309="Atrasada",INT(Parâmetros!$C$4)-$G309,"")))</f>
        <v/>
      </c>
      <c r="L309" s="26" t="str">
        <f aca="false">IF($J309&lt;&gt;"Realizada","",IF($K309&lt;=0,"No prazo",IF($K309&lt;=7,"Até 7 dias",IF($K309&lt;=30,"Até 30 dias","Acima de 30"))))</f>
        <v/>
      </c>
      <c r="M309" s="26" t="str">
        <f aca="false">IF($C309="","",COUNTIFS($G$3:$G309,$G309))</f>
        <v/>
      </c>
      <c r="N309" s="26" t="str">
        <f aca="false">IF($C309="","",$G309&amp;"|"&amp;$M309)</f>
        <v/>
      </c>
    </row>
    <row r="310" customFormat="false" ht="18" hidden="false" customHeight="true" outlineLevel="0" collapsed="false">
      <c r="A310" s="26" t="n">
        <v>13</v>
      </c>
      <c r="B310" s="26" t="n">
        <v>20</v>
      </c>
      <c r="C310" s="26" t="str">
        <f aca="false">IF(INDEX(Planos!$B$3:$B$27,13)="","",IF(20&gt;INDEX(Planos!$G$3:$G$27,13),"",INDEX(Planos!$B$3:$B$27,13)))</f>
        <v/>
      </c>
      <c r="D310" s="40" t="str">
        <f aca="false">IF($C310="","",IFERROR(INDEX(Ativos!$B$3:$B$42,MATCH($C310,Ativos!$A$3:$A$42,0)),""))</f>
        <v/>
      </c>
      <c r="E310" s="40" t="str">
        <f aca="false">IF($C310="","",INDEX(Planos!$C$3:$C$27,13))</f>
        <v/>
      </c>
      <c r="F310" s="40" t="str">
        <f aca="false">IF($C310="","",INDEX(Planos!$D$3:$D$27,13))</f>
        <v/>
      </c>
      <c r="G310" s="41" t="n">
        <f aca="false">IF($C310="",0,INDEX(Planos!$F$3:$F$27,13)+(20-1)*INDEX(Planos!$E$3:$E$27,13))</f>
        <v>0</v>
      </c>
      <c r="H310" s="40" t="str">
        <f aca="false">IF($C310="","",INDEX(Planos!$H$3:$H$27,13))</f>
        <v/>
      </c>
      <c r="I310" s="41" t="str">
        <f aca="false">IF($C310="","",IF(INDEX(Planos!$J$3:$AG$27,$A310,$B310)=0,"",INDEX(Planos!$J$3:$AG$27,$A310,$B310)))</f>
        <v/>
      </c>
      <c r="J310" s="26" t="str">
        <f aca="false">IF($C310="","",IF($I310&lt;&gt;"","Realizada",IF($G310&lt;INT(Parâmetros!$C$4),"Atrasada","Agendada")))</f>
        <v/>
      </c>
      <c r="K310" s="42" t="str">
        <f aca="false">IF($C310="","",IF($I310&lt;&gt;"",$I310-$G310,IF($J310="Atrasada",INT(Parâmetros!$C$4)-$G310,"")))</f>
        <v/>
      </c>
      <c r="L310" s="26" t="str">
        <f aca="false">IF($J310&lt;&gt;"Realizada","",IF($K310&lt;=0,"No prazo",IF($K310&lt;=7,"Até 7 dias",IF($K310&lt;=30,"Até 30 dias","Acima de 30"))))</f>
        <v/>
      </c>
      <c r="M310" s="26" t="str">
        <f aca="false">IF($C310="","",COUNTIFS($G$3:$G310,$G310))</f>
        <v/>
      </c>
      <c r="N310" s="26" t="str">
        <f aca="false">IF($C310="","",$G310&amp;"|"&amp;$M310)</f>
        <v/>
      </c>
    </row>
    <row r="311" customFormat="false" ht="18" hidden="false" customHeight="true" outlineLevel="0" collapsed="false">
      <c r="A311" s="26" t="n">
        <v>13</v>
      </c>
      <c r="B311" s="26" t="n">
        <v>21</v>
      </c>
      <c r="C311" s="26" t="str">
        <f aca="false">IF(INDEX(Planos!$B$3:$B$27,13)="","",IF(21&gt;INDEX(Planos!$G$3:$G$27,13),"",INDEX(Planos!$B$3:$B$27,13)))</f>
        <v/>
      </c>
      <c r="D311" s="40" t="str">
        <f aca="false">IF($C311="","",IFERROR(INDEX(Ativos!$B$3:$B$42,MATCH($C311,Ativos!$A$3:$A$42,0)),""))</f>
        <v/>
      </c>
      <c r="E311" s="40" t="str">
        <f aca="false">IF($C311="","",INDEX(Planos!$C$3:$C$27,13))</f>
        <v/>
      </c>
      <c r="F311" s="40" t="str">
        <f aca="false">IF($C311="","",INDEX(Planos!$D$3:$D$27,13))</f>
        <v/>
      </c>
      <c r="G311" s="41" t="n">
        <f aca="false">IF($C311="",0,INDEX(Planos!$F$3:$F$27,13)+(21-1)*INDEX(Planos!$E$3:$E$27,13))</f>
        <v>0</v>
      </c>
      <c r="H311" s="40" t="str">
        <f aca="false">IF($C311="","",INDEX(Planos!$H$3:$H$27,13))</f>
        <v/>
      </c>
      <c r="I311" s="41" t="str">
        <f aca="false">IF($C311="","",IF(INDEX(Planos!$J$3:$AG$27,$A311,$B311)=0,"",INDEX(Planos!$J$3:$AG$27,$A311,$B311)))</f>
        <v/>
      </c>
      <c r="J311" s="26" t="str">
        <f aca="false">IF($C311="","",IF($I311&lt;&gt;"","Realizada",IF($G311&lt;INT(Parâmetros!$C$4),"Atrasada","Agendada")))</f>
        <v/>
      </c>
      <c r="K311" s="42" t="str">
        <f aca="false">IF($C311="","",IF($I311&lt;&gt;"",$I311-$G311,IF($J311="Atrasada",INT(Parâmetros!$C$4)-$G311,"")))</f>
        <v/>
      </c>
      <c r="L311" s="26" t="str">
        <f aca="false">IF($J311&lt;&gt;"Realizada","",IF($K311&lt;=0,"No prazo",IF($K311&lt;=7,"Até 7 dias",IF($K311&lt;=30,"Até 30 dias","Acima de 30"))))</f>
        <v/>
      </c>
      <c r="M311" s="26" t="str">
        <f aca="false">IF($C311="","",COUNTIFS($G$3:$G311,$G311))</f>
        <v/>
      </c>
      <c r="N311" s="26" t="str">
        <f aca="false">IF($C311="","",$G311&amp;"|"&amp;$M311)</f>
        <v/>
      </c>
    </row>
    <row r="312" customFormat="false" ht="18" hidden="false" customHeight="true" outlineLevel="0" collapsed="false">
      <c r="A312" s="26" t="n">
        <v>13</v>
      </c>
      <c r="B312" s="26" t="n">
        <v>22</v>
      </c>
      <c r="C312" s="26" t="str">
        <f aca="false">IF(INDEX(Planos!$B$3:$B$27,13)="","",IF(22&gt;INDEX(Planos!$G$3:$G$27,13),"",INDEX(Planos!$B$3:$B$27,13)))</f>
        <v/>
      </c>
      <c r="D312" s="40" t="str">
        <f aca="false">IF($C312="","",IFERROR(INDEX(Ativos!$B$3:$B$42,MATCH($C312,Ativos!$A$3:$A$42,0)),""))</f>
        <v/>
      </c>
      <c r="E312" s="40" t="str">
        <f aca="false">IF($C312="","",INDEX(Planos!$C$3:$C$27,13))</f>
        <v/>
      </c>
      <c r="F312" s="40" t="str">
        <f aca="false">IF($C312="","",INDEX(Planos!$D$3:$D$27,13))</f>
        <v/>
      </c>
      <c r="G312" s="41" t="n">
        <f aca="false">IF($C312="",0,INDEX(Planos!$F$3:$F$27,13)+(22-1)*INDEX(Planos!$E$3:$E$27,13))</f>
        <v>0</v>
      </c>
      <c r="H312" s="40" t="str">
        <f aca="false">IF($C312="","",INDEX(Planos!$H$3:$H$27,13))</f>
        <v/>
      </c>
      <c r="I312" s="41" t="str">
        <f aca="false">IF($C312="","",IF(INDEX(Planos!$J$3:$AG$27,$A312,$B312)=0,"",INDEX(Planos!$J$3:$AG$27,$A312,$B312)))</f>
        <v/>
      </c>
      <c r="J312" s="26" t="str">
        <f aca="false">IF($C312="","",IF($I312&lt;&gt;"","Realizada",IF($G312&lt;INT(Parâmetros!$C$4),"Atrasada","Agendada")))</f>
        <v/>
      </c>
      <c r="K312" s="42" t="str">
        <f aca="false">IF($C312="","",IF($I312&lt;&gt;"",$I312-$G312,IF($J312="Atrasada",INT(Parâmetros!$C$4)-$G312,"")))</f>
        <v/>
      </c>
      <c r="L312" s="26" t="str">
        <f aca="false">IF($J312&lt;&gt;"Realizada","",IF($K312&lt;=0,"No prazo",IF($K312&lt;=7,"Até 7 dias",IF($K312&lt;=30,"Até 30 dias","Acima de 30"))))</f>
        <v/>
      </c>
      <c r="M312" s="26" t="str">
        <f aca="false">IF($C312="","",COUNTIFS($G$3:$G312,$G312))</f>
        <v/>
      </c>
      <c r="N312" s="26" t="str">
        <f aca="false">IF($C312="","",$G312&amp;"|"&amp;$M312)</f>
        <v/>
      </c>
    </row>
    <row r="313" customFormat="false" ht="18" hidden="false" customHeight="true" outlineLevel="0" collapsed="false">
      <c r="A313" s="26" t="n">
        <v>13</v>
      </c>
      <c r="B313" s="26" t="n">
        <v>23</v>
      </c>
      <c r="C313" s="26" t="str">
        <f aca="false">IF(INDEX(Planos!$B$3:$B$27,13)="","",IF(23&gt;INDEX(Planos!$G$3:$G$27,13),"",INDEX(Planos!$B$3:$B$27,13)))</f>
        <v/>
      </c>
      <c r="D313" s="40" t="str">
        <f aca="false">IF($C313="","",IFERROR(INDEX(Ativos!$B$3:$B$42,MATCH($C313,Ativos!$A$3:$A$42,0)),""))</f>
        <v/>
      </c>
      <c r="E313" s="40" t="str">
        <f aca="false">IF($C313="","",INDEX(Planos!$C$3:$C$27,13))</f>
        <v/>
      </c>
      <c r="F313" s="40" t="str">
        <f aca="false">IF($C313="","",INDEX(Planos!$D$3:$D$27,13))</f>
        <v/>
      </c>
      <c r="G313" s="41" t="n">
        <f aca="false">IF($C313="",0,INDEX(Planos!$F$3:$F$27,13)+(23-1)*INDEX(Planos!$E$3:$E$27,13))</f>
        <v>0</v>
      </c>
      <c r="H313" s="40" t="str">
        <f aca="false">IF($C313="","",INDEX(Planos!$H$3:$H$27,13))</f>
        <v/>
      </c>
      <c r="I313" s="41" t="str">
        <f aca="false">IF($C313="","",IF(INDEX(Planos!$J$3:$AG$27,$A313,$B313)=0,"",INDEX(Planos!$J$3:$AG$27,$A313,$B313)))</f>
        <v/>
      </c>
      <c r="J313" s="26" t="str">
        <f aca="false">IF($C313="","",IF($I313&lt;&gt;"","Realizada",IF($G313&lt;INT(Parâmetros!$C$4),"Atrasada","Agendada")))</f>
        <v/>
      </c>
      <c r="K313" s="42" t="str">
        <f aca="false">IF($C313="","",IF($I313&lt;&gt;"",$I313-$G313,IF($J313="Atrasada",INT(Parâmetros!$C$4)-$G313,"")))</f>
        <v/>
      </c>
      <c r="L313" s="26" t="str">
        <f aca="false">IF($J313&lt;&gt;"Realizada","",IF($K313&lt;=0,"No prazo",IF($K313&lt;=7,"Até 7 dias",IF($K313&lt;=30,"Até 30 dias","Acima de 30"))))</f>
        <v/>
      </c>
      <c r="M313" s="26" t="str">
        <f aca="false">IF($C313="","",COUNTIFS($G$3:$G313,$G313))</f>
        <v/>
      </c>
      <c r="N313" s="26" t="str">
        <f aca="false">IF($C313="","",$G313&amp;"|"&amp;$M313)</f>
        <v/>
      </c>
    </row>
    <row r="314" customFormat="false" ht="18" hidden="false" customHeight="true" outlineLevel="0" collapsed="false">
      <c r="A314" s="26" t="n">
        <v>13</v>
      </c>
      <c r="B314" s="26" t="n">
        <v>24</v>
      </c>
      <c r="C314" s="26" t="str">
        <f aca="false">IF(INDEX(Planos!$B$3:$B$27,13)="","",IF(24&gt;INDEX(Planos!$G$3:$G$27,13),"",INDEX(Planos!$B$3:$B$27,13)))</f>
        <v/>
      </c>
      <c r="D314" s="40" t="str">
        <f aca="false">IF($C314="","",IFERROR(INDEX(Ativos!$B$3:$B$42,MATCH($C314,Ativos!$A$3:$A$42,0)),""))</f>
        <v/>
      </c>
      <c r="E314" s="40" t="str">
        <f aca="false">IF($C314="","",INDEX(Planos!$C$3:$C$27,13))</f>
        <v/>
      </c>
      <c r="F314" s="40" t="str">
        <f aca="false">IF($C314="","",INDEX(Planos!$D$3:$D$27,13))</f>
        <v/>
      </c>
      <c r="G314" s="41" t="n">
        <f aca="false">IF($C314="",0,INDEX(Planos!$F$3:$F$27,13)+(24-1)*INDEX(Planos!$E$3:$E$27,13))</f>
        <v>0</v>
      </c>
      <c r="H314" s="40" t="str">
        <f aca="false">IF($C314="","",INDEX(Planos!$H$3:$H$27,13))</f>
        <v/>
      </c>
      <c r="I314" s="41" t="str">
        <f aca="false">IF($C314="","",IF(INDEX(Planos!$J$3:$AG$27,$A314,$B314)=0,"",INDEX(Planos!$J$3:$AG$27,$A314,$B314)))</f>
        <v/>
      </c>
      <c r="J314" s="26" t="str">
        <f aca="false">IF($C314="","",IF($I314&lt;&gt;"","Realizada",IF($G314&lt;INT(Parâmetros!$C$4),"Atrasada","Agendada")))</f>
        <v/>
      </c>
      <c r="K314" s="42" t="str">
        <f aca="false">IF($C314="","",IF($I314&lt;&gt;"",$I314-$G314,IF($J314="Atrasada",INT(Parâmetros!$C$4)-$G314,"")))</f>
        <v/>
      </c>
      <c r="L314" s="26" t="str">
        <f aca="false">IF($J314&lt;&gt;"Realizada","",IF($K314&lt;=0,"No prazo",IF($K314&lt;=7,"Até 7 dias",IF($K314&lt;=30,"Até 30 dias","Acima de 30"))))</f>
        <v/>
      </c>
      <c r="M314" s="26" t="str">
        <f aca="false">IF($C314="","",COUNTIFS($G$3:$G314,$G314))</f>
        <v/>
      </c>
      <c r="N314" s="26" t="str">
        <f aca="false">IF($C314="","",$G314&amp;"|"&amp;$M314)</f>
        <v/>
      </c>
    </row>
    <row r="315" customFormat="false" ht="18" hidden="false" customHeight="true" outlineLevel="0" collapsed="false">
      <c r="A315" s="26" t="n">
        <v>14</v>
      </c>
      <c r="B315" s="26" t="n">
        <v>1</v>
      </c>
      <c r="C315" s="26" t="str">
        <f aca="false">IF(INDEX(Planos!$B$3:$B$27,14)="","",IF(1&gt;INDEX(Planos!$G$3:$G$27,14),"",INDEX(Planos!$B$3:$B$27,14)))</f>
        <v/>
      </c>
      <c r="D315" s="40" t="str">
        <f aca="false">IF($C315="","",IFERROR(INDEX(Ativos!$B$3:$B$42,MATCH($C315,Ativos!$A$3:$A$42,0)),""))</f>
        <v/>
      </c>
      <c r="E315" s="40" t="str">
        <f aca="false">IF($C315="","",INDEX(Planos!$C$3:$C$27,14))</f>
        <v/>
      </c>
      <c r="F315" s="40" t="str">
        <f aca="false">IF($C315="","",INDEX(Planos!$D$3:$D$27,14))</f>
        <v/>
      </c>
      <c r="G315" s="41" t="n">
        <f aca="false">IF($C315="",0,INDEX(Planos!$F$3:$F$27,14)+(1-1)*INDEX(Planos!$E$3:$E$27,14))</f>
        <v>0</v>
      </c>
      <c r="H315" s="40" t="str">
        <f aca="false">IF($C315="","",INDEX(Planos!$H$3:$H$27,14))</f>
        <v/>
      </c>
      <c r="I315" s="41" t="str">
        <f aca="false">IF($C315="","",IF(INDEX(Planos!$J$3:$AG$27,$A315,$B315)=0,"",INDEX(Planos!$J$3:$AG$27,$A315,$B315)))</f>
        <v/>
      </c>
      <c r="J315" s="26" t="str">
        <f aca="false">IF($C315="","",IF($I315&lt;&gt;"","Realizada",IF($G315&lt;INT(Parâmetros!$C$4),"Atrasada","Agendada")))</f>
        <v/>
      </c>
      <c r="K315" s="42" t="str">
        <f aca="false">IF($C315="","",IF($I315&lt;&gt;"",$I315-$G315,IF($J315="Atrasada",INT(Parâmetros!$C$4)-$G315,"")))</f>
        <v/>
      </c>
      <c r="L315" s="26" t="str">
        <f aca="false">IF($J315&lt;&gt;"Realizada","",IF($K315&lt;=0,"No prazo",IF($K315&lt;=7,"Até 7 dias",IF($K315&lt;=30,"Até 30 dias","Acima de 30"))))</f>
        <v/>
      </c>
      <c r="M315" s="26" t="str">
        <f aca="false">IF($C315="","",COUNTIFS($G$3:$G315,$G315))</f>
        <v/>
      </c>
      <c r="N315" s="26" t="str">
        <f aca="false">IF($C315="","",$G315&amp;"|"&amp;$M315)</f>
        <v/>
      </c>
    </row>
    <row r="316" customFormat="false" ht="18" hidden="false" customHeight="true" outlineLevel="0" collapsed="false">
      <c r="A316" s="26" t="n">
        <v>14</v>
      </c>
      <c r="B316" s="26" t="n">
        <v>2</v>
      </c>
      <c r="C316" s="26" t="str">
        <f aca="false">IF(INDEX(Planos!$B$3:$B$27,14)="","",IF(2&gt;INDEX(Planos!$G$3:$G$27,14),"",INDEX(Planos!$B$3:$B$27,14)))</f>
        <v/>
      </c>
      <c r="D316" s="40" t="str">
        <f aca="false">IF($C316="","",IFERROR(INDEX(Ativos!$B$3:$B$42,MATCH($C316,Ativos!$A$3:$A$42,0)),""))</f>
        <v/>
      </c>
      <c r="E316" s="40" t="str">
        <f aca="false">IF($C316="","",INDEX(Planos!$C$3:$C$27,14))</f>
        <v/>
      </c>
      <c r="F316" s="40" t="str">
        <f aca="false">IF($C316="","",INDEX(Planos!$D$3:$D$27,14))</f>
        <v/>
      </c>
      <c r="G316" s="41" t="n">
        <f aca="false">IF($C316="",0,INDEX(Planos!$F$3:$F$27,14)+(2-1)*INDEX(Planos!$E$3:$E$27,14))</f>
        <v>0</v>
      </c>
      <c r="H316" s="40" t="str">
        <f aca="false">IF($C316="","",INDEX(Planos!$H$3:$H$27,14))</f>
        <v/>
      </c>
      <c r="I316" s="41" t="str">
        <f aca="false">IF($C316="","",IF(INDEX(Planos!$J$3:$AG$27,$A316,$B316)=0,"",INDEX(Planos!$J$3:$AG$27,$A316,$B316)))</f>
        <v/>
      </c>
      <c r="J316" s="26" t="str">
        <f aca="false">IF($C316="","",IF($I316&lt;&gt;"","Realizada",IF($G316&lt;INT(Parâmetros!$C$4),"Atrasada","Agendada")))</f>
        <v/>
      </c>
      <c r="K316" s="42" t="str">
        <f aca="false">IF($C316="","",IF($I316&lt;&gt;"",$I316-$G316,IF($J316="Atrasada",INT(Parâmetros!$C$4)-$G316,"")))</f>
        <v/>
      </c>
      <c r="L316" s="26" t="str">
        <f aca="false">IF($J316&lt;&gt;"Realizada","",IF($K316&lt;=0,"No prazo",IF($K316&lt;=7,"Até 7 dias",IF($K316&lt;=30,"Até 30 dias","Acima de 30"))))</f>
        <v/>
      </c>
      <c r="M316" s="26" t="str">
        <f aca="false">IF($C316="","",COUNTIFS($G$3:$G316,$G316))</f>
        <v/>
      </c>
      <c r="N316" s="26" t="str">
        <f aca="false">IF($C316="","",$G316&amp;"|"&amp;$M316)</f>
        <v/>
      </c>
    </row>
    <row r="317" customFormat="false" ht="18" hidden="false" customHeight="true" outlineLevel="0" collapsed="false">
      <c r="A317" s="26" t="n">
        <v>14</v>
      </c>
      <c r="B317" s="26" t="n">
        <v>3</v>
      </c>
      <c r="C317" s="26" t="str">
        <f aca="false">IF(INDEX(Planos!$B$3:$B$27,14)="","",IF(3&gt;INDEX(Planos!$G$3:$G$27,14),"",INDEX(Planos!$B$3:$B$27,14)))</f>
        <v/>
      </c>
      <c r="D317" s="40" t="str">
        <f aca="false">IF($C317="","",IFERROR(INDEX(Ativos!$B$3:$B$42,MATCH($C317,Ativos!$A$3:$A$42,0)),""))</f>
        <v/>
      </c>
      <c r="E317" s="40" t="str">
        <f aca="false">IF($C317="","",INDEX(Planos!$C$3:$C$27,14))</f>
        <v/>
      </c>
      <c r="F317" s="40" t="str">
        <f aca="false">IF($C317="","",INDEX(Planos!$D$3:$D$27,14))</f>
        <v/>
      </c>
      <c r="G317" s="41" t="n">
        <f aca="false">IF($C317="",0,INDEX(Planos!$F$3:$F$27,14)+(3-1)*INDEX(Planos!$E$3:$E$27,14))</f>
        <v>0</v>
      </c>
      <c r="H317" s="40" t="str">
        <f aca="false">IF($C317="","",INDEX(Planos!$H$3:$H$27,14))</f>
        <v/>
      </c>
      <c r="I317" s="41" t="str">
        <f aca="false">IF($C317="","",IF(INDEX(Planos!$J$3:$AG$27,$A317,$B317)=0,"",INDEX(Planos!$J$3:$AG$27,$A317,$B317)))</f>
        <v/>
      </c>
      <c r="J317" s="26" t="str">
        <f aca="false">IF($C317="","",IF($I317&lt;&gt;"","Realizada",IF($G317&lt;INT(Parâmetros!$C$4),"Atrasada","Agendada")))</f>
        <v/>
      </c>
      <c r="K317" s="42" t="str">
        <f aca="false">IF($C317="","",IF($I317&lt;&gt;"",$I317-$G317,IF($J317="Atrasada",INT(Parâmetros!$C$4)-$G317,"")))</f>
        <v/>
      </c>
      <c r="L317" s="26" t="str">
        <f aca="false">IF($J317&lt;&gt;"Realizada","",IF($K317&lt;=0,"No prazo",IF($K317&lt;=7,"Até 7 dias",IF($K317&lt;=30,"Até 30 dias","Acima de 30"))))</f>
        <v/>
      </c>
      <c r="M317" s="26" t="str">
        <f aca="false">IF($C317="","",COUNTIFS($G$3:$G317,$G317))</f>
        <v/>
      </c>
      <c r="N317" s="26" t="str">
        <f aca="false">IF($C317="","",$G317&amp;"|"&amp;$M317)</f>
        <v/>
      </c>
    </row>
    <row r="318" customFormat="false" ht="18" hidden="false" customHeight="true" outlineLevel="0" collapsed="false">
      <c r="A318" s="26" t="n">
        <v>14</v>
      </c>
      <c r="B318" s="26" t="n">
        <v>4</v>
      </c>
      <c r="C318" s="26" t="str">
        <f aca="false">IF(INDEX(Planos!$B$3:$B$27,14)="","",IF(4&gt;INDEX(Planos!$G$3:$G$27,14),"",INDEX(Planos!$B$3:$B$27,14)))</f>
        <v/>
      </c>
      <c r="D318" s="40" t="str">
        <f aca="false">IF($C318="","",IFERROR(INDEX(Ativos!$B$3:$B$42,MATCH($C318,Ativos!$A$3:$A$42,0)),""))</f>
        <v/>
      </c>
      <c r="E318" s="40" t="str">
        <f aca="false">IF($C318="","",INDEX(Planos!$C$3:$C$27,14))</f>
        <v/>
      </c>
      <c r="F318" s="40" t="str">
        <f aca="false">IF($C318="","",INDEX(Planos!$D$3:$D$27,14))</f>
        <v/>
      </c>
      <c r="G318" s="41" t="n">
        <f aca="false">IF($C318="",0,INDEX(Planos!$F$3:$F$27,14)+(4-1)*INDEX(Planos!$E$3:$E$27,14))</f>
        <v>0</v>
      </c>
      <c r="H318" s="40" t="str">
        <f aca="false">IF($C318="","",INDEX(Planos!$H$3:$H$27,14))</f>
        <v/>
      </c>
      <c r="I318" s="41" t="str">
        <f aca="false">IF($C318="","",IF(INDEX(Planos!$J$3:$AG$27,$A318,$B318)=0,"",INDEX(Planos!$J$3:$AG$27,$A318,$B318)))</f>
        <v/>
      </c>
      <c r="J318" s="26" t="str">
        <f aca="false">IF($C318="","",IF($I318&lt;&gt;"","Realizada",IF($G318&lt;INT(Parâmetros!$C$4),"Atrasada","Agendada")))</f>
        <v/>
      </c>
      <c r="K318" s="42" t="str">
        <f aca="false">IF($C318="","",IF($I318&lt;&gt;"",$I318-$G318,IF($J318="Atrasada",INT(Parâmetros!$C$4)-$G318,"")))</f>
        <v/>
      </c>
      <c r="L318" s="26" t="str">
        <f aca="false">IF($J318&lt;&gt;"Realizada","",IF($K318&lt;=0,"No prazo",IF($K318&lt;=7,"Até 7 dias",IF($K318&lt;=30,"Até 30 dias","Acima de 30"))))</f>
        <v/>
      </c>
      <c r="M318" s="26" t="str">
        <f aca="false">IF($C318="","",COUNTIFS($G$3:$G318,$G318))</f>
        <v/>
      </c>
      <c r="N318" s="26" t="str">
        <f aca="false">IF($C318="","",$G318&amp;"|"&amp;$M318)</f>
        <v/>
      </c>
    </row>
    <row r="319" customFormat="false" ht="18" hidden="false" customHeight="true" outlineLevel="0" collapsed="false">
      <c r="A319" s="26" t="n">
        <v>14</v>
      </c>
      <c r="B319" s="26" t="n">
        <v>5</v>
      </c>
      <c r="C319" s="26" t="str">
        <f aca="false">IF(INDEX(Planos!$B$3:$B$27,14)="","",IF(5&gt;INDEX(Planos!$G$3:$G$27,14),"",INDEX(Planos!$B$3:$B$27,14)))</f>
        <v/>
      </c>
      <c r="D319" s="40" t="str">
        <f aca="false">IF($C319="","",IFERROR(INDEX(Ativos!$B$3:$B$42,MATCH($C319,Ativos!$A$3:$A$42,0)),""))</f>
        <v/>
      </c>
      <c r="E319" s="40" t="str">
        <f aca="false">IF($C319="","",INDEX(Planos!$C$3:$C$27,14))</f>
        <v/>
      </c>
      <c r="F319" s="40" t="str">
        <f aca="false">IF($C319="","",INDEX(Planos!$D$3:$D$27,14))</f>
        <v/>
      </c>
      <c r="G319" s="41" t="n">
        <f aca="false">IF($C319="",0,INDEX(Planos!$F$3:$F$27,14)+(5-1)*INDEX(Planos!$E$3:$E$27,14))</f>
        <v>0</v>
      </c>
      <c r="H319" s="40" t="str">
        <f aca="false">IF($C319="","",INDEX(Planos!$H$3:$H$27,14))</f>
        <v/>
      </c>
      <c r="I319" s="41" t="str">
        <f aca="false">IF($C319="","",IF(INDEX(Planos!$J$3:$AG$27,$A319,$B319)=0,"",INDEX(Planos!$J$3:$AG$27,$A319,$B319)))</f>
        <v/>
      </c>
      <c r="J319" s="26" t="str">
        <f aca="false">IF($C319="","",IF($I319&lt;&gt;"","Realizada",IF($G319&lt;INT(Parâmetros!$C$4),"Atrasada","Agendada")))</f>
        <v/>
      </c>
      <c r="K319" s="42" t="str">
        <f aca="false">IF($C319="","",IF($I319&lt;&gt;"",$I319-$G319,IF($J319="Atrasada",INT(Parâmetros!$C$4)-$G319,"")))</f>
        <v/>
      </c>
      <c r="L319" s="26" t="str">
        <f aca="false">IF($J319&lt;&gt;"Realizada","",IF($K319&lt;=0,"No prazo",IF($K319&lt;=7,"Até 7 dias",IF($K319&lt;=30,"Até 30 dias","Acima de 30"))))</f>
        <v/>
      </c>
      <c r="M319" s="26" t="str">
        <f aca="false">IF($C319="","",COUNTIFS($G$3:$G319,$G319))</f>
        <v/>
      </c>
      <c r="N319" s="26" t="str">
        <f aca="false">IF($C319="","",$G319&amp;"|"&amp;$M319)</f>
        <v/>
      </c>
    </row>
    <row r="320" customFormat="false" ht="18" hidden="false" customHeight="true" outlineLevel="0" collapsed="false">
      <c r="A320" s="26" t="n">
        <v>14</v>
      </c>
      <c r="B320" s="26" t="n">
        <v>6</v>
      </c>
      <c r="C320" s="26" t="str">
        <f aca="false">IF(INDEX(Planos!$B$3:$B$27,14)="","",IF(6&gt;INDEX(Planos!$G$3:$G$27,14),"",INDEX(Planos!$B$3:$B$27,14)))</f>
        <v/>
      </c>
      <c r="D320" s="40" t="str">
        <f aca="false">IF($C320="","",IFERROR(INDEX(Ativos!$B$3:$B$42,MATCH($C320,Ativos!$A$3:$A$42,0)),""))</f>
        <v/>
      </c>
      <c r="E320" s="40" t="str">
        <f aca="false">IF($C320="","",INDEX(Planos!$C$3:$C$27,14))</f>
        <v/>
      </c>
      <c r="F320" s="40" t="str">
        <f aca="false">IF($C320="","",INDEX(Planos!$D$3:$D$27,14))</f>
        <v/>
      </c>
      <c r="G320" s="41" t="n">
        <f aca="false">IF($C320="",0,INDEX(Planos!$F$3:$F$27,14)+(6-1)*INDEX(Planos!$E$3:$E$27,14))</f>
        <v>0</v>
      </c>
      <c r="H320" s="40" t="str">
        <f aca="false">IF($C320="","",INDEX(Planos!$H$3:$H$27,14))</f>
        <v/>
      </c>
      <c r="I320" s="41" t="str">
        <f aca="false">IF($C320="","",IF(INDEX(Planos!$J$3:$AG$27,$A320,$B320)=0,"",INDEX(Planos!$J$3:$AG$27,$A320,$B320)))</f>
        <v/>
      </c>
      <c r="J320" s="26" t="str">
        <f aca="false">IF($C320="","",IF($I320&lt;&gt;"","Realizada",IF($G320&lt;INT(Parâmetros!$C$4),"Atrasada","Agendada")))</f>
        <v/>
      </c>
      <c r="K320" s="42" t="str">
        <f aca="false">IF($C320="","",IF($I320&lt;&gt;"",$I320-$G320,IF($J320="Atrasada",INT(Parâmetros!$C$4)-$G320,"")))</f>
        <v/>
      </c>
      <c r="L320" s="26" t="str">
        <f aca="false">IF($J320&lt;&gt;"Realizada","",IF($K320&lt;=0,"No prazo",IF($K320&lt;=7,"Até 7 dias",IF($K320&lt;=30,"Até 30 dias","Acima de 30"))))</f>
        <v/>
      </c>
      <c r="M320" s="26" t="str">
        <f aca="false">IF($C320="","",COUNTIFS($G$3:$G320,$G320))</f>
        <v/>
      </c>
      <c r="N320" s="26" t="str">
        <f aca="false">IF($C320="","",$G320&amp;"|"&amp;$M320)</f>
        <v/>
      </c>
    </row>
    <row r="321" customFormat="false" ht="18" hidden="false" customHeight="true" outlineLevel="0" collapsed="false">
      <c r="A321" s="26" t="n">
        <v>14</v>
      </c>
      <c r="B321" s="26" t="n">
        <v>7</v>
      </c>
      <c r="C321" s="26" t="str">
        <f aca="false">IF(INDEX(Planos!$B$3:$B$27,14)="","",IF(7&gt;INDEX(Planos!$G$3:$G$27,14),"",INDEX(Planos!$B$3:$B$27,14)))</f>
        <v/>
      </c>
      <c r="D321" s="40" t="str">
        <f aca="false">IF($C321="","",IFERROR(INDEX(Ativos!$B$3:$B$42,MATCH($C321,Ativos!$A$3:$A$42,0)),""))</f>
        <v/>
      </c>
      <c r="E321" s="40" t="str">
        <f aca="false">IF($C321="","",INDEX(Planos!$C$3:$C$27,14))</f>
        <v/>
      </c>
      <c r="F321" s="40" t="str">
        <f aca="false">IF($C321="","",INDEX(Planos!$D$3:$D$27,14))</f>
        <v/>
      </c>
      <c r="G321" s="41" t="n">
        <f aca="false">IF($C321="",0,INDEX(Planos!$F$3:$F$27,14)+(7-1)*INDEX(Planos!$E$3:$E$27,14))</f>
        <v>0</v>
      </c>
      <c r="H321" s="40" t="str">
        <f aca="false">IF($C321="","",INDEX(Planos!$H$3:$H$27,14))</f>
        <v/>
      </c>
      <c r="I321" s="41" t="str">
        <f aca="false">IF($C321="","",IF(INDEX(Planos!$J$3:$AG$27,$A321,$B321)=0,"",INDEX(Planos!$J$3:$AG$27,$A321,$B321)))</f>
        <v/>
      </c>
      <c r="J321" s="26" t="str">
        <f aca="false">IF($C321="","",IF($I321&lt;&gt;"","Realizada",IF($G321&lt;INT(Parâmetros!$C$4),"Atrasada","Agendada")))</f>
        <v/>
      </c>
      <c r="K321" s="42" t="str">
        <f aca="false">IF($C321="","",IF($I321&lt;&gt;"",$I321-$G321,IF($J321="Atrasada",INT(Parâmetros!$C$4)-$G321,"")))</f>
        <v/>
      </c>
      <c r="L321" s="26" t="str">
        <f aca="false">IF($J321&lt;&gt;"Realizada","",IF($K321&lt;=0,"No prazo",IF($K321&lt;=7,"Até 7 dias",IF($K321&lt;=30,"Até 30 dias","Acima de 30"))))</f>
        <v/>
      </c>
      <c r="M321" s="26" t="str">
        <f aca="false">IF($C321="","",COUNTIFS($G$3:$G321,$G321))</f>
        <v/>
      </c>
      <c r="N321" s="26" t="str">
        <f aca="false">IF($C321="","",$G321&amp;"|"&amp;$M321)</f>
        <v/>
      </c>
    </row>
    <row r="322" customFormat="false" ht="18" hidden="false" customHeight="true" outlineLevel="0" collapsed="false">
      <c r="A322" s="26" t="n">
        <v>14</v>
      </c>
      <c r="B322" s="26" t="n">
        <v>8</v>
      </c>
      <c r="C322" s="26" t="str">
        <f aca="false">IF(INDEX(Planos!$B$3:$B$27,14)="","",IF(8&gt;INDEX(Planos!$G$3:$G$27,14),"",INDEX(Planos!$B$3:$B$27,14)))</f>
        <v/>
      </c>
      <c r="D322" s="40" t="str">
        <f aca="false">IF($C322="","",IFERROR(INDEX(Ativos!$B$3:$B$42,MATCH($C322,Ativos!$A$3:$A$42,0)),""))</f>
        <v/>
      </c>
      <c r="E322" s="40" t="str">
        <f aca="false">IF($C322="","",INDEX(Planos!$C$3:$C$27,14))</f>
        <v/>
      </c>
      <c r="F322" s="40" t="str">
        <f aca="false">IF($C322="","",INDEX(Planos!$D$3:$D$27,14))</f>
        <v/>
      </c>
      <c r="G322" s="41" t="n">
        <f aca="false">IF($C322="",0,INDEX(Planos!$F$3:$F$27,14)+(8-1)*INDEX(Planos!$E$3:$E$27,14))</f>
        <v>0</v>
      </c>
      <c r="H322" s="40" t="str">
        <f aca="false">IF($C322="","",INDEX(Planos!$H$3:$H$27,14))</f>
        <v/>
      </c>
      <c r="I322" s="41" t="str">
        <f aca="false">IF($C322="","",IF(INDEX(Planos!$J$3:$AG$27,$A322,$B322)=0,"",INDEX(Planos!$J$3:$AG$27,$A322,$B322)))</f>
        <v/>
      </c>
      <c r="J322" s="26" t="str">
        <f aca="false">IF($C322="","",IF($I322&lt;&gt;"","Realizada",IF($G322&lt;INT(Parâmetros!$C$4),"Atrasada","Agendada")))</f>
        <v/>
      </c>
      <c r="K322" s="42" t="str">
        <f aca="false">IF($C322="","",IF($I322&lt;&gt;"",$I322-$G322,IF($J322="Atrasada",INT(Parâmetros!$C$4)-$G322,"")))</f>
        <v/>
      </c>
      <c r="L322" s="26" t="str">
        <f aca="false">IF($J322&lt;&gt;"Realizada","",IF($K322&lt;=0,"No prazo",IF($K322&lt;=7,"Até 7 dias",IF($K322&lt;=30,"Até 30 dias","Acima de 30"))))</f>
        <v/>
      </c>
      <c r="M322" s="26" t="str">
        <f aca="false">IF($C322="","",COUNTIFS($G$3:$G322,$G322))</f>
        <v/>
      </c>
      <c r="N322" s="26" t="str">
        <f aca="false">IF($C322="","",$G322&amp;"|"&amp;$M322)</f>
        <v/>
      </c>
    </row>
    <row r="323" customFormat="false" ht="18" hidden="false" customHeight="true" outlineLevel="0" collapsed="false">
      <c r="A323" s="26" t="n">
        <v>14</v>
      </c>
      <c r="B323" s="26" t="n">
        <v>9</v>
      </c>
      <c r="C323" s="26" t="str">
        <f aca="false">IF(INDEX(Planos!$B$3:$B$27,14)="","",IF(9&gt;INDEX(Planos!$G$3:$G$27,14),"",INDEX(Planos!$B$3:$B$27,14)))</f>
        <v/>
      </c>
      <c r="D323" s="40" t="str">
        <f aca="false">IF($C323="","",IFERROR(INDEX(Ativos!$B$3:$B$42,MATCH($C323,Ativos!$A$3:$A$42,0)),""))</f>
        <v/>
      </c>
      <c r="E323" s="40" t="str">
        <f aca="false">IF($C323="","",INDEX(Planos!$C$3:$C$27,14))</f>
        <v/>
      </c>
      <c r="F323" s="40" t="str">
        <f aca="false">IF($C323="","",INDEX(Planos!$D$3:$D$27,14))</f>
        <v/>
      </c>
      <c r="G323" s="41" t="n">
        <f aca="false">IF($C323="",0,INDEX(Planos!$F$3:$F$27,14)+(9-1)*INDEX(Planos!$E$3:$E$27,14))</f>
        <v>0</v>
      </c>
      <c r="H323" s="40" t="str">
        <f aca="false">IF($C323="","",INDEX(Planos!$H$3:$H$27,14))</f>
        <v/>
      </c>
      <c r="I323" s="41" t="str">
        <f aca="false">IF($C323="","",IF(INDEX(Planos!$J$3:$AG$27,$A323,$B323)=0,"",INDEX(Planos!$J$3:$AG$27,$A323,$B323)))</f>
        <v/>
      </c>
      <c r="J323" s="26" t="str">
        <f aca="false">IF($C323="","",IF($I323&lt;&gt;"","Realizada",IF($G323&lt;INT(Parâmetros!$C$4),"Atrasada","Agendada")))</f>
        <v/>
      </c>
      <c r="K323" s="42" t="str">
        <f aca="false">IF($C323="","",IF($I323&lt;&gt;"",$I323-$G323,IF($J323="Atrasada",INT(Parâmetros!$C$4)-$G323,"")))</f>
        <v/>
      </c>
      <c r="L323" s="26" t="str">
        <f aca="false">IF($J323&lt;&gt;"Realizada","",IF($K323&lt;=0,"No prazo",IF($K323&lt;=7,"Até 7 dias",IF($K323&lt;=30,"Até 30 dias","Acima de 30"))))</f>
        <v/>
      </c>
      <c r="M323" s="26" t="str">
        <f aca="false">IF($C323="","",COUNTIFS($G$3:$G323,$G323))</f>
        <v/>
      </c>
      <c r="N323" s="26" t="str">
        <f aca="false">IF($C323="","",$G323&amp;"|"&amp;$M323)</f>
        <v/>
      </c>
    </row>
    <row r="324" customFormat="false" ht="18" hidden="false" customHeight="true" outlineLevel="0" collapsed="false">
      <c r="A324" s="26" t="n">
        <v>14</v>
      </c>
      <c r="B324" s="26" t="n">
        <v>10</v>
      </c>
      <c r="C324" s="26" t="str">
        <f aca="false">IF(INDEX(Planos!$B$3:$B$27,14)="","",IF(10&gt;INDEX(Planos!$G$3:$G$27,14),"",INDEX(Planos!$B$3:$B$27,14)))</f>
        <v/>
      </c>
      <c r="D324" s="40" t="str">
        <f aca="false">IF($C324="","",IFERROR(INDEX(Ativos!$B$3:$B$42,MATCH($C324,Ativos!$A$3:$A$42,0)),""))</f>
        <v/>
      </c>
      <c r="E324" s="40" t="str">
        <f aca="false">IF($C324="","",INDEX(Planos!$C$3:$C$27,14))</f>
        <v/>
      </c>
      <c r="F324" s="40" t="str">
        <f aca="false">IF($C324="","",INDEX(Planos!$D$3:$D$27,14))</f>
        <v/>
      </c>
      <c r="G324" s="41" t="n">
        <f aca="false">IF($C324="",0,INDEX(Planos!$F$3:$F$27,14)+(10-1)*INDEX(Planos!$E$3:$E$27,14))</f>
        <v>0</v>
      </c>
      <c r="H324" s="40" t="str">
        <f aca="false">IF($C324="","",INDEX(Planos!$H$3:$H$27,14))</f>
        <v/>
      </c>
      <c r="I324" s="41" t="str">
        <f aca="false">IF($C324="","",IF(INDEX(Planos!$J$3:$AG$27,$A324,$B324)=0,"",INDEX(Planos!$J$3:$AG$27,$A324,$B324)))</f>
        <v/>
      </c>
      <c r="J324" s="26" t="str">
        <f aca="false">IF($C324="","",IF($I324&lt;&gt;"","Realizada",IF($G324&lt;INT(Parâmetros!$C$4),"Atrasada","Agendada")))</f>
        <v/>
      </c>
      <c r="K324" s="42" t="str">
        <f aca="false">IF($C324="","",IF($I324&lt;&gt;"",$I324-$G324,IF($J324="Atrasada",INT(Parâmetros!$C$4)-$G324,"")))</f>
        <v/>
      </c>
      <c r="L324" s="26" t="str">
        <f aca="false">IF($J324&lt;&gt;"Realizada","",IF($K324&lt;=0,"No prazo",IF($K324&lt;=7,"Até 7 dias",IF($K324&lt;=30,"Até 30 dias","Acima de 30"))))</f>
        <v/>
      </c>
      <c r="M324" s="26" t="str">
        <f aca="false">IF($C324="","",COUNTIFS($G$3:$G324,$G324))</f>
        <v/>
      </c>
      <c r="N324" s="26" t="str">
        <f aca="false">IF($C324="","",$G324&amp;"|"&amp;$M324)</f>
        <v/>
      </c>
    </row>
    <row r="325" customFormat="false" ht="18" hidden="false" customHeight="true" outlineLevel="0" collapsed="false">
      <c r="A325" s="26" t="n">
        <v>14</v>
      </c>
      <c r="B325" s="26" t="n">
        <v>11</v>
      </c>
      <c r="C325" s="26" t="str">
        <f aca="false">IF(INDEX(Planos!$B$3:$B$27,14)="","",IF(11&gt;INDEX(Planos!$G$3:$G$27,14),"",INDEX(Planos!$B$3:$B$27,14)))</f>
        <v/>
      </c>
      <c r="D325" s="40" t="str">
        <f aca="false">IF($C325="","",IFERROR(INDEX(Ativos!$B$3:$B$42,MATCH($C325,Ativos!$A$3:$A$42,0)),""))</f>
        <v/>
      </c>
      <c r="E325" s="40" t="str">
        <f aca="false">IF($C325="","",INDEX(Planos!$C$3:$C$27,14))</f>
        <v/>
      </c>
      <c r="F325" s="40" t="str">
        <f aca="false">IF($C325="","",INDEX(Planos!$D$3:$D$27,14))</f>
        <v/>
      </c>
      <c r="G325" s="41" t="n">
        <f aca="false">IF($C325="",0,INDEX(Planos!$F$3:$F$27,14)+(11-1)*INDEX(Planos!$E$3:$E$27,14))</f>
        <v>0</v>
      </c>
      <c r="H325" s="40" t="str">
        <f aca="false">IF($C325="","",INDEX(Planos!$H$3:$H$27,14))</f>
        <v/>
      </c>
      <c r="I325" s="41" t="str">
        <f aca="false">IF($C325="","",IF(INDEX(Planos!$J$3:$AG$27,$A325,$B325)=0,"",INDEX(Planos!$J$3:$AG$27,$A325,$B325)))</f>
        <v/>
      </c>
      <c r="J325" s="26" t="str">
        <f aca="false">IF($C325="","",IF($I325&lt;&gt;"","Realizada",IF($G325&lt;INT(Parâmetros!$C$4),"Atrasada","Agendada")))</f>
        <v/>
      </c>
      <c r="K325" s="42" t="str">
        <f aca="false">IF($C325="","",IF($I325&lt;&gt;"",$I325-$G325,IF($J325="Atrasada",INT(Parâmetros!$C$4)-$G325,"")))</f>
        <v/>
      </c>
      <c r="L325" s="26" t="str">
        <f aca="false">IF($J325&lt;&gt;"Realizada","",IF($K325&lt;=0,"No prazo",IF($K325&lt;=7,"Até 7 dias",IF($K325&lt;=30,"Até 30 dias","Acima de 30"))))</f>
        <v/>
      </c>
      <c r="M325" s="26" t="str">
        <f aca="false">IF($C325="","",COUNTIFS($G$3:$G325,$G325))</f>
        <v/>
      </c>
      <c r="N325" s="26" t="str">
        <f aca="false">IF($C325="","",$G325&amp;"|"&amp;$M325)</f>
        <v/>
      </c>
    </row>
    <row r="326" customFormat="false" ht="18" hidden="false" customHeight="true" outlineLevel="0" collapsed="false">
      <c r="A326" s="26" t="n">
        <v>14</v>
      </c>
      <c r="B326" s="26" t="n">
        <v>12</v>
      </c>
      <c r="C326" s="26" t="str">
        <f aca="false">IF(INDEX(Planos!$B$3:$B$27,14)="","",IF(12&gt;INDEX(Planos!$G$3:$G$27,14),"",INDEX(Planos!$B$3:$B$27,14)))</f>
        <v/>
      </c>
      <c r="D326" s="40" t="str">
        <f aca="false">IF($C326="","",IFERROR(INDEX(Ativos!$B$3:$B$42,MATCH($C326,Ativos!$A$3:$A$42,0)),""))</f>
        <v/>
      </c>
      <c r="E326" s="40" t="str">
        <f aca="false">IF($C326="","",INDEX(Planos!$C$3:$C$27,14))</f>
        <v/>
      </c>
      <c r="F326" s="40" t="str">
        <f aca="false">IF($C326="","",INDEX(Planos!$D$3:$D$27,14))</f>
        <v/>
      </c>
      <c r="G326" s="41" t="n">
        <f aca="false">IF($C326="",0,INDEX(Planos!$F$3:$F$27,14)+(12-1)*INDEX(Planos!$E$3:$E$27,14))</f>
        <v>0</v>
      </c>
      <c r="H326" s="40" t="str">
        <f aca="false">IF($C326="","",INDEX(Planos!$H$3:$H$27,14))</f>
        <v/>
      </c>
      <c r="I326" s="41" t="str">
        <f aca="false">IF($C326="","",IF(INDEX(Planos!$J$3:$AG$27,$A326,$B326)=0,"",INDEX(Planos!$J$3:$AG$27,$A326,$B326)))</f>
        <v/>
      </c>
      <c r="J326" s="26" t="str">
        <f aca="false">IF($C326="","",IF($I326&lt;&gt;"","Realizada",IF($G326&lt;INT(Parâmetros!$C$4),"Atrasada","Agendada")))</f>
        <v/>
      </c>
      <c r="K326" s="42" t="str">
        <f aca="false">IF($C326="","",IF($I326&lt;&gt;"",$I326-$G326,IF($J326="Atrasada",INT(Parâmetros!$C$4)-$G326,"")))</f>
        <v/>
      </c>
      <c r="L326" s="26" t="str">
        <f aca="false">IF($J326&lt;&gt;"Realizada","",IF($K326&lt;=0,"No prazo",IF($K326&lt;=7,"Até 7 dias",IF($K326&lt;=30,"Até 30 dias","Acima de 30"))))</f>
        <v/>
      </c>
      <c r="M326" s="26" t="str">
        <f aca="false">IF($C326="","",COUNTIFS($G$3:$G326,$G326))</f>
        <v/>
      </c>
      <c r="N326" s="26" t="str">
        <f aca="false">IF($C326="","",$G326&amp;"|"&amp;$M326)</f>
        <v/>
      </c>
    </row>
    <row r="327" customFormat="false" ht="18" hidden="false" customHeight="true" outlineLevel="0" collapsed="false">
      <c r="A327" s="26" t="n">
        <v>14</v>
      </c>
      <c r="B327" s="26" t="n">
        <v>13</v>
      </c>
      <c r="C327" s="26" t="str">
        <f aca="false">IF(INDEX(Planos!$B$3:$B$27,14)="","",IF(13&gt;INDEX(Planos!$G$3:$G$27,14),"",INDEX(Planos!$B$3:$B$27,14)))</f>
        <v/>
      </c>
      <c r="D327" s="40" t="str">
        <f aca="false">IF($C327="","",IFERROR(INDEX(Ativos!$B$3:$B$42,MATCH($C327,Ativos!$A$3:$A$42,0)),""))</f>
        <v/>
      </c>
      <c r="E327" s="40" t="str">
        <f aca="false">IF($C327="","",INDEX(Planos!$C$3:$C$27,14))</f>
        <v/>
      </c>
      <c r="F327" s="40" t="str">
        <f aca="false">IF($C327="","",INDEX(Planos!$D$3:$D$27,14))</f>
        <v/>
      </c>
      <c r="G327" s="41" t="n">
        <f aca="false">IF($C327="",0,INDEX(Planos!$F$3:$F$27,14)+(13-1)*INDEX(Planos!$E$3:$E$27,14))</f>
        <v>0</v>
      </c>
      <c r="H327" s="40" t="str">
        <f aca="false">IF($C327="","",INDEX(Planos!$H$3:$H$27,14))</f>
        <v/>
      </c>
      <c r="I327" s="41" t="str">
        <f aca="false">IF($C327="","",IF(INDEX(Planos!$J$3:$AG$27,$A327,$B327)=0,"",INDEX(Planos!$J$3:$AG$27,$A327,$B327)))</f>
        <v/>
      </c>
      <c r="J327" s="26" t="str">
        <f aca="false">IF($C327="","",IF($I327&lt;&gt;"","Realizada",IF($G327&lt;INT(Parâmetros!$C$4),"Atrasada","Agendada")))</f>
        <v/>
      </c>
      <c r="K327" s="42" t="str">
        <f aca="false">IF($C327="","",IF($I327&lt;&gt;"",$I327-$G327,IF($J327="Atrasada",INT(Parâmetros!$C$4)-$G327,"")))</f>
        <v/>
      </c>
      <c r="L327" s="26" t="str">
        <f aca="false">IF($J327&lt;&gt;"Realizada","",IF($K327&lt;=0,"No prazo",IF($K327&lt;=7,"Até 7 dias",IF($K327&lt;=30,"Até 30 dias","Acima de 30"))))</f>
        <v/>
      </c>
      <c r="M327" s="26" t="str">
        <f aca="false">IF($C327="","",COUNTIFS($G$3:$G327,$G327))</f>
        <v/>
      </c>
      <c r="N327" s="26" t="str">
        <f aca="false">IF($C327="","",$G327&amp;"|"&amp;$M327)</f>
        <v/>
      </c>
    </row>
    <row r="328" customFormat="false" ht="18" hidden="false" customHeight="true" outlineLevel="0" collapsed="false">
      <c r="A328" s="26" t="n">
        <v>14</v>
      </c>
      <c r="B328" s="26" t="n">
        <v>14</v>
      </c>
      <c r="C328" s="26" t="str">
        <f aca="false">IF(INDEX(Planos!$B$3:$B$27,14)="","",IF(14&gt;INDEX(Planos!$G$3:$G$27,14),"",INDEX(Planos!$B$3:$B$27,14)))</f>
        <v/>
      </c>
      <c r="D328" s="40" t="str">
        <f aca="false">IF($C328="","",IFERROR(INDEX(Ativos!$B$3:$B$42,MATCH($C328,Ativos!$A$3:$A$42,0)),""))</f>
        <v/>
      </c>
      <c r="E328" s="40" t="str">
        <f aca="false">IF($C328="","",INDEX(Planos!$C$3:$C$27,14))</f>
        <v/>
      </c>
      <c r="F328" s="40" t="str">
        <f aca="false">IF($C328="","",INDEX(Planos!$D$3:$D$27,14))</f>
        <v/>
      </c>
      <c r="G328" s="41" t="n">
        <f aca="false">IF($C328="",0,INDEX(Planos!$F$3:$F$27,14)+(14-1)*INDEX(Planos!$E$3:$E$27,14))</f>
        <v>0</v>
      </c>
      <c r="H328" s="40" t="str">
        <f aca="false">IF($C328="","",INDEX(Planos!$H$3:$H$27,14))</f>
        <v/>
      </c>
      <c r="I328" s="41" t="str">
        <f aca="false">IF($C328="","",IF(INDEX(Planos!$J$3:$AG$27,$A328,$B328)=0,"",INDEX(Planos!$J$3:$AG$27,$A328,$B328)))</f>
        <v/>
      </c>
      <c r="J328" s="26" t="str">
        <f aca="false">IF($C328="","",IF($I328&lt;&gt;"","Realizada",IF($G328&lt;INT(Parâmetros!$C$4),"Atrasada","Agendada")))</f>
        <v/>
      </c>
      <c r="K328" s="42" t="str">
        <f aca="false">IF($C328="","",IF($I328&lt;&gt;"",$I328-$G328,IF($J328="Atrasada",INT(Parâmetros!$C$4)-$G328,"")))</f>
        <v/>
      </c>
      <c r="L328" s="26" t="str">
        <f aca="false">IF($J328&lt;&gt;"Realizada","",IF($K328&lt;=0,"No prazo",IF($K328&lt;=7,"Até 7 dias",IF($K328&lt;=30,"Até 30 dias","Acima de 30"))))</f>
        <v/>
      </c>
      <c r="M328" s="26" t="str">
        <f aca="false">IF($C328="","",COUNTIFS($G$3:$G328,$G328))</f>
        <v/>
      </c>
      <c r="N328" s="26" t="str">
        <f aca="false">IF($C328="","",$G328&amp;"|"&amp;$M328)</f>
        <v/>
      </c>
    </row>
    <row r="329" customFormat="false" ht="18" hidden="false" customHeight="true" outlineLevel="0" collapsed="false">
      <c r="A329" s="26" t="n">
        <v>14</v>
      </c>
      <c r="B329" s="26" t="n">
        <v>15</v>
      </c>
      <c r="C329" s="26" t="str">
        <f aca="false">IF(INDEX(Planos!$B$3:$B$27,14)="","",IF(15&gt;INDEX(Planos!$G$3:$G$27,14),"",INDEX(Planos!$B$3:$B$27,14)))</f>
        <v/>
      </c>
      <c r="D329" s="40" t="str">
        <f aca="false">IF($C329="","",IFERROR(INDEX(Ativos!$B$3:$B$42,MATCH($C329,Ativos!$A$3:$A$42,0)),""))</f>
        <v/>
      </c>
      <c r="E329" s="40" t="str">
        <f aca="false">IF($C329="","",INDEX(Planos!$C$3:$C$27,14))</f>
        <v/>
      </c>
      <c r="F329" s="40" t="str">
        <f aca="false">IF($C329="","",INDEX(Planos!$D$3:$D$27,14))</f>
        <v/>
      </c>
      <c r="G329" s="41" t="n">
        <f aca="false">IF($C329="",0,INDEX(Planos!$F$3:$F$27,14)+(15-1)*INDEX(Planos!$E$3:$E$27,14))</f>
        <v>0</v>
      </c>
      <c r="H329" s="40" t="str">
        <f aca="false">IF($C329="","",INDEX(Planos!$H$3:$H$27,14))</f>
        <v/>
      </c>
      <c r="I329" s="41" t="str">
        <f aca="false">IF($C329="","",IF(INDEX(Planos!$J$3:$AG$27,$A329,$B329)=0,"",INDEX(Planos!$J$3:$AG$27,$A329,$B329)))</f>
        <v/>
      </c>
      <c r="J329" s="26" t="str">
        <f aca="false">IF($C329="","",IF($I329&lt;&gt;"","Realizada",IF($G329&lt;INT(Parâmetros!$C$4),"Atrasada","Agendada")))</f>
        <v/>
      </c>
      <c r="K329" s="42" t="str">
        <f aca="false">IF($C329="","",IF($I329&lt;&gt;"",$I329-$G329,IF($J329="Atrasada",INT(Parâmetros!$C$4)-$G329,"")))</f>
        <v/>
      </c>
      <c r="L329" s="26" t="str">
        <f aca="false">IF($J329&lt;&gt;"Realizada","",IF($K329&lt;=0,"No prazo",IF($K329&lt;=7,"Até 7 dias",IF($K329&lt;=30,"Até 30 dias","Acima de 30"))))</f>
        <v/>
      </c>
      <c r="M329" s="26" t="str">
        <f aca="false">IF($C329="","",COUNTIFS($G$3:$G329,$G329))</f>
        <v/>
      </c>
      <c r="N329" s="26" t="str">
        <f aca="false">IF($C329="","",$G329&amp;"|"&amp;$M329)</f>
        <v/>
      </c>
    </row>
    <row r="330" customFormat="false" ht="18" hidden="false" customHeight="true" outlineLevel="0" collapsed="false">
      <c r="A330" s="26" t="n">
        <v>14</v>
      </c>
      <c r="B330" s="26" t="n">
        <v>16</v>
      </c>
      <c r="C330" s="26" t="str">
        <f aca="false">IF(INDEX(Planos!$B$3:$B$27,14)="","",IF(16&gt;INDEX(Planos!$G$3:$G$27,14),"",INDEX(Planos!$B$3:$B$27,14)))</f>
        <v/>
      </c>
      <c r="D330" s="40" t="str">
        <f aca="false">IF($C330="","",IFERROR(INDEX(Ativos!$B$3:$B$42,MATCH($C330,Ativos!$A$3:$A$42,0)),""))</f>
        <v/>
      </c>
      <c r="E330" s="40" t="str">
        <f aca="false">IF($C330="","",INDEX(Planos!$C$3:$C$27,14))</f>
        <v/>
      </c>
      <c r="F330" s="40" t="str">
        <f aca="false">IF($C330="","",INDEX(Planos!$D$3:$D$27,14))</f>
        <v/>
      </c>
      <c r="G330" s="41" t="n">
        <f aca="false">IF($C330="",0,INDEX(Planos!$F$3:$F$27,14)+(16-1)*INDEX(Planos!$E$3:$E$27,14))</f>
        <v>0</v>
      </c>
      <c r="H330" s="40" t="str">
        <f aca="false">IF($C330="","",INDEX(Planos!$H$3:$H$27,14))</f>
        <v/>
      </c>
      <c r="I330" s="41" t="str">
        <f aca="false">IF($C330="","",IF(INDEX(Planos!$J$3:$AG$27,$A330,$B330)=0,"",INDEX(Planos!$J$3:$AG$27,$A330,$B330)))</f>
        <v/>
      </c>
      <c r="J330" s="26" t="str">
        <f aca="false">IF($C330="","",IF($I330&lt;&gt;"","Realizada",IF($G330&lt;INT(Parâmetros!$C$4),"Atrasada","Agendada")))</f>
        <v/>
      </c>
      <c r="K330" s="42" t="str">
        <f aca="false">IF($C330="","",IF($I330&lt;&gt;"",$I330-$G330,IF($J330="Atrasada",INT(Parâmetros!$C$4)-$G330,"")))</f>
        <v/>
      </c>
      <c r="L330" s="26" t="str">
        <f aca="false">IF($J330&lt;&gt;"Realizada","",IF($K330&lt;=0,"No prazo",IF($K330&lt;=7,"Até 7 dias",IF($K330&lt;=30,"Até 30 dias","Acima de 30"))))</f>
        <v/>
      </c>
      <c r="M330" s="26" t="str">
        <f aca="false">IF($C330="","",COUNTIFS($G$3:$G330,$G330))</f>
        <v/>
      </c>
      <c r="N330" s="26" t="str">
        <f aca="false">IF($C330="","",$G330&amp;"|"&amp;$M330)</f>
        <v/>
      </c>
    </row>
    <row r="331" customFormat="false" ht="18" hidden="false" customHeight="true" outlineLevel="0" collapsed="false">
      <c r="A331" s="26" t="n">
        <v>14</v>
      </c>
      <c r="B331" s="26" t="n">
        <v>17</v>
      </c>
      <c r="C331" s="26" t="str">
        <f aca="false">IF(INDEX(Planos!$B$3:$B$27,14)="","",IF(17&gt;INDEX(Planos!$G$3:$G$27,14),"",INDEX(Planos!$B$3:$B$27,14)))</f>
        <v/>
      </c>
      <c r="D331" s="40" t="str">
        <f aca="false">IF($C331="","",IFERROR(INDEX(Ativos!$B$3:$B$42,MATCH($C331,Ativos!$A$3:$A$42,0)),""))</f>
        <v/>
      </c>
      <c r="E331" s="40" t="str">
        <f aca="false">IF($C331="","",INDEX(Planos!$C$3:$C$27,14))</f>
        <v/>
      </c>
      <c r="F331" s="40" t="str">
        <f aca="false">IF($C331="","",INDEX(Planos!$D$3:$D$27,14))</f>
        <v/>
      </c>
      <c r="G331" s="41" t="n">
        <f aca="false">IF($C331="",0,INDEX(Planos!$F$3:$F$27,14)+(17-1)*INDEX(Planos!$E$3:$E$27,14))</f>
        <v>0</v>
      </c>
      <c r="H331" s="40" t="str">
        <f aca="false">IF($C331="","",INDEX(Planos!$H$3:$H$27,14))</f>
        <v/>
      </c>
      <c r="I331" s="41" t="str">
        <f aca="false">IF($C331="","",IF(INDEX(Planos!$J$3:$AG$27,$A331,$B331)=0,"",INDEX(Planos!$J$3:$AG$27,$A331,$B331)))</f>
        <v/>
      </c>
      <c r="J331" s="26" t="str">
        <f aca="false">IF($C331="","",IF($I331&lt;&gt;"","Realizada",IF($G331&lt;INT(Parâmetros!$C$4),"Atrasada","Agendada")))</f>
        <v/>
      </c>
      <c r="K331" s="42" t="str">
        <f aca="false">IF($C331="","",IF($I331&lt;&gt;"",$I331-$G331,IF($J331="Atrasada",INT(Parâmetros!$C$4)-$G331,"")))</f>
        <v/>
      </c>
      <c r="L331" s="26" t="str">
        <f aca="false">IF($J331&lt;&gt;"Realizada","",IF($K331&lt;=0,"No prazo",IF($K331&lt;=7,"Até 7 dias",IF($K331&lt;=30,"Até 30 dias","Acima de 30"))))</f>
        <v/>
      </c>
      <c r="M331" s="26" t="str">
        <f aca="false">IF($C331="","",COUNTIFS($G$3:$G331,$G331))</f>
        <v/>
      </c>
      <c r="N331" s="26" t="str">
        <f aca="false">IF($C331="","",$G331&amp;"|"&amp;$M331)</f>
        <v/>
      </c>
    </row>
    <row r="332" customFormat="false" ht="18" hidden="false" customHeight="true" outlineLevel="0" collapsed="false">
      <c r="A332" s="26" t="n">
        <v>14</v>
      </c>
      <c r="B332" s="26" t="n">
        <v>18</v>
      </c>
      <c r="C332" s="26" t="str">
        <f aca="false">IF(INDEX(Planos!$B$3:$B$27,14)="","",IF(18&gt;INDEX(Planos!$G$3:$G$27,14),"",INDEX(Planos!$B$3:$B$27,14)))</f>
        <v/>
      </c>
      <c r="D332" s="40" t="str">
        <f aca="false">IF($C332="","",IFERROR(INDEX(Ativos!$B$3:$B$42,MATCH($C332,Ativos!$A$3:$A$42,0)),""))</f>
        <v/>
      </c>
      <c r="E332" s="40" t="str">
        <f aca="false">IF($C332="","",INDEX(Planos!$C$3:$C$27,14))</f>
        <v/>
      </c>
      <c r="F332" s="40" t="str">
        <f aca="false">IF($C332="","",INDEX(Planos!$D$3:$D$27,14))</f>
        <v/>
      </c>
      <c r="G332" s="41" t="n">
        <f aca="false">IF($C332="",0,INDEX(Planos!$F$3:$F$27,14)+(18-1)*INDEX(Planos!$E$3:$E$27,14))</f>
        <v>0</v>
      </c>
      <c r="H332" s="40" t="str">
        <f aca="false">IF($C332="","",INDEX(Planos!$H$3:$H$27,14))</f>
        <v/>
      </c>
      <c r="I332" s="41" t="str">
        <f aca="false">IF($C332="","",IF(INDEX(Planos!$J$3:$AG$27,$A332,$B332)=0,"",INDEX(Planos!$J$3:$AG$27,$A332,$B332)))</f>
        <v/>
      </c>
      <c r="J332" s="26" t="str">
        <f aca="false">IF($C332="","",IF($I332&lt;&gt;"","Realizada",IF($G332&lt;INT(Parâmetros!$C$4),"Atrasada","Agendada")))</f>
        <v/>
      </c>
      <c r="K332" s="42" t="str">
        <f aca="false">IF($C332="","",IF($I332&lt;&gt;"",$I332-$G332,IF($J332="Atrasada",INT(Parâmetros!$C$4)-$G332,"")))</f>
        <v/>
      </c>
      <c r="L332" s="26" t="str">
        <f aca="false">IF($J332&lt;&gt;"Realizada","",IF($K332&lt;=0,"No prazo",IF($K332&lt;=7,"Até 7 dias",IF($K332&lt;=30,"Até 30 dias","Acima de 30"))))</f>
        <v/>
      </c>
      <c r="M332" s="26" t="str">
        <f aca="false">IF($C332="","",COUNTIFS($G$3:$G332,$G332))</f>
        <v/>
      </c>
      <c r="N332" s="26" t="str">
        <f aca="false">IF($C332="","",$G332&amp;"|"&amp;$M332)</f>
        <v/>
      </c>
    </row>
    <row r="333" customFormat="false" ht="18" hidden="false" customHeight="true" outlineLevel="0" collapsed="false">
      <c r="A333" s="26" t="n">
        <v>14</v>
      </c>
      <c r="B333" s="26" t="n">
        <v>19</v>
      </c>
      <c r="C333" s="26" t="str">
        <f aca="false">IF(INDEX(Planos!$B$3:$B$27,14)="","",IF(19&gt;INDEX(Planos!$G$3:$G$27,14),"",INDEX(Planos!$B$3:$B$27,14)))</f>
        <v/>
      </c>
      <c r="D333" s="40" t="str">
        <f aca="false">IF($C333="","",IFERROR(INDEX(Ativos!$B$3:$B$42,MATCH($C333,Ativos!$A$3:$A$42,0)),""))</f>
        <v/>
      </c>
      <c r="E333" s="40" t="str">
        <f aca="false">IF($C333="","",INDEX(Planos!$C$3:$C$27,14))</f>
        <v/>
      </c>
      <c r="F333" s="40" t="str">
        <f aca="false">IF($C333="","",INDEX(Planos!$D$3:$D$27,14))</f>
        <v/>
      </c>
      <c r="G333" s="41" t="n">
        <f aca="false">IF($C333="",0,INDEX(Planos!$F$3:$F$27,14)+(19-1)*INDEX(Planos!$E$3:$E$27,14))</f>
        <v>0</v>
      </c>
      <c r="H333" s="40" t="str">
        <f aca="false">IF($C333="","",INDEX(Planos!$H$3:$H$27,14))</f>
        <v/>
      </c>
      <c r="I333" s="41" t="str">
        <f aca="false">IF($C333="","",IF(INDEX(Planos!$J$3:$AG$27,$A333,$B333)=0,"",INDEX(Planos!$J$3:$AG$27,$A333,$B333)))</f>
        <v/>
      </c>
      <c r="J333" s="26" t="str">
        <f aca="false">IF($C333="","",IF($I333&lt;&gt;"","Realizada",IF($G333&lt;INT(Parâmetros!$C$4),"Atrasada","Agendada")))</f>
        <v/>
      </c>
      <c r="K333" s="42" t="str">
        <f aca="false">IF($C333="","",IF($I333&lt;&gt;"",$I333-$G333,IF($J333="Atrasada",INT(Parâmetros!$C$4)-$G333,"")))</f>
        <v/>
      </c>
      <c r="L333" s="26" t="str">
        <f aca="false">IF($J333&lt;&gt;"Realizada","",IF($K333&lt;=0,"No prazo",IF($K333&lt;=7,"Até 7 dias",IF($K333&lt;=30,"Até 30 dias","Acima de 30"))))</f>
        <v/>
      </c>
      <c r="M333" s="26" t="str">
        <f aca="false">IF($C333="","",COUNTIFS($G$3:$G333,$G333))</f>
        <v/>
      </c>
      <c r="N333" s="26" t="str">
        <f aca="false">IF($C333="","",$G333&amp;"|"&amp;$M333)</f>
        <v/>
      </c>
    </row>
    <row r="334" customFormat="false" ht="18" hidden="false" customHeight="true" outlineLevel="0" collapsed="false">
      <c r="A334" s="26" t="n">
        <v>14</v>
      </c>
      <c r="B334" s="26" t="n">
        <v>20</v>
      </c>
      <c r="C334" s="26" t="str">
        <f aca="false">IF(INDEX(Planos!$B$3:$B$27,14)="","",IF(20&gt;INDEX(Planos!$G$3:$G$27,14),"",INDEX(Planos!$B$3:$B$27,14)))</f>
        <v/>
      </c>
      <c r="D334" s="40" t="str">
        <f aca="false">IF($C334="","",IFERROR(INDEX(Ativos!$B$3:$B$42,MATCH($C334,Ativos!$A$3:$A$42,0)),""))</f>
        <v/>
      </c>
      <c r="E334" s="40" t="str">
        <f aca="false">IF($C334="","",INDEX(Planos!$C$3:$C$27,14))</f>
        <v/>
      </c>
      <c r="F334" s="40" t="str">
        <f aca="false">IF($C334="","",INDEX(Planos!$D$3:$D$27,14))</f>
        <v/>
      </c>
      <c r="G334" s="41" t="n">
        <f aca="false">IF($C334="",0,INDEX(Planos!$F$3:$F$27,14)+(20-1)*INDEX(Planos!$E$3:$E$27,14))</f>
        <v>0</v>
      </c>
      <c r="H334" s="40" t="str">
        <f aca="false">IF($C334="","",INDEX(Planos!$H$3:$H$27,14))</f>
        <v/>
      </c>
      <c r="I334" s="41" t="str">
        <f aca="false">IF($C334="","",IF(INDEX(Planos!$J$3:$AG$27,$A334,$B334)=0,"",INDEX(Planos!$J$3:$AG$27,$A334,$B334)))</f>
        <v/>
      </c>
      <c r="J334" s="26" t="str">
        <f aca="false">IF($C334="","",IF($I334&lt;&gt;"","Realizada",IF($G334&lt;INT(Parâmetros!$C$4),"Atrasada","Agendada")))</f>
        <v/>
      </c>
      <c r="K334" s="42" t="str">
        <f aca="false">IF($C334="","",IF($I334&lt;&gt;"",$I334-$G334,IF($J334="Atrasada",INT(Parâmetros!$C$4)-$G334,"")))</f>
        <v/>
      </c>
      <c r="L334" s="26" t="str">
        <f aca="false">IF($J334&lt;&gt;"Realizada","",IF($K334&lt;=0,"No prazo",IF($K334&lt;=7,"Até 7 dias",IF($K334&lt;=30,"Até 30 dias","Acima de 30"))))</f>
        <v/>
      </c>
      <c r="M334" s="26" t="str">
        <f aca="false">IF($C334="","",COUNTIFS($G$3:$G334,$G334))</f>
        <v/>
      </c>
      <c r="N334" s="26" t="str">
        <f aca="false">IF($C334="","",$G334&amp;"|"&amp;$M334)</f>
        <v/>
      </c>
    </row>
    <row r="335" customFormat="false" ht="18" hidden="false" customHeight="true" outlineLevel="0" collapsed="false">
      <c r="A335" s="26" t="n">
        <v>14</v>
      </c>
      <c r="B335" s="26" t="n">
        <v>21</v>
      </c>
      <c r="C335" s="26" t="str">
        <f aca="false">IF(INDEX(Planos!$B$3:$B$27,14)="","",IF(21&gt;INDEX(Planos!$G$3:$G$27,14),"",INDEX(Planos!$B$3:$B$27,14)))</f>
        <v/>
      </c>
      <c r="D335" s="40" t="str">
        <f aca="false">IF($C335="","",IFERROR(INDEX(Ativos!$B$3:$B$42,MATCH($C335,Ativos!$A$3:$A$42,0)),""))</f>
        <v/>
      </c>
      <c r="E335" s="40" t="str">
        <f aca="false">IF($C335="","",INDEX(Planos!$C$3:$C$27,14))</f>
        <v/>
      </c>
      <c r="F335" s="40" t="str">
        <f aca="false">IF($C335="","",INDEX(Planos!$D$3:$D$27,14))</f>
        <v/>
      </c>
      <c r="G335" s="41" t="n">
        <f aca="false">IF($C335="",0,INDEX(Planos!$F$3:$F$27,14)+(21-1)*INDEX(Planos!$E$3:$E$27,14))</f>
        <v>0</v>
      </c>
      <c r="H335" s="40" t="str">
        <f aca="false">IF($C335="","",INDEX(Planos!$H$3:$H$27,14))</f>
        <v/>
      </c>
      <c r="I335" s="41" t="str">
        <f aca="false">IF($C335="","",IF(INDEX(Planos!$J$3:$AG$27,$A335,$B335)=0,"",INDEX(Planos!$J$3:$AG$27,$A335,$B335)))</f>
        <v/>
      </c>
      <c r="J335" s="26" t="str">
        <f aca="false">IF($C335="","",IF($I335&lt;&gt;"","Realizada",IF($G335&lt;INT(Parâmetros!$C$4),"Atrasada","Agendada")))</f>
        <v/>
      </c>
      <c r="K335" s="42" t="str">
        <f aca="false">IF($C335="","",IF($I335&lt;&gt;"",$I335-$G335,IF($J335="Atrasada",INT(Parâmetros!$C$4)-$G335,"")))</f>
        <v/>
      </c>
      <c r="L335" s="26" t="str">
        <f aca="false">IF($J335&lt;&gt;"Realizada","",IF($K335&lt;=0,"No prazo",IF($K335&lt;=7,"Até 7 dias",IF($K335&lt;=30,"Até 30 dias","Acima de 30"))))</f>
        <v/>
      </c>
      <c r="M335" s="26" t="str">
        <f aca="false">IF($C335="","",COUNTIFS($G$3:$G335,$G335))</f>
        <v/>
      </c>
      <c r="N335" s="26" t="str">
        <f aca="false">IF($C335="","",$G335&amp;"|"&amp;$M335)</f>
        <v/>
      </c>
    </row>
    <row r="336" customFormat="false" ht="18" hidden="false" customHeight="true" outlineLevel="0" collapsed="false">
      <c r="A336" s="26" t="n">
        <v>14</v>
      </c>
      <c r="B336" s="26" t="n">
        <v>22</v>
      </c>
      <c r="C336" s="26" t="str">
        <f aca="false">IF(INDEX(Planos!$B$3:$B$27,14)="","",IF(22&gt;INDEX(Planos!$G$3:$G$27,14),"",INDEX(Planos!$B$3:$B$27,14)))</f>
        <v/>
      </c>
      <c r="D336" s="40" t="str">
        <f aca="false">IF($C336="","",IFERROR(INDEX(Ativos!$B$3:$B$42,MATCH($C336,Ativos!$A$3:$A$42,0)),""))</f>
        <v/>
      </c>
      <c r="E336" s="40" t="str">
        <f aca="false">IF($C336="","",INDEX(Planos!$C$3:$C$27,14))</f>
        <v/>
      </c>
      <c r="F336" s="40" t="str">
        <f aca="false">IF($C336="","",INDEX(Planos!$D$3:$D$27,14))</f>
        <v/>
      </c>
      <c r="G336" s="41" t="n">
        <f aca="false">IF($C336="",0,INDEX(Planos!$F$3:$F$27,14)+(22-1)*INDEX(Planos!$E$3:$E$27,14))</f>
        <v>0</v>
      </c>
      <c r="H336" s="40" t="str">
        <f aca="false">IF($C336="","",INDEX(Planos!$H$3:$H$27,14))</f>
        <v/>
      </c>
      <c r="I336" s="41" t="str">
        <f aca="false">IF($C336="","",IF(INDEX(Planos!$J$3:$AG$27,$A336,$B336)=0,"",INDEX(Planos!$J$3:$AG$27,$A336,$B336)))</f>
        <v/>
      </c>
      <c r="J336" s="26" t="str">
        <f aca="false">IF($C336="","",IF($I336&lt;&gt;"","Realizada",IF($G336&lt;INT(Parâmetros!$C$4),"Atrasada","Agendada")))</f>
        <v/>
      </c>
      <c r="K336" s="42" t="str">
        <f aca="false">IF($C336="","",IF($I336&lt;&gt;"",$I336-$G336,IF($J336="Atrasada",INT(Parâmetros!$C$4)-$G336,"")))</f>
        <v/>
      </c>
      <c r="L336" s="26" t="str">
        <f aca="false">IF($J336&lt;&gt;"Realizada","",IF($K336&lt;=0,"No prazo",IF($K336&lt;=7,"Até 7 dias",IF($K336&lt;=30,"Até 30 dias","Acima de 30"))))</f>
        <v/>
      </c>
      <c r="M336" s="26" t="str">
        <f aca="false">IF($C336="","",COUNTIFS($G$3:$G336,$G336))</f>
        <v/>
      </c>
      <c r="N336" s="26" t="str">
        <f aca="false">IF($C336="","",$G336&amp;"|"&amp;$M336)</f>
        <v/>
      </c>
    </row>
    <row r="337" customFormat="false" ht="18" hidden="false" customHeight="true" outlineLevel="0" collapsed="false">
      <c r="A337" s="26" t="n">
        <v>14</v>
      </c>
      <c r="B337" s="26" t="n">
        <v>23</v>
      </c>
      <c r="C337" s="26" t="str">
        <f aca="false">IF(INDEX(Planos!$B$3:$B$27,14)="","",IF(23&gt;INDEX(Planos!$G$3:$G$27,14),"",INDEX(Planos!$B$3:$B$27,14)))</f>
        <v/>
      </c>
      <c r="D337" s="40" t="str">
        <f aca="false">IF($C337="","",IFERROR(INDEX(Ativos!$B$3:$B$42,MATCH($C337,Ativos!$A$3:$A$42,0)),""))</f>
        <v/>
      </c>
      <c r="E337" s="40" t="str">
        <f aca="false">IF($C337="","",INDEX(Planos!$C$3:$C$27,14))</f>
        <v/>
      </c>
      <c r="F337" s="40" t="str">
        <f aca="false">IF($C337="","",INDEX(Planos!$D$3:$D$27,14))</f>
        <v/>
      </c>
      <c r="G337" s="41" t="n">
        <f aca="false">IF($C337="",0,INDEX(Planos!$F$3:$F$27,14)+(23-1)*INDEX(Planos!$E$3:$E$27,14))</f>
        <v>0</v>
      </c>
      <c r="H337" s="40" t="str">
        <f aca="false">IF($C337="","",INDEX(Planos!$H$3:$H$27,14))</f>
        <v/>
      </c>
      <c r="I337" s="41" t="str">
        <f aca="false">IF($C337="","",IF(INDEX(Planos!$J$3:$AG$27,$A337,$B337)=0,"",INDEX(Planos!$J$3:$AG$27,$A337,$B337)))</f>
        <v/>
      </c>
      <c r="J337" s="26" t="str">
        <f aca="false">IF($C337="","",IF($I337&lt;&gt;"","Realizada",IF($G337&lt;INT(Parâmetros!$C$4),"Atrasada","Agendada")))</f>
        <v/>
      </c>
      <c r="K337" s="42" t="str">
        <f aca="false">IF($C337="","",IF($I337&lt;&gt;"",$I337-$G337,IF($J337="Atrasada",INT(Parâmetros!$C$4)-$G337,"")))</f>
        <v/>
      </c>
      <c r="L337" s="26" t="str">
        <f aca="false">IF($J337&lt;&gt;"Realizada","",IF($K337&lt;=0,"No prazo",IF($K337&lt;=7,"Até 7 dias",IF($K337&lt;=30,"Até 30 dias","Acima de 30"))))</f>
        <v/>
      </c>
      <c r="M337" s="26" t="str">
        <f aca="false">IF($C337="","",COUNTIFS($G$3:$G337,$G337))</f>
        <v/>
      </c>
      <c r="N337" s="26" t="str">
        <f aca="false">IF($C337="","",$G337&amp;"|"&amp;$M337)</f>
        <v/>
      </c>
    </row>
    <row r="338" customFormat="false" ht="18" hidden="false" customHeight="true" outlineLevel="0" collapsed="false">
      <c r="A338" s="26" t="n">
        <v>14</v>
      </c>
      <c r="B338" s="26" t="n">
        <v>24</v>
      </c>
      <c r="C338" s="26" t="str">
        <f aca="false">IF(INDEX(Planos!$B$3:$B$27,14)="","",IF(24&gt;INDEX(Planos!$G$3:$G$27,14),"",INDEX(Planos!$B$3:$B$27,14)))</f>
        <v/>
      </c>
      <c r="D338" s="40" t="str">
        <f aca="false">IF($C338="","",IFERROR(INDEX(Ativos!$B$3:$B$42,MATCH($C338,Ativos!$A$3:$A$42,0)),""))</f>
        <v/>
      </c>
      <c r="E338" s="40" t="str">
        <f aca="false">IF($C338="","",INDEX(Planos!$C$3:$C$27,14))</f>
        <v/>
      </c>
      <c r="F338" s="40" t="str">
        <f aca="false">IF($C338="","",INDEX(Planos!$D$3:$D$27,14))</f>
        <v/>
      </c>
      <c r="G338" s="41" t="n">
        <f aca="false">IF($C338="",0,INDEX(Planos!$F$3:$F$27,14)+(24-1)*INDEX(Planos!$E$3:$E$27,14))</f>
        <v>0</v>
      </c>
      <c r="H338" s="40" t="str">
        <f aca="false">IF($C338="","",INDEX(Planos!$H$3:$H$27,14))</f>
        <v/>
      </c>
      <c r="I338" s="41" t="str">
        <f aca="false">IF($C338="","",IF(INDEX(Planos!$J$3:$AG$27,$A338,$B338)=0,"",INDEX(Planos!$J$3:$AG$27,$A338,$B338)))</f>
        <v/>
      </c>
      <c r="J338" s="26" t="str">
        <f aca="false">IF($C338="","",IF($I338&lt;&gt;"","Realizada",IF($G338&lt;INT(Parâmetros!$C$4),"Atrasada","Agendada")))</f>
        <v/>
      </c>
      <c r="K338" s="42" t="str">
        <f aca="false">IF($C338="","",IF($I338&lt;&gt;"",$I338-$G338,IF($J338="Atrasada",INT(Parâmetros!$C$4)-$G338,"")))</f>
        <v/>
      </c>
      <c r="L338" s="26" t="str">
        <f aca="false">IF($J338&lt;&gt;"Realizada","",IF($K338&lt;=0,"No prazo",IF($K338&lt;=7,"Até 7 dias",IF($K338&lt;=30,"Até 30 dias","Acima de 30"))))</f>
        <v/>
      </c>
      <c r="M338" s="26" t="str">
        <f aca="false">IF($C338="","",COUNTIFS($G$3:$G338,$G338))</f>
        <v/>
      </c>
      <c r="N338" s="26" t="str">
        <f aca="false">IF($C338="","",$G338&amp;"|"&amp;$M338)</f>
        <v/>
      </c>
    </row>
    <row r="339" customFormat="false" ht="18" hidden="false" customHeight="true" outlineLevel="0" collapsed="false">
      <c r="A339" s="26" t="n">
        <v>15</v>
      </c>
      <c r="B339" s="26" t="n">
        <v>1</v>
      </c>
      <c r="C339" s="26" t="str">
        <f aca="false">IF(INDEX(Planos!$B$3:$B$27,15)="","",IF(1&gt;INDEX(Planos!$G$3:$G$27,15),"",INDEX(Planos!$B$3:$B$27,15)))</f>
        <v/>
      </c>
      <c r="D339" s="40" t="str">
        <f aca="false">IF($C339="","",IFERROR(INDEX(Ativos!$B$3:$B$42,MATCH($C339,Ativos!$A$3:$A$42,0)),""))</f>
        <v/>
      </c>
      <c r="E339" s="40" t="str">
        <f aca="false">IF($C339="","",INDEX(Planos!$C$3:$C$27,15))</f>
        <v/>
      </c>
      <c r="F339" s="40" t="str">
        <f aca="false">IF($C339="","",INDEX(Planos!$D$3:$D$27,15))</f>
        <v/>
      </c>
      <c r="G339" s="41" t="n">
        <f aca="false">IF($C339="",0,INDEX(Planos!$F$3:$F$27,15)+(1-1)*INDEX(Planos!$E$3:$E$27,15))</f>
        <v>0</v>
      </c>
      <c r="H339" s="40" t="str">
        <f aca="false">IF($C339="","",INDEX(Planos!$H$3:$H$27,15))</f>
        <v/>
      </c>
      <c r="I339" s="41" t="str">
        <f aca="false">IF($C339="","",IF(INDEX(Planos!$J$3:$AG$27,$A339,$B339)=0,"",INDEX(Planos!$J$3:$AG$27,$A339,$B339)))</f>
        <v/>
      </c>
      <c r="J339" s="26" t="str">
        <f aca="false">IF($C339="","",IF($I339&lt;&gt;"","Realizada",IF($G339&lt;INT(Parâmetros!$C$4),"Atrasada","Agendada")))</f>
        <v/>
      </c>
      <c r="K339" s="42" t="str">
        <f aca="false">IF($C339="","",IF($I339&lt;&gt;"",$I339-$G339,IF($J339="Atrasada",INT(Parâmetros!$C$4)-$G339,"")))</f>
        <v/>
      </c>
      <c r="L339" s="26" t="str">
        <f aca="false">IF($J339&lt;&gt;"Realizada","",IF($K339&lt;=0,"No prazo",IF($K339&lt;=7,"Até 7 dias",IF($K339&lt;=30,"Até 30 dias","Acima de 30"))))</f>
        <v/>
      </c>
      <c r="M339" s="26" t="str">
        <f aca="false">IF($C339="","",COUNTIFS($G$3:$G339,$G339))</f>
        <v/>
      </c>
      <c r="N339" s="26" t="str">
        <f aca="false">IF($C339="","",$G339&amp;"|"&amp;$M339)</f>
        <v/>
      </c>
    </row>
    <row r="340" customFormat="false" ht="18" hidden="false" customHeight="true" outlineLevel="0" collapsed="false">
      <c r="A340" s="26" t="n">
        <v>15</v>
      </c>
      <c r="B340" s="26" t="n">
        <v>2</v>
      </c>
      <c r="C340" s="26" t="str">
        <f aca="false">IF(INDEX(Planos!$B$3:$B$27,15)="","",IF(2&gt;INDEX(Planos!$G$3:$G$27,15),"",INDEX(Planos!$B$3:$B$27,15)))</f>
        <v/>
      </c>
      <c r="D340" s="40" t="str">
        <f aca="false">IF($C340="","",IFERROR(INDEX(Ativos!$B$3:$B$42,MATCH($C340,Ativos!$A$3:$A$42,0)),""))</f>
        <v/>
      </c>
      <c r="E340" s="40" t="str">
        <f aca="false">IF($C340="","",INDEX(Planos!$C$3:$C$27,15))</f>
        <v/>
      </c>
      <c r="F340" s="40" t="str">
        <f aca="false">IF($C340="","",INDEX(Planos!$D$3:$D$27,15))</f>
        <v/>
      </c>
      <c r="G340" s="41" t="n">
        <f aca="false">IF($C340="",0,INDEX(Planos!$F$3:$F$27,15)+(2-1)*INDEX(Planos!$E$3:$E$27,15))</f>
        <v>0</v>
      </c>
      <c r="H340" s="40" t="str">
        <f aca="false">IF($C340="","",INDEX(Planos!$H$3:$H$27,15))</f>
        <v/>
      </c>
      <c r="I340" s="41" t="str">
        <f aca="false">IF($C340="","",IF(INDEX(Planos!$J$3:$AG$27,$A340,$B340)=0,"",INDEX(Planos!$J$3:$AG$27,$A340,$B340)))</f>
        <v/>
      </c>
      <c r="J340" s="26" t="str">
        <f aca="false">IF($C340="","",IF($I340&lt;&gt;"","Realizada",IF($G340&lt;INT(Parâmetros!$C$4),"Atrasada","Agendada")))</f>
        <v/>
      </c>
      <c r="K340" s="42" t="str">
        <f aca="false">IF($C340="","",IF($I340&lt;&gt;"",$I340-$G340,IF($J340="Atrasada",INT(Parâmetros!$C$4)-$G340,"")))</f>
        <v/>
      </c>
      <c r="L340" s="26" t="str">
        <f aca="false">IF($J340&lt;&gt;"Realizada","",IF($K340&lt;=0,"No prazo",IF($K340&lt;=7,"Até 7 dias",IF($K340&lt;=30,"Até 30 dias","Acima de 30"))))</f>
        <v/>
      </c>
      <c r="M340" s="26" t="str">
        <f aca="false">IF($C340="","",COUNTIFS($G$3:$G340,$G340))</f>
        <v/>
      </c>
      <c r="N340" s="26" t="str">
        <f aca="false">IF($C340="","",$G340&amp;"|"&amp;$M340)</f>
        <v/>
      </c>
    </row>
    <row r="341" customFormat="false" ht="18" hidden="false" customHeight="true" outlineLevel="0" collapsed="false">
      <c r="A341" s="26" t="n">
        <v>15</v>
      </c>
      <c r="B341" s="26" t="n">
        <v>3</v>
      </c>
      <c r="C341" s="26" t="str">
        <f aca="false">IF(INDEX(Planos!$B$3:$B$27,15)="","",IF(3&gt;INDEX(Planos!$G$3:$G$27,15),"",INDEX(Planos!$B$3:$B$27,15)))</f>
        <v/>
      </c>
      <c r="D341" s="40" t="str">
        <f aca="false">IF($C341="","",IFERROR(INDEX(Ativos!$B$3:$B$42,MATCH($C341,Ativos!$A$3:$A$42,0)),""))</f>
        <v/>
      </c>
      <c r="E341" s="40" t="str">
        <f aca="false">IF($C341="","",INDEX(Planos!$C$3:$C$27,15))</f>
        <v/>
      </c>
      <c r="F341" s="40" t="str">
        <f aca="false">IF($C341="","",INDEX(Planos!$D$3:$D$27,15))</f>
        <v/>
      </c>
      <c r="G341" s="41" t="n">
        <f aca="false">IF($C341="",0,INDEX(Planos!$F$3:$F$27,15)+(3-1)*INDEX(Planos!$E$3:$E$27,15))</f>
        <v>0</v>
      </c>
      <c r="H341" s="40" t="str">
        <f aca="false">IF($C341="","",INDEX(Planos!$H$3:$H$27,15))</f>
        <v/>
      </c>
      <c r="I341" s="41" t="str">
        <f aca="false">IF($C341="","",IF(INDEX(Planos!$J$3:$AG$27,$A341,$B341)=0,"",INDEX(Planos!$J$3:$AG$27,$A341,$B341)))</f>
        <v/>
      </c>
      <c r="J341" s="26" t="str">
        <f aca="false">IF($C341="","",IF($I341&lt;&gt;"","Realizada",IF($G341&lt;INT(Parâmetros!$C$4),"Atrasada","Agendada")))</f>
        <v/>
      </c>
      <c r="K341" s="42" t="str">
        <f aca="false">IF($C341="","",IF($I341&lt;&gt;"",$I341-$G341,IF($J341="Atrasada",INT(Parâmetros!$C$4)-$G341,"")))</f>
        <v/>
      </c>
      <c r="L341" s="26" t="str">
        <f aca="false">IF($J341&lt;&gt;"Realizada","",IF($K341&lt;=0,"No prazo",IF($K341&lt;=7,"Até 7 dias",IF($K341&lt;=30,"Até 30 dias","Acima de 30"))))</f>
        <v/>
      </c>
      <c r="M341" s="26" t="str">
        <f aca="false">IF($C341="","",COUNTIFS($G$3:$G341,$G341))</f>
        <v/>
      </c>
      <c r="N341" s="26" t="str">
        <f aca="false">IF($C341="","",$G341&amp;"|"&amp;$M341)</f>
        <v/>
      </c>
    </row>
    <row r="342" customFormat="false" ht="18" hidden="false" customHeight="true" outlineLevel="0" collapsed="false">
      <c r="A342" s="26" t="n">
        <v>15</v>
      </c>
      <c r="B342" s="26" t="n">
        <v>4</v>
      </c>
      <c r="C342" s="26" t="str">
        <f aca="false">IF(INDEX(Planos!$B$3:$B$27,15)="","",IF(4&gt;INDEX(Planos!$G$3:$G$27,15),"",INDEX(Planos!$B$3:$B$27,15)))</f>
        <v/>
      </c>
      <c r="D342" s="40" t="str">
        <f aca="false">IF($C342="","",IFERROR(INDEX(Ativos!$B$3:$B$42,MATCH($C342,Ativos!$A$3:$A$42,0)),""))</f>
        <v/>
      </c>
      <c r="E342" s="40" t="str">
        <f aca="false">IF($C342="","",INDEX(Planos!$C$3:$C$27,15))</f>
        <v/>
      </c>
      <c r="F342" s="40" t="str">
        <f aca="false">IF($C342="","",INDEX(Planos!$D$3:$D$27,15))</f>
        <v/>
      </c>
      <c r="G342" s="41" t="n">
        <f aca="false">IF($C342="",0,INDEX(Planos!$F$3:$F$27,15)+(4-1)*INDEX(Planos!$E$3:$E$27,15))</f>
        <v>0</v>
      </c>
      <c r="H342" s="40" t="str">
        <f aca="false">IF($C342="","",INDEX(Planos!$H$3:$H$27,15))</f>
        <v/>
      </c>
      <c r="I342" s="41" t="str">
        <f aca="false">IF($C342="","",IF(INDEX(Planos!$J$3:$AG$27,$A342,$B342)=0,"",INDEX(Planos!$J$3:$AG$27,$A342,$B342)))</f>
        <v/>
      </c>
      <c r="J342" s="26" t="str">
        <f aca="false">IF($C342="","",IF($I342&lt;&gt;"","Realizada",IF($G342&lt;INT(Parâmetros!$C$4),"Atrasada","Agendada")))</f>
        <v/>
      </c>
      <c r="K342" s="42" t="str">
        <f aca="false">IF($C342="","",IF($I342&lt;&gt;"",$I342-$G342,IF($J342="Atrasada",INT(Parâmetros!$C$4)-$G342,"")))</f>
        <v/>
      </c>
      <c r="L342" s="26" t="str">
        <f aca="false">IF($J342&lt;&gt;"Realizada","",IF($K342&lt;=0,"No prazo",IF($K342&lt;=7,"Até 7 dias",IF($K342&lt;=30,"Até 30 dias","Acima de 30"))))</f>
        <v/>
      </c>
      <c r="M342" s="26" t="str">
        <f aca="false">IF($C342="","",COUNTIFS($G$3:$G342,$G342))</f>
        <v/>
      </c>
      <c r="N342" s="26" t="str">
        <f aca="false">IF($C342="","",$G342&amp;"|"&amp;$M342)</f>
        <v/>
      </c>
    </row>
    <row r="343" customFormat="false" ht="18" hidden="false" customHeight="true" outlineLevel="0" collapsed="false">
      <c r="A343" s="26" t="n">
        <v>15</v>
      </c>
      <c r="B343" s="26" t="n">
        <v>5</v>
      </c>
      <c r="C343" s="26" t="str">
        <f aca="false">IF(INDEX(Planos!$B$3:$B$27,15)="","",IF(5&gt;INDEX(Planos!$G$3:$G$27,15),"",INDEX(Planos!$B$3:$B$27,15)))</f>
        <v/>
      </c>
      <c r="D343" s="40" t="str">
        <f aca="false">IF($C343="","",IFERROR(INDEX(Ativos!$B$3:$B$42,MATCH($C343,Ativos!$A$3:$A$42,0)),""))</f>
        <v/>
      </c>
      <c r="E343" s="40" t="str">
        <f aca="false">IF($C343="","",INDEX(Planos!$C$3:$C$27,15))</f>
        <v/>
      </c>
      <c r="F343" s="40" t="str">
        <f aca="false">IF($C343="","",INDEX(Planos!$D$3:$D$27,15))</f>
        <v/>
      </c>
      <c r="G343" s="41" t="n">
        <f aca="false">IF($C343="",0,INDEX(Planos!$F$3:$F$27,15)+(5-1)*INDEX(Planos!$E$3:$E$27,15))</f>
        <v>0</v>
      </c>
      <c r="H343" s="40" t="str">
        <f aca="false">IF($C343="","",INDEX(Planos!$H$3:$H$27,15))</f>
        <v/>
      </c>
      <c r="I343" s="41" t="str">
        <f aca="false">IF($C343="","",IF(INDEX(Planos!$J$3:$AG$27,$A343,$B343)=0,"",INDEX(Planos!$J$3:$AG$27,$A343,$B343)))</f>
        <v/>
      </c>
      <c r="J343" s="26" t="str">
        <f aca="false">IF($C343="","",IF($I343&lt;&gt;"","Realizada",IF($G343&lt;INT(Parâmetros!$C$4),"Atrasada","Agendada")))</f>
        <v/>
      </c>
      <c r="K343" s="42" t="str">
        <f aca="false">IF($C343="","",IF($I343&lt;&gt;"",$I343-$G343,IF($J343="Atrasada",INT(Parâmetros!$C$4)-$G343,"")))</f>
        <v/>
      </c>
      <c r="L343" s="26" t="str">
        <f aca="false">IF($J343&lt;&gt;"Realizada","",IF($K343&lt;=0,"No prazo",IF($K343&lt;=7,"Até 7 dias",IF($K343&lt;=30,"Até 30 dias","Acima de 30"))))</f>
        <v/>
      </c>
      <c r="M343" s="26" t="str">
        <f aca="false">IF($C343="","",COUNTIFS($G$3:$G343,$G343))</f>
        <v/>
      </c>
      <c r="N343" s="26" t="str">
        <f aca="false">IF($C343="","",$G343&amp;"|"&amp;$M343)</f>
        <v/>
      </c>
    </row>
    <row r="344" customFormat="false" ht="18" hidden="false" customHeight="true" outlineLevel="0" collapsed="false">
      <c r="A344" s="26" t="n">
        <v>15</v>
      </c>
      <c r="B344" s="26" t="n">
        <v>6</v>
      </c>
      <c r="C344" s="26" t="str">
        <f aca="false">IF(INDEX(Planos!$B$3:$B$27,15)="","",IF(6&gt;INDEX(Planos!$G$3:$G$27,15),"",INDEX(Planos!$B$3:$B$27,15)))</f>
        <v/>
      </c>
      <c r="D344" s="40" t="str">
        <f aca="false">IF($C344="","",IFERROR(INDEX(Ativos!$B$3:$B$42,MATCH($C344,Ativos!$A$3:$A$42,0)),""))</f>
        <v/>
      </c>
      <c r="E344" s="40" t="str">
        <f aca="false">IF($C344="","",INDEX(Planos!$C$3:$C$27,15))</f>
        <v/>
      </c>
      <c r="F344" s="40" t="str">
        <f aca="false">IF($C344="","",INDEX(Planos!$D$3:$D$27,15))</f>
        <v/>
      </c>
      <c r="G344" s="41" t="n">
        <f aca="false">IF($C344="",0,INDEX(Planos!$F$3:$F$27,15)+(6-1)*INDEX(Planos!$E$3:$E$27,15))</f>
        <v>0</v>
      </c>
      <c r="H344" s="40" t="str">
        <f aca="false">IF($C344="","",INDEX(Planos!$H$3:$H$27,15))</f>
        <v/>
      </c>
      <c r="I344" s="41" t="str">
        <f aca="false">IF($C344="","",IF(INDEX(Planos!$J$3:$AG$27,$A344,$B344)=0,"",INDEX(Planos!$J$3:$AG$27,$A344,$B344)))</f>
        <v/>
      </c>
      <c r="J344" s="26" t="str">
        <f aca="false">IF($C344="","",IF($I344&lt;&gt;"","Realizada",IF($G344&lt;INT(Parâmetros!$C$4),"Atrasada","Agendada")))</f>
        <v/>
      </c>
      <c r="K344" s="42" t="str">
        <f aca="false">IF($C344="","",IF($I344&lt;&gt;"",$I344-$G344,IF($J344="Atrasada",INT(Parâmetros!$C$4)-$G344,"")))</f>
        <v/>
      </c>
      <c r="L344" s="26" t="str">
        <f aca="false">IF($J344&lt;&gt;"Realizada","",IF($K344&lt;=0,"No prazo",IF($K344&lt;=7,"Até 7 dias",IF($K344&lt;=30,"Até 30 dias","Acima de 30"))))</f>
        <v/>
      </c>
      <c r="M344" s="26" t="str">
        <f aca="false">IF($C344="","",COUNTIFS($G$3:$G344,$G344))</f>
        <v/>
      </c>
      <c r="N344" s="26" t="str">
        <f aca="false">IF($C344="","",$G344&amp;"|"&amp;$M344)</f>
        <v/>
      </c>
    </row>
    <row r="345" customFormat="false" ht="18" hidden="false" customHeight="true" outlineLevel="0" collapsed="false">
      <c r="A345" s="26" t="n">
        <v>15</v>
      </c>
      <c r="B345" s="26" t="n">
        <v>7</v>
      </c>
      <c r="C345" s="26" t="str">
        <f aca="false">IF(INDEX(Planos!$B$3:$B$27,15)="","",IF(7&gt;INDEX(Planos!$G$3:$G$27,15),"",INDEX(Planos!$B$3:$B$27,15)))</f>
        <v/>
      </c>
      <c r="D345" s="40" t="str">
        <f aca="false">IF($C345="","",IFERROR(INDEX(Ativos!$B$3:$B$42,MATCH($C345,Ativos!$A$3:$A$42,0)),""))</f>
        <v/>
      </c>
      <c r="E345" s="40" t="str">
        <f aca="false">IF($C345="","",INDEX(Planos!$C$3:$C$27,15))</f>
        <v/>
      </c>
      <c r="F345" s="40" t="str">
        <f aca="false">IF($C345="","",INDEX(Planos!$D$3:$D$27,15))</f>
        <v/>
      </c>
      <c r="G345" s="41" t="n">
        <f aca="false">IF($C345="",0,INDEX(Planos!$F$3:$F$27,15)+(7-1)*INDEX(Planos!$E$3:$E$27,15))</f>
        <v>0</v>
      </c>
      <c r="H345" s="40" t="str">
        <f aca="false">IF($C345="","",INDEX(Planos!$H$3:$H$27,15))</f>
        <v/>
      </c>
      <c r="I345" s="41" t="str">
        <f aca="false">IF($C345="","",IF(INDEX(Planos!$J$3:$AG$27,$A345,$B345)=0,"",INDEX(Planos!$J$3:$AG$27,$A345,$B345)))</f>
        <v/>
      </c>
      <c r="J345" s="26" t="str">
        <f aca="false">IF($C345="","",IF($I345&lt;&gt;"","Realizada",IF($G345&lt;INT(Parâmetros!$C$4),"Atrasada","Agendada")))</f>
        <v/>
      </c>
      <c r="K345" s="42" t="str">
        <f aca="false">IF($C345="","",IF($I345&lt;&gt;"",$I345-$G345,IF($J345="Atrasada",INT(Parâmetros!$C$4)-$G345,"")))</f>
        <v/>
      </c>
      <c r="L345" s="26" t="str">
        <f aca="false">IF($J345&lt;&gt;"Realizada","",IF($K345&lt;=0,"No prazo",IF($K345&lt;=7,"Até 7 dias",IF($K345&lt;=30,"Até 30 dias","Acima de 30"))))</f>
        <v/>
      </c>
      <c r="M345" s="26" t="str">
        <f aca="false">IF($C345="","",COUNTIFS($G$3:$G345,$G345))</f>
        <v/>
      </c>
      <c r="N345" s="26" t="str">
        <f aca="false">IF($C345="","",$G345&amp;"|"&amp;$M345)</f>
        <v/>
      </c>
    </row>
    <row r="346" customFormat="false" ht="18" hidden="false" customHeight="true" outlineLevel="0" collapsed="false">
      <c r="A346" s="26" t="n">
        <v>15</v>
      </c>
      <c r="B346" s="26" t="n">
        <v>8</v>
      </c>
      <c r="C346" s="26" t="str">
        <f aca="false">IF(INDEX(Planos!$B$3:$B$27,15)="","",IF(8&gt;INDEX(Planos!$G$3:$G$27,15),"",INDEX(Planos!$B$3:$B$27,15)))</f>
        <v/>
      </c>
      <c r="D346" s="40" t="str">
        <f aca="false">IF($C346="","",IFERROR(INDEX(Ativos!$B$3:$B$42,MATCH($C346,Ativos!$A$3:$A$42,0)),""))</f>
        <v/>
      </c>
      <c r="E346" s="40" t="str">
        <f aca="false">IF($C346="","",INDEX(Planos!$C$3:$C$27,15))</f>
        <v/>
      </c>
      <c r="F346" s="40" t="str">
        <f aca="false">IF($C346="","",INDEX(Planos!$D$3:$D$27,15))</f>
        <v/>
      </c>
      <c r="G346" s="41" t="n">
        <f aca="false">IF($C346="",0,INDEX(Planos!$F$3:$F$27,15)+(8-1)*INDEX(Planos!$E$3:$E$27,15))</f>
        <v>0</v>
      </c>
      <c r="H346" s="40" t="str">
        <f aca="false">IF($C346="","",INDEX(Planos!$H$3:$H$27,15))</f>
        <v/>
      </c>
      <c r="I346" s="41" t="str">
        <f aca="false">IF($C346="","",IF(INDEX(Planos!$J$3:$AG$27,$A346,$B346)=0,"",INDEX(Planos!$J$3:$AG$27,$A346,$B346)))</f>
        <v/>
      </c>
      <c r="J346" s="26" t="str">
        <f aca="false">IF($C346="","",IF($I346&lt;&gt;"","Realizada",IF($G346&lt;INT(Parâmetros!$C$4),"Atrasada","Agendada")))</f>
        <v/>
      </c>
      <c r="K346" s="42" t="str">
        <f aca="false">IF($C346="","",IF($I346&lt;&gt;"",$I346-$G346,IF($J346="Atrasada",INT(Parâmetros!$C$4)-$G346,"")))</f>
        <v/>
      </c>
      <c r="L346" s="26" t="str">
        <f aca="false">IF($J346&lt;&gt;"Realizada","",IF($K346&lt;=0,"No prazo",IF($K346&lt;=7,"Até 7 dias",IF($K346&lt;=30,"Até 30 dias","Acima de 30"))))</f>
        <v/>
      </c>
      <c r="M346" s="26" t="str">
        <f aca="false">IF($C346="","",COUNTIFS($G$3:$G346,$G346))</f>
        <v/>
      </c>
      <c r="N346" s="26" t="str">
        <f aca="false">IF($C346="","",$G346&amp;"|"&amp;$M346)</f>
        <v/>
      </c>
    </row>
    <row r="347" customFormat="false" ht="18" hidden="false" customHeight="true" outlineLevel="0" collapsed="false">
      <c r="A347" s="26" t="n">
        <v>15</v>
      </c>
      <c r="B347" s="26" t="n">
        <v>9</v>
      </c>
      <c r="C347" s="26" t="str">
        <f aca="false">IF(INDEX(Planos!$B$3:$B$27,15)="","",IF(9&gt;INDEX(Planos!$G$3:$G$27,15),"",INDEX(Planos!$B$3:$B$27,15)))</f>
        <v/>
      </c>
      <c r="D347" s="40" t="str">
        <f aca="false">IF($C347="","",IFERROR(INDEX(Ativos!$B$3:$B$42,MATCH($C347,Ativos!$A$3:$A$42,0)),""))</f>
        <v/>
      </c>
      <c r="E347" s="40" t="str">
        <f aca="false">IF($C347="","",INDEX(Planos!$C$3:$C$27,15))</f>
        <v/>
      </c>
      <c r="F347" s="40" t="str">
        <f aca="false">IF($C347="","",INDEX(Planos!$D$3:$D$27,15))</f>
        <v/>
      </c>
      <c r="G347" s="41" t="n">
        <f aca="false">IF($C347="",0,INDEX(Planos!$F$3:$F$27,15)+(9-1)*INDEX(Planos!$E$3:$E$27,15))</f>
        <v>0</v>
      </c>
      <c r="H347" s="40" t="str">
        <f aca="false">IF($C347="","",INDEX(Planos!$H$3:$H$27,15))</f>
        <v/>
      </c>
      <c r="I347" s="41" t="str">
        <f aca="false">IF($C347="","",IF(INDEX(Planos!$J$3:$AG$27,$A347,$B347)=0,"",INDEX(Planos!$J$3:$AG$27,$A347,$B347)))</f>
        <v/>
      </c>
      <c r="J347" s="26" t="str">
        <f aca="false">IF($C347="","",IF($I347&lt;&gt;"","Realizada",IF($G347&lt;INT(Parâmetros!$C$4),"Atrasada","Agendada")))</f>
        <v/>
      </c>
      <c r="K347" s="42" t="str">
        <f aca="false">IF($C347="","",IF($I347&lt;&gt;"",$I347-$G347,IF($J347="Atrasada",INT(Parâmetros!$C$4)-$G347,"")))</f>
        <v/>
      </c>
      <c r="L347" s="26" t="str">
        <f aca="false">IF($J347&lt;&gt;"Realizada","",IF($K347&lt;=0,"No prazo",IF($K347&lt;=7,"Até 7 dias",IF($K347&lt;=30,"Até 30 dias","Acima de 30"))))</f>
        <v/>
      </c>
      <c r="M347" s="26" t="str">
        <f aca="false">IF($C347="","",COUNTIFS($G$3:$G347,$G347))</f>
        <v/>
      </c>
      <c r="N347" s="26" t="str">
        <f aca="false">IF($C347="","",$G347&amp;"|"&amp;$M347)</f>
        <v/>
      </c>
    </row>
    <row r="348" customFormat="false" ht="18" hidden="false" customHeight="true" outlineLevel="0" collapsed="false">
      <c r="A348" s="26" t="n">
        <v>15</v>
      </c>
      <c r="B348" s="26" t="n">
        <v>10</v>
      </c>
      <c r="C348" s="26" t="str">
        <f aca="false">IF(INDEX(Planos!$B$3:$B$27,15)="","",IF(10&gt;INDEX(Planos!$G$3:$G$27,15),"",INDEX(Planos!$B$3:$B$27,15)))</f>
        <v/>
      </c>
      <c r="D348" s="40" t="str">
        <f aca="false">IF($C348="","",IFERROR(INDEX(Ativos!$B$3:$B$42,MATCH($C348,Ativos!$A$3:$A$42,0)),""))</f>
        <v/>
      </c>
      <c r="E348" s="40" t="str">
        <f aca="false">IF($C348="","",INDEX(Planos!$C$3:$C$27,15))</f>
        <v/>
      </c>
      <c r="F348" s="40" t="str">
        <f aca="false">IF($C348="","",INDEX(Planos!$D$3:$D$27,15))</f>
        <v/>
      </c>
      <c r="G348" s="41" t="n">
        <f aca="false">IF($C348="",0,INDEX(Planos!$F$3:$F$27,15)+(10-1)*INDEX(Planos!$E$3:$E$27,15))</f>
        <v>0</v>
      </c>
      <c r="H348" s="40" t="str">
        <f aca="false">IF($C348="","",INDEX(Planos!$H$3:$H$27,15))</f>
        <v/>
      </c>
      <c r="I348" s="41" t="str">
        <f aca="false">IF($C348="","",IF(INDEX(Planos!$J$3:$AG$27,$A348,$B348)=0,"",INDEX(Planos!$J$3:$AG$27,$A348,$B348)))</f>
        <v/>
      </c>
      <c r="J348" s="26" t="str">
        <f aca="false">IF($C348="","",IF($I348&lt;&gt;"","Realizada",IF($G348&lt;INT(Parâmetros!$C$4),"Atrasada","Agendada")))</f>
        <v/>
      </c>
      <c r="K348" s="42" t="str">
        <f aca="false">IF($C348="","",IF($I348&lt;&gt;"",$I348-$G348,IF($J348="Atrasada",INT(Parâmetros!$C$4)-$G348,"")))</f>
        <v/>
      </c>
      <c r="L348" s="26" t="str">
        <f aca="false">IF($J348&lt;&gt;"Realizada","",IF($K348&lt;=0,"No prazo",IF($K348&lt;=7,"Até 7 dias",IF($K348&lt;=30,"Até 30 dias","Acima de 30"))))</f>
        <v/>
      </c>
      <c r="M348" s="26" t="str">
        <f aca="false">IF($C348="","",COUNTIFS($G$3:$G348,$G348))</f>
        <v/>
      </c>
      <c r="N348" s="26" t="str">
        <f aca="false">IF($C348="","",$G348&amp;"|"&amp;$M348)</f>
        <v/>
      </c>
    </row>
    <row r="349" customFormat="false" ht="18" hidden="false" customHeight="true" outlineLevel="0" collapsed="false">
      <c r="A349" s="26" t="n">
        <v>15</v>
      </c>
      <c r="B349" s="26" t="n">
        <v>11</v>
      </c>
      <c r="C349" s="26" t="str">
        <f aca="false">IF(INDEX(Planos!$B$3:$B$27,15)="","",IF(11&gt;INDEX(Planos!$G$3:$G$27,15),"",INDEX(Planos!$B$3:$B$27,15)))</f>
        <v/>
      </c>
      <c r="D349" s="40" t="str">
        <f aca="false">IF($C349="","",IFERROR(INDEX(Ativos!$B$3:$B$42,MATCH($C349,Ativos!$A$3:$A$42,0)),""))</f>
        <v/>
      </c>
      <c r="E349" s="40" t="str">
        <f aca="false">IF($C349="","",INDEX(Planos!$C$3:$C$27,15))</f>
        <v/>
      </c>
      <c r="F349" s="40" t="str">
        <f aca="false">IF($C349="","",INDEX(Planos!$D$3:$D$27,15))</f>
        <v/>
      </c>
      <c r="G349" s="41" t="n">
        <f aca="false">IF($C349="",0,INDEX(Planos!$F$3:$F$27,15)+(11-1)*INDEX(Planos!$E$3:$E$27,15))</f>
        <v>0</v>
      </c>
      <c r="H349" s="40" t="str">
        <f aca="false">IF($C349="","",INDEX(Planos!$H$3:$H$27,15))</f>
        <v/>
      </c>
      <c r="I349" s="41" t="str">
        <f aca="false">IF($C349="","",IF(INDEX(Planos!$J$3:$AG$27,$A349,$B349)=0,"",INDEX(Planos!$J$3:$AG$27,$A349,$B349)))</f>
        <v/>
      </c>
      <c r="J349" s="26" t="str">
        <f aca="false">IF($C349="","",IF($I349&lt;&gt;"","Realizada",IF($G349&lt;INT(Parâmetros!$C$4),"Atrasada","Agendada")))</f>
        <v/>
      </c>
      <c r="K349" s="42" t="str">
        <f aca="false">IF($C349="","",IF($I349&lt;&gt;"",$I349-$G349,IF($J349="Atrasada",INT(Parâmetros!$C$4)-$G349,"")))</f>
        <v/>
      </c>
      <c r="L349" s="26" t="str">
        <f aca="false">IF($J349&lt;&gt;"Realizada","",IF($K349&lt;=0,"No prazo",IF($K349&lt;=7,"Até 7 dias",IF($K349&lt;=30,"Até 30 dias","Acima de 30"))))</f>
        <v/>
      </c>
      <c r="M349" s="26" t="str">
        <f aca="false">IF($C349="","",COUNTIFS($G$3:$G349,$G349))</f>
        <v/>
      </c>
      <c r="N349" s="26" t="str">
        <f aca="false">IF($C349="","",$G349&amp;"|"&amp;$M349)</f>
        <v/>
      </c>
    </row>
    <row r="350" customFormat="false" ht="18" hidden="false" customHeight="true" outlineLevel="0" collapsed="false">
      <c r="A350" s="26" t="n">
        <v>15</v>
      </c>
      <c r="B350" s="26" t="n">
        <v>12</v>
      </c>
      <c r="C350" s="26" t="str">
        <f aca="false">IF(INDEX(Planos!$B$3:$B$27,15)="","",IF(12&gt;INDEX(Planos!$G$3:$G$27,15),"",INDEX(Planos!$B$3:$B$27,15)))</f>
        <v/>
      </c>
      <c r="D350" s="40" t="str">
        <f aca="false">IF($C350="","",IFERROR(INDEX(Ativos!$B$3:$B$42,MATCH($C350,Ativos!$A$3:$A$42,0)),""))</f>
        <v/>
      </c>
      <c r="E350" s="40" t="str">
        <f aca="false">IF($C350="","",INDEX(Planos!$C$3:$C$27,15))</f>
        <v/>
      </c>
      <c r="F350" s="40" t="str">
        <f aca="false">IF($C350="","",INDEX(Planos!$D$3:$D$27,15))</f>
        <v/>
      </c>
      <c r="G350" s="41" t="n">
        <f aca="false">IF($C350="",0,INDEX(Planos!$F$3:$F$27,15)+(12-1)*INDEX(Planos!$E$3:$E$27,15))</f>
        <v>0</v>
      </c>
      <c r="H350" s="40" t="str">
        <f aca="false">IF($C350="","",INDEX(Planos!$H$3:$H$27,15))</f>
        <v/>
      </c>
      <c r="I350" s="41" t="str">
        <f aca="false">IF($C350="","",IF(INDEX(Planos!$J$3:$AG$27,$A350,$B350)=0,"",INDEX(Planos!$J$3:$AG$27,$A350,$B350)))</f>
        <v/>
      </c>
      <c r="J350" s="26" t="str">
        <f aca="false">IF($C350="","",IF($I350&lt;&gt;"","Realizada",IF($G350&lt;INT(Parâmetros!$C$4),"Atrasada","Agendada")))</f>
        <v/>
      </c>
      <c r="K350" s="42" t="str">
        <f aca="false">IF($C350="","",IF($I350&lt;&gt;"",$I350-$G350,IF($J350="Atrasada",INT(Parâmetros!$C$4)-$G350,"")))</f>
        <v/>
      </c>
      <c r="L350" s="26" t="str">
        <f aca="false">IF($J350&lt;&gt;"Realizada","",IF($K350&lt;=0,"No prazo",IF($K350&lt;=7,"Até 7 dias",IF($K350&lt;=30,"Até 30 dias","Acima de 30"))))</f>
        <v/>
      </c>
      <c r="M350" s="26" t="str">
        <f aca="false">IF($C350="","",COUNTIFS($G$3:$G350,$G350))</f>
        <v/>
      </c>
      <c r="N350" s="26" t="str">
        <f aca="false">IF($C350="","",$G350&amp;"|"&amp;$M350)</f>
        <v/>
      </c>
    </row>
    <row r="351" customFormat="false" ht="18" hidden="false" customHeight="true" outlineLevel="0" collapsed="false">
      <c r="A351" s="26" t="n">
        <v>15</v>
      </c>
      <c r="B351" s="26" t="n">
        <v>13</v>
      </c>
      <c r="C351" s="26" t="str">
        <f aca="false">IF(INDEX(Planos!$B$3:$B$27,15)="","",IF(13&gt;INDEX(Planos!$G$3:$G$27,15),"",INDEX(Planos!$B$3:$B$27,15)))</f>
        <v/>
      </c>
      <c r="D351" s="40" t="str">
        <f aca="false">IF($C351="","",IFERROR(INDEX(Ativos!$B$3:$B$42,MATCH($C351,Ativos!$A$3:$A$42,0)),""))</f>
        <v/>
      </c>
      <c r="E351" s="40" t="str">
        <f aca="false">IF($C351="","",INDEX(Planos!$C$3:$C$27,15))</f>
        <v/>
      </c>
      <c r="F351" s="40" t="str">
        <f aca="false">IF($C351="","",INDEX(Planos!$D$3:$D$27,15))</f>
        <v/>
      </c>
      <c r="G351" s="41" t="n">
        <f aca="false">IF($C351="",0,INDEX(Planos!$F$3:$F$27,15)+(13-1)*INDEX(Planos!$E$3:$E$27,15))</f>
        <v>0</v>
      </c>
      <c r="H351" s="40" t="str">
        <f aca="false">IF($C351="","",INDEX(Planos!$H$3:$H$27,15))</f>
        <v/>
      </c>
      <c r="I351" s="41" t="str">
        <f aca="false">IF($C351="","",IF(INDEX(Planos!$J$3:$AG$27,$A351,$B351)=0,"",INDEX(Planos!$J$3:$AG$27,$A351,$B351)))</f>
        <v/>
      </c>
      <c r="J351" s="26" t="str">
        <f aca="false">IF($C351="","",IF($I351&lt;&gt;"","Realizada",IF($G351&lt;INT(Parâmetros!$C$4),"Atrasada","Agendada")))</f>
        <v/>
      </c>
      <c r="K351" s="42" t="str">
        <f aca="false">IF($C351="","",IF($I351&lt;&gt;"",$I351-$G351,IF($J351="Atrasada",INT(Parâmetros!$C$4)-$G351,"")))</f>
        <v/>
      </c>
      <c r="L351" s="26" t="str">
        <f aca="false">IF($J351&lt;&gt;"Realizada","",IF($K351&lt;=0,"No prazo",IF($K351&lt;=7,"Até 7 dias",IF($K351&lt;=30,"Até 30 dias","Acima de 30"))))</f>
        <v/>
      </c>
      <c r="M351" s="26" t="str">
        <f aca="false">IF($C351="","",COUNTIFS($G$3:$G351,$G351))</f>
        <v/>
      </c>
      <c r="N351" s="26" t="str">
        <f aca="false">IF($C351="","",$G351&amp;"|"&amp;$M351)</f>
        <v/>
      </c>
    </row>
    <row r="352" customFormat="false" ht="18" hidden="false" customHeight="true" outlineLevel="0" collapsed="false">
      <c r="A352" s="26" t="n">
        <v>15</v>
      </c>
      <c r="B352" s="26" t="n">
        <v>14</v>
      </c>
      <c r="C352" s="26" t="str">
        <f aca="false">IF(INDEX(Planos!$B$3:$B$27,15)="","",IF(14&gt;INDEX(Planos!$G$3:$G$27,15),"",INDEX(Planos!$B$3:$B$27,15)))</f>
        <v/>
      </c>
      <c r="D352" s="40" t="str">
        <f aca="false">IF($C352="","",IFERROR(INDEX(Ativos!$B$3:$B$42,MATCH($C352,Ativos!$A$3:$A$42,0)),""))</f>
        <v/>
      </c>
      <c r="E352" s="40" t="str">
        <f aca="false">IF($C352="","",INDEX(Planos!$C$3:$C$27,15))</f>
        <v/>
      </c>
      <c r="F352" s="40" t="str">
        <f aca="false">IF($C352="","",INDEX(Planos!$D$3:$D$27,15))</f>
        <v/>
      </c>
      <c r="G352" s="41" t="n">
        <f aca="false">IF($C352="",0,INDEX(Planos!$F$3:$F$27,15)+(14-1)*INDEX(Planos!$E$3:$E$27,15))</f>
        <v>0</v>
      </c>
      <c r="H352" s="40" t="str">
        <f aca="false">IF($C352="","",INDEX(Planos!$H$3:$H$27,15))</f>
        <v/>
      </c>
      <c r="I352" s="41" t="str">
        <f aca="false">IF($C352="","",IF(INDEX(Planos!$J$3:$AG$27,$A352,$B352)=0,"",INDEX(Planos!$J$3:$AG$27,$A352,$B352)))</f>
        <v/>
      </c>
      <c r="J352" s="26" t="str">
        <f aca="false">IF($C352="","",IF($I352&lt;&gt;"","Realizada",IF($G352&lt;INT(Parâmetros!$C$4),"Atrasada","Agendada")))</f>
        <v/>
      </c>
      <c r="K352" s="42" t="str">
        <f aca="false">IF($C352="","",IF($I352&lt;&gt;"",$I352-$G352,IF($J352="Atrasada",INT(Parâmetros!$C$4)-$G352,"")))</f>
        <v/>
      </c>
      <c r="L352" s="26" t="str">
        <f aca="false">IF($J352&lt;&gt;"Realizada","",IF($K352&lt;=0,"No prazo",IF($K352&lt;=7,"Até 7 dias",IF($K352&lt;=30,"Até 30 dias","Acima de 30"))))</f>
        <v/>
      </c>
      <c r="M352" s="26" t="str">
        <f aca="false">IF($C352="","",COUNTIFS($G$3:$G352,$G352))</f>
        <v/>
      </c>
      <c r="N352" s="26" t="str">
        <f aca="false">IF($C352="","",$G352&amp;"|"&amp;$M352)</f>
        <v/>
      </c>
    </row>
    <row r="353" customFormat="false" ht="18" hidden="false" customHeight="true" outlineLevel="0" collapsed="false">
      <c r="A353" s="26" t="n">
        <v>15</v>
      </c>
      <c r="B353" s="26" t="n">
        <v>15</v>
      </c>
      <c r="C353" s="26" t="str">
        <f aca="false">IF(INDEX(Planos!$B$3:$B$27,15)="","",IF(15&gt;INDEX(Planos!$G$3:$G$27,15),"",INDEX(Planos!$B$3:$B$27,15)))</f>
        <v/>
      </c>
      <c r="D353" s="40" t="str">
        <f aca="false">IF($C353="","",IFERROR(INDEX(Ativos!$B$3:$B$42,MATCH($C353,Ativos!$A$3:$A$42,0)),""))</f>
        <v/>
      </c>
      <c r="E353" s="40" t="str">
        <f aca="false">IF($C353="","",INDEX(Planos!$C$3:$C$27,15))</f>
        <v/>
      </c>
      <c r="F353" s="40" t="str">
        <f aca="false">IF($C353="","",INDEX(Planos!$D$3:$D$27,15))</f>
        <v/>
      </c>
      <c r="G353" s="41" t="n">
        <f aca="false">IF($C353="",0,INDEX(Planos!$F$3:$F$27,15)+(15-1)*INDEX(Planos!$E$3:$E$27,15))</f>
        <v>0</v>
      </c>
      <c r="H353" s="40" t="str">
        <f aca="false">IF($C353="","",INDEX(Planos!$H$3:$H$27,15))</f>
        <v/>
      </c>
      <c r="I353" s="41" t="str">
        <f aca="false">IF($C353="","",IF(INDEX(Planos!$J$3:$AG$27,$A353,$B353)=0,"",INDEX(Planos!$J$3:$AG$27,$A353,$B353)))</f>
        <v/>
      </c>
      <c r="J353" s="26" t="str">
        <f aca="false">IF($C353="","",IF($I353&lt;&gt;"","Realizada",IF($G353&lt;INT(Parâmetros!$C$4),"Atrasada","Agendada")))</f>
        <v/>
      </c>
      <c r="K353" s="42" t="str">
        <f aca="false">IF($C353="","",IF($I353&lt;&gt;"",$I353-$G353,IF($J353="Atrasada",INT(Parâmetros!$C$4)-$G353,"")))</f>
        <v/>
      </c>
      <c r="L353" s="26" t="str">
        <f aca="false">IF($J353&lt;&gt;"Realizada","",IF($K353&lt;=0,"No prazo",IF($K353&lt;=7,"Até 7 dias",IF($K353&lt;=30,"Até 30 dias","Acima de 30"))))</f>
        <v/>
      </c>
      <c r="M353" s="26" t="str">
        <f aca="false">IF($C353="","",COUNTIFS($G$3:$G353,$G353))</f>
        <v/>
      </c>
      <c r="N353" s="26" t="str">
        <f aca="false">IF($C353="","",$G353&amp;"|"&amp;$M353)</f>
        <v/>
      </c>
    </row>
    <row r="354" customFormat="false" ht="18" hidden="false" customHeight="true" outlineLevel="0" collapsed="false">
      <c r="A354" s="26" t="n">
        <v>15</v>
      </c>
      <c r="B354" s="26" t="n">
        <v>16</v>
      </c>
      <c r="C354" s="26" t="str">
        <f aca="false">IF(INDEX(Planos!$B$3:$B$27,15)="","",IF(16&gt;INDEX(Planos!$G$3:$G$27,15),"",INDEX(Planos!$B$3:$B$27,15)))</f>
        <v/>
      </c>
      <c r="D354" s="40" t="str">
        <f aca="false">IF($C354="","",IFERROR(INDEX(Ativos!$B$3:$B$42,MATCH($C354,Ativos!$A$3:$A$42,0)),""))</f>
        <v/>
      </c>
      <c r="E354" s="40" t="str">
        <f aca="false">IF($C354="","",INDEX(Planos!$C$3:$C$27,15))</f>
        <v/>
      </c>
      <c r="F354" s="40" t="str">
        <f aca="false">IF($C354="","",INDEX(Planos!$D$3:$D$27,15))</f>
        <v/>
      </c>
      <c r="G354" s="41" t="n">
        <f aca="false">IF($C354="",0,INDEX(Planos!$F$3:$F$27,15)+(16-1)*INDEX(Planos!$E$3:$E$27,15))</f>
        <v>0</v>
      </c>
      <c r="H354" s="40" t="str">
        <f aca="false">IF($C354="","",INDEX(Planos!$H$3:$H$27,15))</f>
        <v/>
      </c>
      <c r="I354" s="41" t="str">
        <f aca="false">IF($C354="","",IF(INDEX(Planos!$J$3:$AG$27,$A354,$B354)=0,"",INDEX(Planos!$J$3:$AG$27,$A354,$B354)))</f>
        <v/>
      </c>
      <c r="J354" s="26" t="str">
        <f aca="false">IF($C354="","",IF($I354&lt;&gt;"","Realizada",IF($G354&lt;INT(Parâmetros!$C$4),"Atrasada","Agendada")))</f>
        <v/>
      </c>
      <c r="K354" s="42" t="str">
        <f aca="false">IF($C354="","",IF($I354&lt;&gt;"",$I354-$G354,IF($J354="Atrasada",INT(Parâmetros!$C$4)-$G354,"")))</f>
        <v/>
      </c>
      <c r="L354" s="26" t="str">
        <f aca="false">IF($J354&lt;&gt;"Realizada","",IF($K354&lt;=0,"No prazo",IF($K354&lt;=7,"Até 7 dias",IF($K354&lt;=30,"Até 30 dias","Acima de 30"))))</f>
        <v/>
      </c>
      <c r="M354" s="26" t="str">
        <f aca="false">IF($C354="","",COUNTIFS($G$3:$G354,$G354))</f>
        <v/>
      </c>
      <c r="N354" s="26" t="str">
        <f aca="false">IF($C354="","",$G354&amp;"|"&amp;$M354)</f>
        <v/>
      </c>
    </row>
    <row r="355" customFormat="false" ht="18" hidden="false" customHeight="true" outlineLevel="0" collapsed="false">
      <c r="A355" s="26" t="n">
        <v>15</v>
      </c>
      <c r="B355" s="26" t="n">
        <v>17</v>
      </c>
      <c r="C355" s="26" t="str">
        <f aca="false">IF(INDEX(Planos!$B$3:$B$27,15)="","",IF(17&gt;INDEX(Planos!$G$3:$G$27,15),"",INDEX(Planos!$B$3:$B$27,15)))</f>
        <v/>
      </c>
      <c r="D355" s="40" t="str">
        <f aca="false">IF($C355="","",IFERROR(INDEX(Ativos!$B$3:$B$42,MATCH($C355,Ativos!$A$3:$A$42,0)),""))</f>
        <v/>
      </c>
      <c r="E355" s="40" t="str">
        <f aca="false">IF($C355="","",INDEX(Planos!$C$3:$C$27,15))</f>
        <v/>
      </c>
      <c r="F355" s="40" t="str">
        <f aca="false">IF($C355="","",INDEX(Planos!$D$3:$D$27,15))</f>
        <v/>
      </c>
      <c r="G355" s="41" t="n">
        <f aca="false">IF($C355="",0,INDEX(Planos!$F$3:$F$27,15)+(17-1)*INDEX(Planos!$E$3:$E$27,15))</f>
        <v>0</v>
      </c>
      <c r="H355" s="40" t="str">
        <f aca="false">IF($C355="","",INDEX(Planos!$H$3:$H$27,15))</f>
        <v/>
      </c>
      <c r="I355" s="41" t="str">
        <f aca="false">IF($C355="","",IF(INDEX(Planos!$J$3:$AG$27,$A355,$B355)=0,"",INDEX(Planos!$J$3:$AG$27,$A355,$B355)))</f>
        <v/>
      </c>
      <c r="J355" s="26" t="str">
        <f aca="false">IF($C355="","",IF($I355&lt;&gt;"","Realizada",IF($G355&lt;INT(Parâmetros!$C$4),"Atrasada","Agendada")))</f>
        <v/>
      </c>
      <c r="K355" s="42" t="str">
        <f aca="false">IF($C355="","",IF($I355&lt;&gt;"",$I355-$G355,IF($J355="Atrasada",INT(Parâmetros!$C$4)-$G355,"")))</f>
        <v/>
      </c>
      <c r="L355" s="26" t="str">
        <f aca="false">IF($J355&lt;&gt;"Realizada","",IF($K355&lt;=0,"No prazo",IF($K355&lt;=7,"Até 7 dias",IF($K355&lt;=30,"Até 30 dias","Acima de 30"))))</f>
        <v/>
      </c>
      <c r="M355" s="26" t="str">
        <f aca="false">IF($C355="","",COUNTIFS($G$3:$G355,$G355))</f>
        <v/>
      </c>
      <c r="N355" s="26" t="str">
        <f aca="false">IF($C355="","",$G355&amp;"|"&amp;$M355)</f>
        <v/>
      </c>
    </row>
    <row r="356" customFormat="false" ht="18" hidden="false" customHeight="true" outlineLevel="0" collapsed="false">
      <c r="A356" s="26" t="n">
        <v>15</v>
      </c>
      <c r="B356" s="26" t="n">
        <v>18</v>
      </c>
      <c r="C356" s="26" t="str">
        <f aca="false">IF(INDEX(Planos!$B$3:$B$27,15)="","",IF(18&gt;INDEX(Planos!$G$3:$G$27,15),"",INDEX(Planos!$B$3:$B$27,15)))</f>
        <v/>
      </c>
      <c r="D356" s="40" t="str">
        <f aca="false">IF($C356="","",IFERROR(INDEX(Ativos!$B$3:$B$42,MATCH($C356,Ativos!$A$3:$A$42,0)),""))</f>
        <v/>
      </c>
      <c r="E356" s="40" t="str">
        <f aca="false">IF($C356="","",INDEX(Planos!$C$3:$C$27,15))</f>
        <v/>
      </c>
      <c r="F356" s="40" t="str">
        <f aca="false">IF($C356="","",INDEX(Planos!$D$3:$D$27,15))</f>
        <v/>
      </c>
      <c r="G356" s="41" t="n">
        <f aca="false">IF($C356="",0,INDEX(Planos!$F$3:$F$27,15)+(18-1)*INDEX(Planos!$E$3:$E$27,15))</f>
        <v>0</v>
      </c>
      <c r="H356" s="40" t="str">
        <f aca="false">IF($C356="","",INDEX(Planos!$H$3:$H$27,15))</f>
        <v/>
      </c>
      <c r="I356" s="41" t="str">
        <f aca="false">IF($C356="","",IF(INDEX(Planos!$J$3:$AG$27,$A356,$B356)=0,"",INDEX(Planos!$J$3:$AG$27,$A356,$B356)))</f>
        <v/>
      </c>
      <c r="J356" s="26" t="str">
        <f aca="false">IF($C356="","",IF($I356&lt;&gt;"","Realizada",IF($G356&lt;INT(Parâmetros!$C$4),"Atrasada","Agendada")))</f>
        <v/>
      </c>
      <c r="K356" s="42" t="str">
        <f aca="false">IF($C356="","",IF($I356&lt;&gt;"",$I356-$G356,IF($J356="Atrasada",INT(Parâmetros!$C$4)-$G356,"")))</f>
        <v/>
      </c>
      <c r="L356" s="26" t="str">
        <f aca="false">IF($J356&lt;&gt;"Realizada","",IF($K356&lt;=0,"No prazo",IF($K356&lt;=7,"Até 7 dias",IF($K356&lt;=30,"Até 30 dias","Acima de 30"))))</f>
        <v/>
      </c>
      <c r="M356" s="26" t="str">
        <f aca="false">IF($C356="","",COUNTIFS($G$3:$G356,$G356))</f>
        <v/>
      </c>
      <c r="N356" s="26" t="str">
        <f aca="false">IF($C356="","",$G356&amp;"|"&amp;$M356)</f>
        <v/>
      </c>
    </row>
    <row r="357" customFormat="false" ht="18" hidden="false" customHeight="true" outlineLevel="0" collapsed="false">
      <c r="A357" s="26" t="n">
        <v>15</v>
      </c>
      <c r="B357" s="26" t="n">
        <v>19</v>
      </c>
      <c r="C357" s="26" t="str">
        <f aca="false">IF(INDEX(Planos!$B$3:$B$27,15)="","",IF(19&gt;INDEX(Planos!$G$3:$G$27,15),"",INDEX(Planos!$B$3:$B$27,15)))</f>
        <v/>
      </c>
      <c r="D357" s="40" t="str">
        <f aca="false">IF($C357="","",IFERROR(INDEX(Ativos!$B$3:$B$42,MATCH($C357,Ativos!$A$3:$A$42,0)),""))</f>
        <v/>
      </c>
      <c r="E357" s="40" t="str">
        <f aca="false">IF($C357="","",INDEX(Planos!$C$3:$C$27,15))</f>
        <v/>
      </c>
      <c r="F357" s="40" t="str">
        <f aca="false">IF($C357="","",INDEX(Planos!$D$3:$D$27,15))</f>
        <v/>
      </c>
      <c r="G357" s="41" t="n">
        <f aca="false">IF($C357="",0,INDEX(Planos!$F$3:$F$27,15)+(19-1)*INDEX(Planos!$E$3:$E$27,15))</f>
        <v>0</v>
      </c>
      <c r="H357" s="40" t="str">
        <f aca="false">IF($C357="","",INDEX(Planos!$H$3:$H$27,15))</f>
        <v/>
      </c>
      <c r="I357" s="41" t="str">
        <f aca="false">IF($C357="","",IF(INDEX(Planos!$J$3:$AG$27,$A357,$B357)=0,"",INDEX(Planos!$J$3:$AG$27,$A357,$B357)))</f>
        <v/>
      </c>
      <c r="J357" s="26" t="str">
        <f aca="false">IF($C357="","",IF($I357&lt;&gt;"","Realizada",IF($G357&lt;INT(Parâmetros!$C$4),"Atrasada","Agendada")))</f>
        <v/>
      </c>
      <c r="K357" s="42" t="str">
        <f aca="false">IF($C357="","",IF($I357&lt;&gt;"",$I357-$G357,IF($J357="Atrasada",INT(Parâmetros!$C$4)-$G357,"")))</f>
        <v/>
      </c>
      <c r="L357" s="26" t="str">
        <f aca="false">IF($J357&lt;&gt;"Realizada","",IF($K357&lt;=0,"No prazo",IF($K357&lt;=7,"Até 7 dias",IF($K357&lt;=30,"Até 30 dias","Acima de 30"))))</f>
        <v/>
      </c>
      <c r="M357" s="26" t="str">
        <f aca="false">IF($C357="","",COUNTIFS($G$3:$G357,$G357))</f>
        <v/>
      </c>
      <c r="N357" s="26" t="str">
        <f aca="false">IF($C357="","",$G357&amp;"|"&amp;$M357)</f>
        <v/>
      </c>
    </row>
    <row r="358" customFormat="false" ht="18" hidden="false" customHeight="true" outlineLevel="0" collapsed="false">
      <c r="A358" s="26" t="n">
        <v>15</v>
      </c>
      <c r="B358" s="26" t="n">
        <v>20</v>
      </c>
      <c r="C358" s="26" t="str">
        <f aca="false">IF(INDEX(Planos!$B$3:$B$27,15)="","",IF(20&gt;INDEX(Planos!$G$3:$G$27,15),"",INDEX(Planos!$B$3:$B$27,15)))</f>
        <v/>
      </c>
      <c r="D358" s="40" t="str">
        <f aca="false">IF($C358="","",IFERROR(INDEX(Ativos!$B$3:$B$42,MATCH($C358,Ativos!$A$3:$A$42,0)),""))</f>
        <v/>
      </c>
      <c r="E358" s="40" t="str">
        <f aca="false">IF($C358="","",INDEX(Planos!$C$3:$C$27,15))</f>
        <v/>
      </c>
      <c r="F358" s="40" t="str">
        <f aca="false">IF($C358="","",INDEX(Planos!$D$3:$D$27,15))</f>
        <v/>
      </c>
      <c r="G358" s="41" t="n">
        <f aca="false">IF($C358="",0,INDEX(Planos!$F$3:$F$27,15)+(20-1)*INDEX(Planos!$E$3:$E$27,15))</f>
        <v>0</v>
      </c>
      <c r="H358" s="40" t="str">
        <f aca="false">IF($C358="","",INDEX(Planos!$H$3:$H$27,15))</f>
        <v/>
      </c>
      <c r="I358" s="41" t="str">
        <f aca="false">IF($C358="","",IF(INDEX(Planos!$J$3:$AG$27,$A358,$B358)=0,"",INDEX(Planos!$J$3:$AG$27,$A358,$B358)))</f>
        <v/>
      </c>
      <c r="J358" s="26" t="str">
        <f aca="false">IF($C358="","",IF($I358&lt;&gt;"","Realizada",IF($G358&lt;INT(Parâmetros!$C$4),"Atrasada","Agendada")))</f>
        <v/>
      </c>
      <c r="K358" s="42" t="str">
        <f aca="false">IF($C358="","",IF($I358&lt;&gt;"",$I358-$G358,IF($J358="Atrasada",INT(Parâmetros!$C$4)-$G358,"")))</f>
        <v/>
      </c>
      <c r="L358" s="26" t="str">
        <f aca="false">IF($J358&lt;&gt;"Realizada","",IF($K358&lt;=0,"No prazo",IF($K358&lt;=7,"Até 7 dias",IF($K358&lt;=30,"Até 30 dias","Acima de 30"))))</f>
        <v/>
      </c>
      <c r="M358" s="26" t="str">
        <f aca="false">IF($C358="","",COUNTIFS($G$3:$G358,$G358))</f>
        <v/>
      </c>
      <c r="N358" s="26" t="str">
        <f aca="false">IF($C358="","",$G358&amp;"|"&amp;$M358)</f>
        <v/>
      </c>
    </row>
    <row r="359" customFormat="false" ht="18" hidden="false" customHeight="true" outlineLevel="0" collapsed="false">
      <c r="A359" s="26" t="n">
        <v>15</v>
      </c>
      <c r="B359" s="26" t="n">
        <v>21</v>
      </c>
      <c r="C359" s="26" t="str">
        <f aca="false">IF(INDEX(Planos!$B$3:$B$27,15)="","",IF(21&gt;INDEX(Planos!$G$3:$G$27,15),"",INDEX(Planos!$B$3:$B$27,15)))</f>
        <v/>
      </c>
      <c r="D359" s="40" t="str">
        <f aca="false">IF($C359="","",IFERROR(INDEX(Ativos!$B$3:$B$42,MATCH($C359,Ativos!$A$3:$A$42,0)),""))</f>
        <v/>
      </c>
      <c r="E359" s="40" t="str">
        <f aca="false">IF($C359="","",INDEX(Planos!$C$3:$C$27,15))</f>
        <v/>
      </c>
      <c r="F359" s="40" t="str">
        <f aca="false">IF($C359="","",INDEX(Planos!$D$3:$D$27,15))</f>
        <v/>
      </c>
      <c r="G359" s="41" t="n">
        <f aca="false">IF($C359="",0,INDEX(Planos!$F$3:$F$27,15)+(21-1)*INDEX(Planos!$E$3:$E$27,15))</f>
        <v>0</v>
      </c>
      <c r="H359" s="40" t="str">
        <f aca="false">IF($C359="","",INDEX(Planos!$H$3:$H$27,15))</f>
        <v/>
      </c>
      <c r="I359" s="41" t="str">
        <f aca="false">IF($C359="","",IF(INDEX(Planos!$J$3:$AG$27,$A359,$B359)=0,"",INDEX(Planos!$J$3:$AG$27,$A359,$B359)))</f>
        <v/>
      </c>
      <c r="J359" s="26" t="str">
        <f aca="false">IF($C359="","",IF($I359&lt;&gt;"","Realizada",IF($G359&lt;INT(Parâmetros!$C$4),"Atrasada","Agendada")))</f>
        <v/>
      </c>
      <c r="K359" s="42" t="str">
        <f aca="false">IF($C359="","",IF($I359&lt;&gt;"",$I359-$G359,IF($J359="Atrasada",INT(Parâmetros!$C$4)-$G359,"")))</f>
        <v/>
      </c>
      <c r="L359" s="26" t="str">
        <f aca="false">IF($J359&lt;&gt;"Realizada","",IF($K359&lt;=0,"No prazo",IF($K359&lt;=7,"Até 7 dias",IF($K359&lt;=30,"Até 30 dias","Acima de 30"))))</f>
        <v/>
      </c>
      <c r="M359" s="26" t="str">
        <f aca="false">IF($C359="","",COUNTIFS($G$3:$G359,$G359))</f>
        <v/>
      </c>
      <c r="N359" s="26" t="str">
        <f aca="false">IF($C359="","",$G359&amp;"|"&amp;$M359)</f>
        <v/>
      </c>
    </row>
    <row r="360" customFormat="false" ht="18" hidden="false" customHeight="true" outlineLevel="0" collapsed="false">
      <c r="A360" s="26" t="n">
        <v>15</v>
      </c>
      <c r="B360" s="26" t="n">
        <v>22</v>
      </c>
      <c r="C360" s="26" t="str">
        <f aca="false">IF(INDEX(Planos!$B$3:$B$27,15)="","",IF(22&gt;INDEX(Planos!$G$3:$G$27,15),"",INDEX(Planos!$B$3:$B$27,15)))</f>
        <v/>
      </c>
      <c r="D360" s="40" t="str">
        <f aca="false">IF($C360="","",IFERROR(INDEX(Ativos!$B$3:$B$42,MATCH($C360,Ativos!$A$3:$A$42,0)),""))</f>
        <v/>
      </c>
      <c r="E360" s="40" t="str">
        <f aca="false">IF($C360="","",INDEX(Planos!$C$3:$C$27,15))</f>
        <v/>
      </c>
      <c r="F360" s="40" t="str">
        <f aca="false">IF($C360="","",INDEX(Planos!$D$3:$D$27,15))</f>
        <v/>
      </c>
      <c r="G360" s="41" t="n">
        <f aca="false">IF($C360="",0,INDEX(Planos!$F$3:$F$27,15)+(22-1)*INDEX(Planos!$E$3:$E$27,15))</f>
        <v>0</v>
      </c>
      <c r="H360" s="40" t="str">
        <f aca="false">IF($C360="","",INDEX(Planos!$H$3:$H$27,15))</f>
        <v/>
      </c>
      <c r="I360" s="41" t="str">
        <f aca="false">IF($C360="","",IF(INDEX(Planos!$J$3:$AG$27,$A360,$B360)=0,"",INDEX(Planos!$J$3:$AG$27,$A360,$B360)))</f>
        <v/>
      </c>
      <c r="J360" s="26" t="str">
        <f aca="false">IF($C360="","",IF($I360&lt;&gt;"","Realizada",IF($G360&lt;INT(Parâmetros!$C$4),"Atrasada","Agendada")))</f>
        <v/>
      </c>
      <c r="K360" s="42" t="str">
        <f aca="false">IF($C360="","",IF($I360&lt;&gt;"",$I360-$G360,IF($J360="Atrasada",INT(Parâmetros!$C$4)-$G360,"")))</f>
        <v/>
      </c>
      <c r="L360" s="26" t="str">
        <f aca="false">IF($J360&lt;&gt;"Realizada","",IF($K360&lt;=0,"No prazo",IF($K360&lt;=7,"Até 7 dias",IF($K360&lt;=30,"Até 30 dias","Acima de 30"))))</f>
        <v/>
      </c>
      <c r="M360" s="26" t="str">
        <f aca="false">IF($C360="","",COUNTIFS($G$3:$G360,$G360))</f>
        <v/>
      </c>
      <c r="N360" s="26" t="str">
        <f aca="false">IF($C360="","",$G360&amp;"|"&amp;$M360)</f>
        <v/>
      </c>
    </row>
    <row r="361" customFormat="false" ht="18" hidden="false" customHeight="true" outlineLevel="0" collapsed="false">
      <c r="A361" s="26" t="n">
        <v>15</v>
      </c>
      <c r="B361" s="26" t="n">
        <v>23</v>
      </c>
      <c r="C361" s="26" t="str">
        <f aca="false">IF(INDEX(Planos!$B$3:$B$27,15)="","",IF(23&gt;INDEX(Planos!$G$3:$G$27,15),"",INDEX(Planos!$B$3:$B$27,15)))</f>
        <v/>
      </c>
      <c r="D361" s="40" t="str">
        <f aca="false">IF($C361="","",IFERROR(INDEX(Ativos!$B$3:$B$42,MATCH($C361,Ativos!$A$3:$A$42,0)),""))</f>
        <v/>
      </c>
      <c r="E361" s="40" t="str">
        <f aca="false">IF($C361="","",INDEX(Planos!$C$3:$C$27,15))</f>
        <v/>
      </c>
      <c r="F361" s="40" t="str">
        <f aca="false">IF($C361="","",INDEX(Planos!$D$3:$D$27,15))</f>
        <v/>
      </c>
      <c r="G361" s="41" t="n">
        <f aca="false">IF($C361="",0,INDEX(Planos!$F$3:$F$27,15)+(23-1)*INDEX(Planos!$E$3:$E$27,15))</f>
        <v>0</v>
      </c>
      <c r="H361" s="40" t="str">
        <f aca="false">IF($C361="","",INDEX(Planos!$H$3:$H$27,15))</f>
        <v/>
      </c>
      <c r="I361" s="41" t="str">
        <f aca="false">IF($C361="","",IF(INDEX(Planos!$J$3:$AG$27,$A361,$B361)=0,"",INDEX(Planos!$J$3:$AG$27,$A361,$B361)))</f>
        <v/>
      </c>
      <c r="J361" s="26" t="str">
        <f aca="false">IF($C361="","",IF($I361&lt;&gt;"","Realizada",IF($G361&lt;INT(Parâmetros!$C$4),"Atrasada","Agendada")))</f>
        <v/>
      </c>
      <c r="K361" s="42" t="str">
        <f aca="false">IF($C361="","",IF($I361&lt;&gt;"",$I361-$G361,IF($J361="Atrasada",INT(Parâmetros!$C$4)-$G361,"")))</f>
        <v/>
      </c>
      <c r="L361" s="26" t="str">
        <f aca="false">IF($J361&lt;&gt;"Realizada","",IF($K361&lt;=0,"No prazo",IF($K361&lt;=7,"Até 7 dias",IF($K361&lt;=30,"Até 30 dias","Acima de 30"))))</f>
        <v/>
      </c>
      <c r="M361" s="26" t="str">
        <f aca="false">IF($C361="","",COUNTIFS($G$3:$G361,$G361))</f>
        <v/>
      </c>
      <c r="N361" s="26" t="str">
        <f aca="false">IF($C361="","",$G361&amp;"|"&amp;$M361)</f>
        <v/>
      </c>
    </row>
    <row r="362" customFormat="false" ht="18" hidden="false" customHeight="true" outlineLevel="0" collapsed="false">
      <c r="A362" s="26" t="n">
        <v>15</v>
      </c>
      <c r="B362" s="26" t="n">
        <v>24</v>
      </c>
      <c r="C362" s="26" t="str">
        <f aca="false">IF(INDEX(Planos!$B$3:$B$27,15)="","",IF(24&gt;INDEX(Planos!$G$3:$G$27,15),"",INDEX(Planos!$B$3:$B$27,15)))</f>
        <v/>
      </c>
      <c r="D362" s="40" t="str">
        <f aca="false">IF($C362="","",IFERROR(INDEX(Ativos!$B$3:$B$42,MATCH($C362,Ativos!$A$3:$A$42,0)),""))</f>
        <v/>
      </c>
      <c r="E362" s="40" t="str">
        <f aca="false">IF($C362="","",INDEX(Planos!$C$3:$C$27,15))</f>
        <v/>
      </c>
      <c r="F362" s="40" t="str">
        <f aca="false">IF($C362="","",INDEX(Planos!$D$3:$D$27,15))</f>
        <v/>
      </c>
      <c r="G362" s="41" t="n">
        <f aca="false">IF($C362="",0,INDEX(Planos!$F$3:$F$27,15)+(24-1)*INDEX(Planos!$E$3:$E$27,15))</f>
        <v>0</v>
      </c>
      <c r="H362" s="40" t="str">
        <f aca="false">IF($C362="","",INDEX(Planos!$H$3:$H$27,15))</f>
        <v/>
      </c>
      <c r="I362" s="41" t="str">
        <f aca="false">IF($C362="","",IF(INDEX(Planos!$J$3:$AG$27,$A362,$B362)=0,"",INDEX(Planos!$J$3:$AG$27,$A362,$B362)))</f>
        <v/>
      </c>
      <c r="J362" s="26" t="str">
        <f aca="false">IF($C362="","",IF($I362&lt;&gt;"","Realizada",IF($G362&lt;INT(Parâmetros!$C$4),"Atrasada","Agendada")))</f>
        <v/>
      </c>
      <c r="K362" s="42" t="str">
        <f aca="false">IF($C362="","",IF($I362&lt;&gt;"",$I362-$G362,IF($J362="Atrasada",INT(Parâmetros!$C$4)-$G362,"")))</f>
        <v/>
      </c>
      <c r="L362" s="26" t="str">
        <f aca="false">IF($J362&lt;&gt;"Realizada","",IF($K362&lt;=0,"No prazo",IF($K362&lt;=7,"Até 7 dias",IF($K362&lt;=30,"Até 30 dias","Acima de 30"))))</f>
        <v/>
      </c>
      <c r="M362" s="26" t="str">
        <f aca="false">IF($C362="","",COUNTIFS($G$3:$G362,$G362))</f>
        <v/>
      </c>
      <c r="N362" s="26" t="str">
        <f aca="false">IF($C362="","",$G362&amp;"|"&amp;$M362)</f>
        <v/>
      </c>
    </row>
    <row r="363" customFormat="false" ht="18" hidden="false" customHeight="true" outlineLevel="0" collapsed="false">
      <c r="A363" s="26" t="n">
        <v>16</v>
      </c>
      <c r="B363" s="26" t="n">
        <v>1</v>
      </c>
      <c r="C363" s="26" t="str">
        <f aca="false">IF(INDEX(Planos!$B$3:$B$27,16)="","",IF(1&gt;INDEX(Planos!$G$3:$G$27,16),"",INDEX(Planos!$B$3:$B$27,16)))</f>
        <v/>
      </c>
      <c r="D363" s="40" t="str">
        <f aca="false">IF($C363="","",IFERROR(INDEX(Ativos!$B$3:$B$42,MATCH($C363,Ativos!$A$3:$A$42,0)),""))</f>
        <v/>
      </c>
      <c r="E363" s="40" t="str">
        <f aca="false">IF($C363="","",INDEX(Planos!$C$3:$C$27,16))</f>
        <v/>
      </c>
      <c r="F363" s="40" t="str">
        <f aca="false">IF($C363="","",INDEX(Planos!$D$3:$D$27,16))</f>
        <v/>
      </c>
      <c r="G363" s="41" t="n">
        <f aca="false">IF($C363="",0,INDEX(Planos!$F$3:$F$27,16)+(1-1)*INDEX(Planos!$E$3:$E$27,16))</f>
        <v>0</v>
      </c>
      <c r="H363" s="40" t="str">
        <f aca="false">IF($C363="","",INDEX(Planos!$H$3:$H$27,16))</f>
        <v/>
      </c>
      <c r="I363" s="41" t="str">
        <f aca="false">IF($C363="","",IF(INDEX(Planos!$J$3:$AG$27,$A363,$B363)=0,"",INDEX(Planos!$J$3:$AG$27,$A363,$B363)))</f>
        <v/>
      </c>
      <c r="J363" s="26" t="str">
        <f aca="false">IF($C363="","",IF($I363&lt;&gt;"","Realizada",IF($G363&lt;INT(Parâmetros!$C$4),"Atrasada","Agendada")))</f>
        <v/>
      </c>
      <c r="K363" s="42" t="str">
        <f aca="false">IF($C363="","",IF($I363&lt;&gt;"",$I363-$G363,IF($J363="Atrasada",INT(Parâmetros!$C$4)-$G363,"")))</f>
        <v/>
      </c>
      <c r="L363" s="26" t="str">
        <f aca="false">IF($J363&lt;&gt;"Realizada","",IF($K363&lt;=0,"No prazo",IF($K363&lt;=7,"Até 7 dias",IF($K363&lt;=30,"Até 30 dias","Acima de 30"))))</f>
        <v/>
      </c>
      <c r="M363" s="26" t="str">
        <f aca="false">IF($C363="","",COUNTIFS($G$3:$G363,$G363))</f>
        <v/>
      </c>
      <c r="N363" s="26" t="str">
        <f aca="false">IF($C363="","",$G363&amp;"|"&amp;$M363)</f>
        <v/>
      </c>
    </row>
    <row r="364" customFormat="false" ht="18" hidden="false" customHeight="true" outlineLevel="0" collapsed="false">
      <c r="A364" s="26" t="n">
        <v>16</v>
      </c>
      <c r="B364" s="26" t="n">
        <v>2</v>
      </c>
      <c r="C364" s="26" t="str">
        <f aca="false">IF(INDEX(Planos!$B$3:$B$27,16)="","",IF(2&gt;INDEX(Planos!$G$3:$G$27,16),"",INDEX(Planos!$B$3:$B$27,16)))</f>
        <v/>
      </c>
      <c r="D364" s="40" t="str">
        <f aca="false">IF($C364="","",IFERROR(INDEX(Ativos!$B$3:$B$42,MATCH($C364,Ativos!$A$3:$A$42,0)),""))</f>
        <v/>
      </c>
      <c r="E364" s="40" t="str">
        <f aca="false">IF($C364="","",INDEX(Planos!$C$3:$C$27,16))</f>
        <v/>
      </c>
      <c r="F364" s="40" t="str">
        <f aca="false">IF($C364="","",INDEX(Planos!$D$3:$D$27,16))</f>
        <v/>
      </c>
      <c r="G364" s="41" t="n">
        <f aca="false">IF($C364="",0,INDEX(Planos!$F$3:$F$27,16)+(2-1)*INDEX(Planos!$E$3:$E$27,16))</f>
        <v>0</v>
      </c>
      <c r="H364" s="40" t="str">
        <f aca="false">IF($C364="","",INDEX(Planos!$H$3:$H$27,16))</f>
        <v/>
      </c>
      <c r="I364" s="41" t="str">
        <f aca="false">IF($C364="","",IF(INDEX(Planos!$J$3:$AG$27,$A364,$B364)=0,"",INDEX(Planos!$J$3:$AG$27,$A364,$B364)))</f>
        <v/>
      </c>
      <c r="J364" s="26" t="str">
        <f aca="false">IF($C364="","",IF($I364&lt;&gt;"","Realizada",IF($G364&lt;INT(Parâmetros!$C$4),"Atrasada","Agendada")))</f>
        <v/>
      </c>
      <c r="K364" s="42" t="str">
        <f aca="false">IF($C364="","",IF($I364&lt;&gt;"",$I364-$G364,IF($J364="Atrasada",INT(Parâmetros!$C$4)-$G364,"")))</f>
        <v/>
      </c>
      <c r="L364" s="26" t="str">
        <f aca="false">IF($J364&lt;&gt;"Realizada","",IF($K364&lt;=0,"No prazo",IF($K364&lt;=7,"Até 7 dias",IF($K364&lt;=30,"Até 30 dias","Acima de 30"))))</f>
        <v/>
      </c>
      <c r="M364" s="26" t="str">
        <f aca="false">IF($C364="","",COUNTIFS($G$3:$G364,$G364))</f>
        <v/>
      </c>
      <c r="N364" s="26" t="str">
        <f aca="false">IF($C364="","",$G364&amp;"|"&amp;$M364)</f>
        <v/>
      </c>
    </row>
    <row r="365" customFormat="false" ht="18" hidden="false" customHeight="true" outlineLevel="0" collapsed="false">
      <c r="A365" s="26" t="n">
        <v>16</v>
      </c>
      <c r="B365" s="26" t="n">
        <v>3</v>
      </c>
      <c r="C365" s="26" t="str">
        <f aca="false">IF(INDEX(Planos!$B$3:$B$27,16)="","",IF(3&gt;INDEX(Planos!$G$3:$G$27,16),"",INDEX(Planos!$B$3:$B$27,16)))</f>
        <v/>
      </c>
      <c r="D365" s="40" t="str">
        <f aca="false">IF($C365="","",IFERROR(INDEX(Ativos!$B$3:$B$42,MATCH($C365,Ativos!$A$3:$A$42,0)),""))</f>
        <v/>
      </c>
      <c r="E365" s="40" t="str">
        <f aca="false">IF($C365="","",INDEX(Planos!$C$3:$C$27,16))</f>
        <v/>
      </c>
      <c r="F365" s="40" t="str">
        <f aca="false">IF($C365="","",INDEX(Planos!$D$3:$D$27,16))</f>
        <v/>
      </c>
      <c r="G365" s="41" t="n">
        <f aca="false">IF($C365="",0,INDEX(Planos!$F$3:$F$27,16)+(3-1)*INDEX(Planos!$E$3:$E$27,16))</f>
        <v>0</v>
      </c>
      <c r="H365" s="40" t="str">
        <f aca="false">IF($C365="","",INDEX(Planos!$H$3:$H$27,16))</f>
        <v/>
      </c>
      <c r="I365" s="41" t="str">
        <f aca="false">IF($C365="","",IF(INDEX(Planos!$J$3:$AG$27,$A365,$B365)=0,"",INDEX(Planos!$J$3:$AG$27,$A365,$B365)))</f>
        <v/>
      </c>
      <c r="J365" s="26" t="str">
        <f aca="false">IF($C365="","",IF($I365&lt;&gt;"","Realizada",IF($G365&lt;INT(Parâmetros!$C$4),"Atrasada","Agendada")))</f>
        <v/>
      </c>
      <c r="K365" s="42" t="str">
        <f aca="false">IF($C365="","",IF($I365&lt;&gt;"",$I365-$G365,IF($J365="Atrasada",INT(Parâmetros!$C$4)-$G365,"")))</f>
        <v/>
      </c>
      <c r="L365" s="26" t="str">
        <f aca="false">IF($J365&lt;&gt;"Realizada","",IF($K365&lt;=0,"No prazo",IF($K365&lt;=7,"Até 7 dias",IF($K365&lt;=30,"Até 30 dias","Acima de 30"))))</f>
        <v/>
      </c>
      <c r="M365" s="26" t="str">
        <f aca="false">IF($C365="","",COUNTIFS($G$3:$G365,$G365))</f>
        <v/>
      </c>
      <c r="N365" s="26" t="str">
        <f aca="false">IF($C365="","",$G365&amp;"|"&amp;$M365)</f>
        <v/>
      </c>
    </row>
    <row r="366" customFormat="false" ht="18" hidden="false" customHeight="true" outlineLevel="0" collapsed="false">
      <c r="A366" s="26" t="n">
        <v>16</v>
      </c>
      <c r="B366" s="26" t="n">
        <v>4</v>
      </c>
      <c r="C366" s="26" t="str">
        <f aca="false">IF(INDEX(Planos!$B$3:$B$27,16)="","",IF(4&gt;INDEX(Planos!$G$3:$G$27,16),"",INDEX(Planos!$B$3:$B$27,16)))</f>
        <v/>
      </c>
      <c r="D366" s="40" t="str">
        <f aca="false">IF($C366="","",IFERROR(INDEX(Ativos!$B$3:$B$42,MATCH($C366,Ativos!$A$3:$A$42,0)),""))</f>
        <v/>
      </c>
      <c r="E366" s="40" t="str">
        <f aca="false">IF($C366="","",INDEX(Planos!$C$3:$C$27,16))</f>
        <v/>
      </c>
      <c r="F366" s="40" t="str">
        <f aca="false">IF($C366="","",INDEX(Planos!$D$3:$D$27,16))</f>
        <v/>
      </c>
      <c r="G366" s="41" t="n">
        <f aca="false">IF($C366="",0,INDEX(Planos!$F$3:$F$27,16)+(4-1)*INDEX(Planos!$E$3:$E$27,16))</f>
        <v>0</v>
      </c>
      <c r="H366" s="40" t="str">
        <f aca="false">IF($C366="","",INDEX(Planos!$H$3:$H$27,16))</f>
        <v/>
      </c>
      <c r="I366" s="41" t="str">
        <f aca="false">IF($C366="","",IF(INDEX(Planos!$J$3:$AG$27,$A366,$B366)=0,"",INDEX(Planos!$J$3:$AG$27,$A366,$B366)))</f>
        <v/>
      </c>
      <c r="J366" s="26" t="str">
        <f aca="false">IF($C366="","",IF($I366&lt;&gt;"","Realizada",IF($G366&lt;INT(Parâmetros!$C$4),"Atrasada","Agendada")))</f>
        <v/>
      </c>
      <c r="K366" s="42" t="str">
        <f aca="false">IF($C366="","",IF($I366&lt;&gt;"",$I366-$G366,IF($J366="Atrasada",INT(Parâmetros!$C$4)-$G366,"")))</f>
        <v/>
      </c>
      <c r="L366" s="26" t="str">
        <f aca="false">IF($J366&lt;&gt;"Realizada","",IF($K366&lt;=0,"No prazo",IF($K366&lt;=7,"Até 7 dias",IF($K366&lt;=30,"Até 30 dias","Acima de 30"))))</f>
        <v/>
      </c>
      <c r="M366" s="26" t="str">
        <f aca="false">IF($C366="","",COUNTIFS($G$3:$G366,$G366))</f>
        <v/>
      </c>
      <c r="N366" s="26" t="str">
        <f aca="false">IF($C366="","",$G366&amp;"|"&amp;$M366)</f>
        <v/>
      </c>
    </row>
    <row r="367" customFormat="false" ht="18" hidden="false" customHeight="true" outlineLevel="0" collapsed="false">
      <c r="A367" s="26" t="n">
        <v>16</v>
      </c>
      <c r="B367" s="26" t="n">
        <v>5</v>
      </c>
      <c r="C367" s="26" t="str">
        <f aca="false">IF(INDEX(Planos!$B$3:$B$27,16)="","",IF(5&gt;INDEX(Planos!$G$3:$G$27,16),"",INDEX(Planos!$B$3:$B$27,16)))</f>
        <v/>
      </c>
      <c r="D367" s="40" t="str">
        <f aca="false">IF($C367="","",IFERROR(INDEX(Ativos!$B$3:$B$42,MATCH($C367,Ativos!$A$3:$A$42,0)),""))</f>
        <v/>
      </c>
      <c r="E367" s="40" t="str">
        <f aca="false">IF($C367="","",INDEX(Planos!$C$3:$C$27,16))</f>
        <v/>
      </c>
      <c r="F367" s="40" t="str">
        <f aca="false">IF($C367="","",INDEX(Planos!$D$3:$D$27,16))</f>
        <v/>
      </c>
      <c r="G367" s="41" t="n">
        <f aca="false">IF($C367="",0,INDEX(Planos!$F$3:$F$27,16)+(5-1)*INDEX(Planos!$E$3:$E$27,16))</f>
        <v>0</v>
      </c>
      <c r="H367" s="40" t="str">
        <f aca="false">IF($C367="","",INDEX(Planos!$H$3:$H$27,16))</f>
        <v/>
      </c>
      <c r="I367" s="41" t="str">
        <f aca="false">IF($C367="","",IF(INDEX(Planos!$J$3:$AG$27,$A367,$B367)=0,"",INDEX(Planos!$J$3:$AG$27,$A367,$B367)))</f>
        <v/>
      </c>
      <c r="J367" s="26" t="str">
        <f aca="false">IF($C367="","",IF($I367&lt;&gt;"","Realizada",IF($G367&lt;INT(Parâmetros!$C$4),"Atrasada","Agendada")))</f>
        <v/>
      </c>
      <c r="K367" s="42" t="str">
        <f aca="false">IF($C367="","",IF($I367&lt;&gt;"",$I367-$G367,IF($J367="Atrasada",INT(Parâmetros!$C$4)-$G367,"")))</f>
        <v/>
      </c>
      <c r="L367" s="26" t="str">
        <f aca="false">IF($J367&lt;&gt;"Realizada","",IF($K367&lt;=0,"No prazo",IF($K367&lt;=7,"Até 7 dias",IF($K367&lt;=30,"Até 30 dias","Acima de 30"))))</f>
        <v/>
      </c>
      <c r="M367" s="26" t="str">
        <f aca="false">IF($C367="","",COUNTIFS($G$3:$G367,$G367))</f>
        <v/>
      </c>
      <c r="N367" s="26" t="str">
        <f aca="false">IF($C367="","",$G367&amp;"|"&amp;$M367)</f>
        <v/>
      </c>
    </row>
    <row r="368" customFormat="false" ht="18" hidden="false" customHeight="true" outlineLevel="0" collapsed="false">
      <c r="A368" s="26" t="n">
        <v>16</v>
      </c>
      <c r="B368" s="26" t="n">
        <v>6</v>
      </c>
      <c r="C368" s="26" t="str">
        <f aca="false">IF(INDEX(Planos!$B$3:$B$27,16)="","",IF(6&gt;INDEX(Planos!$G$3:$G$27,16),"",INDEX(Planos!$B$3:$B$27,16)))</f>
        <v/>
      </c>
      <c r="D368" s="40" t="str">
        <f aca="false">IF($C368="","",IFERROR(INDEX(Ativos!$B$3:$B$42,MATCH($C368,Ativos!$A$3:$A$42,0)),""))</f>
        <v/>
      </c>
      <c r="E368" s="40" t="str">
        <f aca="false">IF($C368="","",INDEX(Planos!$C$3:$C$27,16))</f>
        <v/>
      </c>
      <c r="F368" s="40" t="str">
        <f aca="false">IF($C368="","",INDEX(Planos!$D$3:$D$27,16))</f>
        <v/>
      </c>
      <c r="G368" s="41" t="n">
        <f aca="false">IF($C368="",0,INDEX(Planos!$F$3:$F$27,16)+(6-1)*INDEX(Planos!$E$3:$E$27,16))</f>
        <v>0</v>
      </c>
      <c r="H368" s="40" t="str">
        <f aca="false">IF($C368="","",INDEX(Planos!$H$3:$H$27,16))</f>
        <v/>
      </c>
      <c r="I368" s="41" t="str">
        <f aca="false">IF($C368="","",IF(INDEX(Planos!$J$3:$AG$27,$A368,$B368)=0,"",INDEX(Planos!$J$3:$AG$27,$A368,$B368)))</f>
        <v/>
      </c>
      <c r="J368" s="26" t="str">
        <f aca="false">IF($C368="","",IF($I368&lt;&gt;"","Realizada",IF($G368&lt;INT(Parâmetros!$C$4),"Atrasada","Agendada")))</f>
        <v/>
      </c>
      <c r="K368" s="42" t="str">
        <f aca="false">IF($C368="","",IF($I368&lt;&gt;"",$I368-$G368,IF($J368="Atrasada",INT(Parâmetros!$C$4)-$G368,"")))</f>
        <v/>
      </c>
      <c r="L368" s="26" t="str">
        <f aca="false">IF($J368&lt;&gt;"Realizada","",IF($K368&lt;=0,"No prazo",IF($K368&lt;=7,"Até 7 dias",IF($K368&lt;=30,"Até 30 dias","Acima de 30"))))</f>
        <v/>
      </c>
      <c r="M368" s="26" t="str">
        <f aca="false">IF($C368="","",COUNTIFS($G$3:$G368,$G368))</f>
        <v/>
      </c>
      <c r="N368" s="26" t="str">
        <f aca="false">IF($C368="","",$G368&amp;"|"&amp;$M368)</f>
        <v/>
      </c>
    </row>
    <row r="369" customFormat="false" ht="18" hidden="false" customHeight="true" outlineLevel="0" collapsed="false">
      <c r="A369" s="26" t="n">
        <v>16</v>
      </c>
      <c r="B369" s="26" t="n">
        <v>7</v>
      </c>
      <c r="C369" s="26" t="str">
        <f aca="false">IF(INDEX(Planos!$B$3:$B$27,16)="","",IF(7&gt;INDEX(Planos!$G$3:$G$27,16),"",INDEX(Planos!$B$3:$B$27,16)))</f>
        <v/>
      </c>
      <c r="D369" s="40" t="str">
        <f aca="false">IF($C369="","",IFERROR(INDEX(Ativos!$B$3:$B$42,MATCH($C369,Ativos!$A$3:$A$42,0)),""))</f>
        <v/>
      </c>
      <c r="E369" s="40" t="str">
        <f aca="false">IF($C369="","",INDEX(Planos!$C$3:$C$27,16))</f>
        <v/>
      </c>
      <c r="F369" s="40" t="str">
        <f aca="false">IF($C369="","",INDEX(Planos!$D$3:$D$27,16))</f>
        <v/>
      </c>
      <c r="G369" s="41" t="n">
        <f aca="false">IF($C369="",0,INDEX(Planos!$F$3:$F$27,16)+(7-1)*INDEX(Planos!$E$3:$E$27,16))</f>
        <v>0</v>
      </c>
      <c r="H369" s="40" t="str">
        <f aca="false">IF($C369="","",INDEX(Planos!$H$3:$H$27,16))</f>
        <v/>
      </c>
      <c r="I369" s="41" t="str">
        <f aca="false">IF($C369="","",IF(INDEX(Planos!$J$3:$AG$27,$A369,$B369)=0,"",INDEX(Planos!$J$3:$AG$27,$A369,$B369)))</f>
        <v/>
      </c>
      <c r="J369" s="26" t="str">
        <f aca="false">IF($C369="","",IF($I369&lt;&gt;"","Realizada",IF($G369&lt;INT(Parâmetros!$C$4),"Atrasada","Agendada")))</f>
        <v/>
      </c>
      <c r="K369" s="42" t="str">
        <f aca="false">IF($C369="","",IF($I369&lt;&gt;"",$I369-$G369,IF($J369="Atrasada",INT(Parâmetros!$C$4)-$G369,"")))</f>
        <v/>
      </c>
      <c r="L369" s="26" t="str">
        <f aca="false">IF($J369&lt;&gt;"Realizada","",IF($K369&lt;=0,"No prazo",IF($K369&lt;=7,"Até 7 dias",IF($K369&lt;=30,"Até 30 dias","Acima de 30"))))</f>
        <v/>
      </c>
      <c r="M369" s="26" t="str">
        <f aca="false">IF($C369="","",COUNTIFS($G$3:$G369,$G369))</f>
        <v/>
      </c>
      <c r="N369" s="26" t="str">
        <f aca="false">IF($C369="","",$G369&amp;"|"&amp;$M369)</f>
        <v/>
      </c>
    </row>
    <row r="370" customFormat="false" ht="18" hidden="false" customHeight="true" outlineLevel="0" collapsed="false">
      <c r="A370" s="26" t="n">
        <v>16</v>
      </c>
      <c r="B370" s="26" t="n">
        <v>8</v>
      </c>
      <c r="C370" s="26" t="str">
        <f aca="false">IF(INDEX(Planos!$B$3:$B$27,16)="","",IF(8&gt;INDEX(Planos!$G$3:$G$27,16),"",INDEX(Planos!$B$3:$B$27,16)))</f>
        <v/>
      </c>
      <c r="D370" s="40" t="str">
        <f aca="false">IF($C370="","",IFERROR(INDEX(Ativos!$B$3:$B$42,MATCH($C370,Ativos!$A$3:$A$42,0)),""))</f>
        <v/>
      </c>
      <c r="E370" s="40" t="str">
        <f aca="false">IF($C370="","",INDEX(Planos!$C$3:$C$27,16))</f>
        <v/>
      </c>
      <c r="F370" s="40" t="str">
        <f aca="false">IF($C370="","",INDEX(Planos!$D$3:$D$27,16))</f>
        <v/>
      </c>
      <c r="G370" s="41" t="n">
        <f aca="false">IF($C370="",0,INDEX(Planos!$F$3:$F$27,16)+(8-1)*INDEX(Planos!$E$3:$E$27,16))</f>
        <v>0</v>
      </c>
      <c r="H370" s="40" t="str">
        <f aca="false">IF($C370="","",INDEX(Planos!$H$3:$H$27,16))</f>
        <v/>
      </c>
      <c r="I370" s="41" t="str">
        <f aca="false">IF($C370="","",IF(INDEX(Planos!$J$3:$AG$27,$A370,$B370)=0,"",INDEX(Planos!$J$3:$AG$27,$A370,$B370)))</f>
        <v/>
      </c>
      <c r="J370" s="26" t="str">
        <f aca="false">IF($C370="","",IF($I370&lt;&gt;"","Realizada",IF($G370&lt;INT(Parâmetros!$C$4),"Atrasada","Agendada")))</f>
        <v/>
      </c>
      <c r="K370" s="42" t="str">
        <f aca="false">IF($C370="","",IF($I370&lt;&gt;"",$I370-$G370,IF($J370="Atrasada",INT(Parâmetros!$C$4)-$G370,"")))</f>
        <v/>
      </c>
      <c r="L370" s="26" t="str">
        <f aca="false">IF($J370&lt;&gt;"Realizada","",IF($K370&lt;=0,"No prazo",IF($K370&lt;=7,"Até 7 dias",IF($K370&lt;=30,"Até 30 dias","Acima de 30"))))</f>
        <v/>
      </c>
      <c r="M370" s="26" t="str">
        <f aca="false">IF($C370="","",COUNTIFS($G$3:$G370,$G370))</f>
        <v/>
      </c>
      <c r="N370" s="26" t="str">
        <f aca="false">IF($C370="","",$G370&amp;"|"&amp;$M370)</f>
        <v/>
      </c>
    </row>
    <row r="371" customFormat="false" ht="18" hidden="false" customHeight="true" outlineLevel="0" collapsed="false">
      <c r="A371" s="26" t="n">
        <v>16</v>
      </c>
      <c r="B371" s="26" t="n">
        <v>9</v>
      </c>
      <c r="C371" s="26" t="str">
        <f aca="false">IF(INDEX(Planos!$B$3:$B$27,16)="","",IF(9&gt;INDEX(Planos!$G$3:$G$27,16),"",INDEX(Planos!$B$3:$B$27,16)))</f>
        <v/>
      </c>
      <c r="D371" s="40" t="str">
        <f aca="false">IF($C371="","",IFERROR(INDEX(Ativos!$B$3:$B$42,MATCH($C371,Ativos!$A$3:$A$42,0)),""))</f>
        <v/>
      </c>
      <c r="E371" s="40" t="str">
        <f aca="false">IF($C371="","",INDEX(Planos!$C$3:$C$27,16))</f>
        <v/>
      </c>
      <c r="F371" s="40" t="str">
        <f aca="false">IF($C371="","",INDEX(Planos!$D$3:$D$27,16))</f>
        <v/>
      </c>
      <c r="G371" s="41" t="n">
        <f aca="false">IF($C371="",0,INDEX(Planos!$F$3:$F$27,16)+(9-1)*INDEX(Planos!$E$3:$E$27,16))</f>
        <v>0</v>
      </c>
      <c r="H371" s="40" t="str">
        <f aca="false">IF($C371="","",INDEX(Planos!$H$3:$H$27,16))</f>
        <v/>
      </c>
      <c r="I371" s="41" t="str">
        <f aca="false">IF($C371="","",IF(INDEX(Planos!$J$3:$AG$27,$A371,$B371)=0,"",INDEX(Planos!$J$3:$AG$27,$A371,$B371)))</f>
        <v/>
      </c>
      <c r="J371" s="26" t="str">
        <f aca="false">IF($C371="","",IF($I371&lt;&gt;"","Realizada",IF($G371&lt;INT(Parâmetros!$C$4),"Atrasada","Agendada")))</f>
        <v/>
      </c>
      <c r="K371" s="42" t="str">
        <f aca="false">IF($C371="","",IF($I371&lt;&gt;"",$I371-$G371,IF($J371="Atrasada",INT(Parâmetros!$C$4)-$G371,"")))</f>
        <v/>
      </c>
      <c r="L371" s="26" t="str">
        <f aca="false">IF($J371&lt;&gt;"Realizada","",IF($K371&lt;=0,"No prazo",IF($K371&lt;=7,"Até 7 dias",IF($K371&lt;=30,"Até 30 dias","Acima de 30"))))</f>
        <v/>
      </c>
      <c r="M371" s="26" t="str">
        <f aca="false">IF($C371="","",COUNTIFS($G$3:$G371,$G371))</f>
        <v/>
      </c>
      <c r="N371" s="26" t="str">
        <f aca="false">IF($C371="","",$G371&amp;"|"&amp;$M371)</f>
        <v/>
      </c>
    </row>
    <row r="372" customFormat="false" ht="18" hidden="false" customHeight="true" outlineLevel="0" collapsed="false">
      <c r="A372" s="26" t="n">
        <v>16</v>
      </c>
      <c r="B372" s="26" t="n">
        <v>10</v>
      </c>
      <c r="C372" s="26" t="str">
        <f aca="false">IF(INDEX(Planos!$B$3:$B$27,16)="","",IF(10&gt;INDEX(Planos!$G$3:$G$27,16),"",INDEX(Planos!$B$3:$B$27,16)))</f>
        <v/>
      </c>
      <c r="D372" s="40" t="str">
        <f aca="false">IF($C372="","",IFERROR(INDEX(Ativos!$B$3:$B$42,MATCH($C372,Ativos!$A$3:$A$42,0)),""))</f>
        <v/>
      </c>
      <c r="E372" s="40" t="str">
        <f aca="false">IF($C372="","",INDEX(Planos!$C$3:$C$27,16))</f>
        <v/>
      </c>
      <c r="F372" s="40" t="str">
        <f aca="false">IF($C372="","",INDEX(Planos!$D$3:$D$27,16))</f>
        <v/>
      </c>
      <c r="G372" s="41" t="n">
        <f aca="false">IF($C372="",0,INDEX(Planos!$F$3:$F$27,16)+(10-1)*INDEX(Planos!$E$3:$E$27,16))</f>
        <v>0</v>
      </c>
      <c r="H372" s="40" t="str">
        <f aca="false">IF($C372="","",INDEX(Planos!$H$3:$H$27,16))</f>
        <v/>
      </c>
      <c r="I372" s="41" t="str">
        <f aca="false">IF($C372="","",IF(INDEX(Planos!$J$3:$AG$27,$A372,$B372)=0,"",INDEX(Planos!$J$3:$AG$27,$A372,$B372)))</f>
        <v/>
      </c>
      <c r="J372" s="26" t="str">
        <f aca="false">IF($C372="","",IF($I372&lt;&gt;"","Realizada",IF($G372&lt;INT(Parâmetros!$C$4),"Atrasada","Agendada")))</f>
        <v/>
      </c>
      <c r="K372" s="42" t="str">
        <f aca="false">IF($C372="","",IF($I372&lt;&gt;"",$I372-$G372,IF($J372="Atrasada",INT(Parâmetros!$C$4)-$G372,"")))</f>
        <v/>
      </c>
      <c r="L372" s="26" t="str">
        <f aca="false">IF($J372&lt;&gt;"Realizada","",IF($K372&lt;=0,"No prazo",IF($K372&lt;=7,"Até 7 dias",IF($K372&lt;=30,"Até 30 dias","Acima de 30"))))</f>
        <v/>
      </c>
      <c r="M372" s="26" t="str">
        <f aca="false">IF($C372="","",COUNTIFS($G$3:$G372,$G372))</f>
        <v/>
      </c>
      <c r="N372" s="26" t="str">
        <f aca="false">IF($C372="","",$G372&amp;"|"&amp;$M372)</f>
        <v/>
      </c>
    </row>
    <row r="373" customFormat="false" ht="18" hidden="false" customHeight="true" outlineLevel="0" collapsed="false">
      <c r="A373" s="26" t="n">
        <v>16</v>
      </c>
      <c r="B373" s="26" t="n">
        <v>11</v>
      </c>
      <c r="C373" s="26" t="str">
        <f aca="false">IF(INDEX(Planos!$B$3:$B$27,16)="","",IF(11&gt;INDEX(Planos!$G$3:$G$27,16),"",INDEX(Planos!$B$3:$B$27,16)))</f>
        <v/>
      </c>
      <c r="D373" s="40" t="str">
        <f aca="false">IF($C373="","",IFERROR(INDEX(Ativos!$B$3:$B$42,MATCH($C373,Ativos!$A$3:$A$42,0)),""))</f>
        <v/>
      </c>
      <c r="E373" s="40" t="str">
        <f aca="false">IF($C373="","",INDEX(Planos!$C$3:$C$27,16))</f>
        <v/>
      </c>
      <c r="F373" s="40" t="str">
        <f aca="false">IF($C373="","",INDEX(Planos!$D$3:$D$27,16))</f>
        <v/>
      </c>
      <c r="G373" s="41" t="n">
        <f aca="false">IF($C373="",0,INDEX(Planos!$F$3:$F$27,16)+(11-1)*INDEX(Planos!$E$3:$E$27,16))</f>
        <v>0</v>
      </c>
      <c r="H373" s="40" t="str">
        <f aca="false">IF($C373="","",INDEX(Planos!$H$3:$H$27,16))</f>
        <v/>
      </c>
      <c r="I373" s="41" t="str">
        <f aca="false">IF($C373="","",IF(INDEX(Planos!$J$3:$AG$27,$A373,$B373)=0,"",INDEX(Planos!$J$3:$AG$27,$A373,$B373)))</f>
        <v/>
      </c>
      <c r="J373" s="26" t="str">
        <f aca="false">IF($C373="","",IF($I373&lt;&gt;"","Realizada",IF($G373&lt;INT(Parâmetros!$C$4),"Atrasada","Agendada")))</f>
        <v/>
      </c>
      <c r="K373" s="42" t="str">
        <f aca="false">IF($C373="","",IF($I373&lt;&gt;"",$I373-$G373,IF($J373="Atrasada",INT(Parâmetros!$C$4)-$G373,"")))</f>
        <v/>
      </c>
      <c r="L373" s="26" t="str">
        <f aca="false">IF($J373&lt;&gt;"Realizada","",IF($K373&lt;=0,"No prazo",IF($K373&lt;=7,"Até 7 dias",IF($K373&lt;=30,"Até 30 dias","Acima de 30"))))</f>
        <v/>
      </c>
      <c r="M373" s="26" t="str">
        <f aca="false">IF($C373="","",COUNTIFS($G$3:$G373,$G373))</f>
        <v/>
      </c>
      <c r="N373" s="26" t="str">
        <f aca="false">IF($C373="","",$G373&amp;"|"&amp;$M373)</f>
        <v/>
      </c>
    </row>
    <row r="374" customFormat="false" ht="18" hidden="false" customHeight="true" outlineLevel="0" collapsed="false">
      <c r="A374" s="26" t="n">
        <v>16</v>
      </c>
      <c r="B374" s="26" t="n">
        <v>12</v>
      </c>
      <c r="C374" s="26" t="str">
        <f aca="false">IF(INDEX(Planos!$B$3:$B$27,16)="","",IF(12&gt;INDEX(Planos!$G$3:$G$27,16),"",INDEX(Planos!$B$3:$B$27,16)))</f>
        <v/>
      </c>
      <c r="D374" s="40" t="str">
        <f aca="false">IF($C374="","",IFERROR(INDEX(Ativos!$B$3:$B$42,MATCH($C374,Ativos!$A$3:$A$42,0)),""))</f>
        <v/>
      </c>
      <c r="E374" s="40" t="str">
        <f aca="false">IF($C374="","",INDEX(Planos!$C$3:$C$27,16))</f>
        <v/>
      </c>
      <c r="F374" s="40" t="str">
        <f aca="false">IF($C374="","",INDEX(Planos!$D$3:$D$27,16))</f>
        <v/>
      </c>
      <c r="G374" s="41" t="n">
        <f aca="false">IF($C374="",0,INDEX(Planos!$F$3:$F$27,16)+(12-1)*INDEX(Planos!$E$3:$E$27,16))</f>
        <v>0</v>
      </c>
      <c r="H374" s="40" t="str">
        <f aca="false">IF($C374="","",INDEX(Planos!$H$3:$H$27,16))</f>
        <v/>
      </c>
      <c r="I374" s="41" t="str">
        <f aca="false">IF($C374="","",IF(INDEX(Planos!$J$3:$AG$27,$A374,$B374)=0,"",INDEX(Planos!$J$3:$AG$27,$A374,$B374)))</f>
        <v/>
      </c>
      <c r="J374" s="26" t="str">
        <f aca="false">IF($C374="","",IF($I374&lt;&gt;"","Realizada",IF($G374&lt;INT(Parâmetros!$C$4),"Atrasada","Agendada")))</f>
        <v/>
      </c>
      <c r="K374" s="42" t="str">
        <f aca="false">IF($C374="","",IF($I374&lt;&gt;"",$I374-$G374,IF($J374="Atrasada",INT(Parâmetros!$C$4)-$G374,"")))</f>
        <v/>
      </c>
      <c r="L374" s="26" t="str">
        <f aca="false">IF($J374&lt;&gt;"Realizada","",IF($K374&lt;=0,"No prazo",IF($K374&lt;=7,"Até 7 dias",IF($K374&lt;=30,"Até 30 dias","Acima de 30"))))</f>
        <v/>
      </c>
      <c r="M374" s="26" t="str">
        <f aca="false">IF($C374="","",COUNTIFS($G$3:$G374,$G374))</f>
        <v/>
      </c>
      <c r="N374" s="26" t="str">
        <f aca="false">IF($C374="","",$G374&amp;"|"&amp;$M374)</f>
        <v/>
      </c>
    </row>
    <row r="375" customFormat="false" ht="18" hidden="false" customHeight="true" outlineLevel="0" collapsed="false">
      <c r="A375" s="26" t="n">
        <v>16</v>
      </c>
      <c r="B375" s="26" t="n">
        <v>13</v>
      </c>
      <c r="C375" s="26" t="str">
        <f aca="false">IF(INDEX(Planos!$B$3:$B$27,16)="","",IF(13&gt;INDEX(Planos!$G$3:$G$27,16),"",INDEX(Planos!$B$3:$B$27,16)))</f>
        <v/>
      </c>
      <c r="D375" s="40" t="str">
        <f aca="false">IF($C375="","",IFERROR(INDEX(Ativos!$B$3:$B$42,MATCH($C375,Ativos!$A$3:$A$42,0)),""))</f>
        <v/>
      </c>
      <c r="E375" s="40" t="str">
        <f aca="false">IF($C375="","",INDEX(Planos!$C$3:$C$27,16))</f>
        <v/>
      </c>
      <c r="F375" s="40" t="str">
        <f aca="false">IF($C375="","",INDEX(Planos!$D$3:$D$27,16))</f>
        <v/>
      </c>
      <c r="G375" s="41" t="n">
        <f aca="false">IF($C375="",0,INDEX(Planos!$F$3:$F$27,16)+(13-1)*INDEX(Planos!$E$3:$E$27,16))</f>
        <v>0</v>
      </c>
      <c r="H375" s="40" t="str">
        <f aca="false">IF($C375="","",INDEX(Planos!$H$3:$H$27,16))</f>
        <v/>
      </c>
      <c r="I375" s="41" t="str">
        <f aca="false">IF($C375="","",IF(INDEX(Planos!$J$3:$AG$27,$A375,$B375)=0,"",INDEX(Planos!$J$3:$AG$27,$A375,$B375)))</f>
        <v/>
      </c>
      <c r="J375" s="26" t="str">
        <f aca="false">IF($C375="","",IF($I375&lt;&gt;"","Realizada",IF($G375&lt;INT(Parâmetros!$C$4),"Atrasada","Agendada")))</f>
        <v/>
      </c>
      <c r="K375" s="42" t="str">
        <f aca="false">IF($C375="","",IF($I375&lt;&gt;"",$I375-$G375,IF($J375="Atrasada",INT(Parâmetros!$C$4)-$G375,"")))</f>
        <v/>
      </c>
      <c r="L375" s="26" t="str">
        <f aca="false">IF($J375&lt;&gt;"Realizada","",IF($K375&lt;=0,"No prazo",IF($K375&lt;=7,"Até 7 dias",IF($K375&lt;=30,"Até 30 dias","Acima de 30"))))</f>
        <v/>
      </c>
      <c r="M375" s="26" t="str">
        <f aca="false">IF($C375="","",COUNTIFS($G$3:$G375,$G375))</f>
        <v/>
      </c>
      <c r="N375" s="26" t="str">
        <f aca="false">IF($C375="","",$G375&amp;"|"&amp;$M375)</f>
        <v/>
      </c>
    </row>
    <row r="376" customFormat="false" ht="18" hidden="false" customHeight="true" outlineLevel="0" collapsed="false">
      <c r="A376" s="26" t="n">
        <v>16</v>
      </c>
      <c r="B376" s="26" t="n">
        <v>14</v>
      </c>
      <c r="C376" s="26" t="str">
        <f aca="false">IF(INDEX(Planos!$B$3:$B$27,16)="","",IF(14&gt;INDEX(Planos!$G$3:$G$27,16),"",INDEX(Planos!$B$3:$B$27,16)))</f>
        <v/>
      </c>
      <c r="D376" s="40" t="str">
        <f aca="false">IF($C376="","",IFERROR(INDEX(Ativos!$B$3:$B$42,MATCH($C376,Ativos!$A$3:$A$42,0)),""))</f>
        <v/>
      </c>
      <c r="E376" s="40" t="str">
        <f aca="false">IF($C376="","",INDEX(Planos!$C$3:$C$27,16))</f>
        <v/>
      </c>
      <c r="F376" s="40" t="str">
        <f aca="false">IF($C376="","",INDEX(Planos!$D$3:$D$27,16))</f>
        <v/>
      </c>
      <c r="G376" s="41" t="n">
        <f aca="false">IF($C376="",0,INDEX(Planos!$F$3:$F$27,16)+(14-1)*INDEX(Planos!$E$3:$E$27,16))</f>
        <v>0</v>
      </c>
      <c r="H376" s="40" t="str">
        <f aca="false">IF($C376="","",INDEX(Planos!$H$3:$H$27,16))</f>
        <v/>
      </c>
      <c r="I376" s="41" t="str">
        <f aca="false">IF($C376="","",IF(INDEX(Planos!$J$3:$AG$27,$A376,$B376)=0,"",INDEX(Planos!$J$3:$AG$27,$A376,$B376)))</f>
        <v/>
      </c>
      <c r="J376" s="26" t="str">
        <f aca="false">IF($C376="","",IF($I376&lt;&gt;"","Realizada",IF($G376&lt;INT(Parâmetros!$C$4),"Atrasada","Agendada")))</f>
        <v/>
      </c>
      <c r="K376" s="42" t="str">
        <f aca="false">IF($C376="","",IF($I376&lt;&gt;"",$I376-$G376,IF($J376="Atrasada",INT(Parâmetros!$C$4)-$G376,"")))</f>
        <v/>
      </c>
      <c r="L376" s="26" t="str">
        <f aca="false">IF($J376&lt;&gt;"Realizada","",IF($K376&lt;=0,"No prazo",IF($K376&lt;=7,"Até 7 dias",IF($K376&lt;=30,"Até 30 dias","Acima de 30"))))</f>
        <v/>
      </c>
      <c r="M376" s="26" t="str">
        <f aca="false">IF($C376="","",COUNTIFS($G$3:$G376,$G376))</f>
        <v/>
      </c>
      <c r="N376" s="26" t="str">
        <f aca="false">IF($C376="","",$G376&amp;"|"&amp;$M376)</f>
        <v/>
      </c>
    </row>
    <row r="377" customFormat="false" ht="18" hidden="false" customHeight="true" outlineLevel="0" collapsed="false">
      <c r="A377" s="26" t="n">
        <v>16</v>
      </c>
      <c r="B377" s="26" t="n">
        <v>15</v>
      </c>
      <c r="C377" s="26" t="str">
        <f aca="false">IF(INDEX(Planos!$B$3:$B$27,16)="","",IF(15&gt;INDEX(Planos!$G$3:$G$27,16),"",INDEX(Planos!$B$3:$B$27,16)))</f>
        <v/>
      </c>
      <c r="D377" s="40" t="str">
        <f aca="false">IF($C377="","",IFERROR(INDEX(Ativos!$B$3:$B$42,MATCH($C377,Ativos!$A$3:$A$42,0)),""))</f>
        <v/>
      </c>
      <c r="E377" s="40" t="str">
        <f aca="false">IF($C377="","",INDEX(Planos!$C$3:$C$27,16))</f>
        <v/>
      </c>
      <c r="F377" s="40" t="str">
        <f aca="false">IF($C377="","",INDEX(Planos!$D$3:$D$27,16))</f>
        <v/>
      </c>
      <c r="G377" s="41" t="n">
        <f aca="false">IF($C377="",0,INDEX(Planos!$F$3:$F$27,16)+(15-1)*INDEX(Planos!$E$3:$E$27,16))</f>
        <v>0</v>
      </c>
      <c r="H377" s="40" t="str">
        <f aca="false">IF($C377="","",INDEX(Planos!$H$3:$H$27,16))</f>
        <v/>
      </c>
      <c r="I377" s="41" t="str">
        <f aca="false">IF($C377="","",IF(INDEX(Planos!$J$3:$AG$27,$A377,$B377)=0,"",INDEX(Planos!$J$3:$AG$27,$A377,$B377)))</f>
        <v/>
      </c>
      <c r="J377" s="26" t="str">
        <f aca="false">IF($C377="","",IF($I377&lt;&gt;"","Realizada",IF($G377&lt;INT(Parâmetros!$C$4),"Atrasada","Agendada")))</f>
        <v/>
      </c>
      <c r="K377" s="42" t="str">
        <f aca="false">IF($C377="","",IF($I377&lt;&gt;"",$I377-$G377,IF($J377="Atrasada",INT(Parâmetros!$C$4)-$G377,"")))</f>
        <v/>
      </c>
      <c r="L377" s="26" t="str">
        <f aca="false">IF($J377&lt;&gt;"Realizada","",IF($K377&lt;=0,"No prazo",IF($K377&lt;=7,"Até 7 dias",IF($K377&lt;=30,"Até 30 dias","Acima de 30"))))</f>
        <v/>
      </c>
      <c r="M377" s="26" t="str">
        <f aca="false">IF($C377="","",COUNTIFS($G$3:$G377,$G377))</f>
        <v/>
      </c>
      <c r="N377" s="26" t="str">
        <f aca="false">IF($C377="","",$G377&amp;"|"&amp;$M377)</f>
        <v/>
      </c>
    </row>
    <row r="378" customFormat="false" ht="18" hidden="false" customHeight="true" outlineLevel="0" collapsed="false">
      <c r="A378" s="26" t="n">
        <v>16</v>
      </c>
      <c r="B378" s="26" t="n">
        <v>16</v>
      </c>
      <c r="C378" s="26" t="str">
        <f aca="false">IF(INDEX(Planos!$B$3:$B$27,16)="","",IF(16&gt;INDEX(Planos!$G$3:$G$27,16),"",INDEX(Planos!$B$3:$B$27,16)))</f>
        <v/>
      </c>
      <c r="D378" s="40" t="str">
        <f aca="false">IF($C378="","",IFERROR(INDEX(Ativos!$B$3:$B$42,MATCH($C378,Ativos!$A$3:$A$42,0)),""))</f>
        <v/>
      </c>
      <c r="E378" s="40" t="str">
        <f aca="false">IF($C378="","",INDEX(Planos!$C$3:$C$27,16))</f>
        <v/>
      </c>
      <c r="F378" s="40" t="str">
        <f aca="false">IF($C378="","",INDEX(Planos!$D$3:$D$27,16))</f>
        <v/>
      </c>
      <c r="G378" s="41" t="n">
        <f aca="false">IF($C378="",0,INDEX(Planos!$F$3:$F$27,16)+(16-1)*INDEX(Planos!$E$3:$E$27,16))</f>
        <v>0</v>
      </c>
      <c r="H378" s="40" t="str">
        <f aca="false">IF($C378="","",INDEX(Planos!$H$3:$H$27,16))</f>
        <v/>
      </c>
      <c r="I378" s="41" t="str">
        <f aca="false">IF($C378="","",IF(INDEX(Planos!$J$3:$AG$27,$A378,$B378)=0,"",INDEX(Planos!$J$3:$AG$27,$A378,$B378)))</f>
        <v/>
      </c>
      <c r="J378" s="26" t="str">
        <f aca="false">IF($C378="","",IF($I378&lt;&gt;"","Realizada",IF($G378&lt;INT(Parâmetros!$C$4),"Atrasada","Agendada")))</f>
        <v/>
      </c>
      <c r="K378" s="42" t="str">
        <f aca="false">IF($C378="","",IF($I378&lt;&gt;"",$I378-$G378,IF($J378="Atrasada",INT(Parâmetros!$C$4)-$G378,"")))</f>
        <v/>
      </c>
      <c r="L378" s="26" t="str">
        <f aca="false">IF($J378&lt;&gt;"Realizada","",IF($K378&lt;=0,"No prazo",IF($K378&lt;=7,"Até 7 dias",IF($K378&lt;=30,"Até 30 dias","Acima de 30"))))</f>
        <v/>
      </c>
      <c r="M378" s="26" t="str">
        <f aca="false">IF($C378="","",COUNTIFS($G$3:$G378,$G378))</f>
        <v/>
      </c>
      <c r="N378" s="26" t="str">
        <f aca="false">IF($C378="","",$G378&amp;"|"&amp;$M378)</f>
        <v/>
      </c>
    </row>
    <row r="379" customFormat="false" ht="18" hidden="false" customHeight="true" outlineLevel="0" collapsed="false">
      <c r="A379" s="26" t="n">
        <v>16</v>
      </c>
      <c r="B379" s="26" t="n">
        <v>17</v>
      </c>
      <c r="C379" s="26" t="str">
        <f aca="false">IF(INDEX(Planos!$B$3:$B$27,16)="","",IF(17&gt;INDEX(Planos!$G$3:$G$27,16),"",INDEX(Planos!$B$3:$B$27,16)))</f>
        <v/>
      </c>
      <c r="D379" s="40" t="str">
        <f aca="false">IF($C379="","",IFERROR(INDEX(Ativos!$B$3:$B$42,MATCH($C379,Ativos!$A$3:$A$42,0)),""))</f>
        <v/>
      </c>
      <c r="E379" s="40" t="str">
        <f aca="false">IF($C379="","",INDEX(Planos!$C$3:$C$27,16))</f>
        <v/>
      </c>
      <c r="F379" s="40" t="str">
        <f aca="false">IF($C379="","",INDEX(Planos!$D$3:$D$27,16))</f>
        <v/>
      </c>
      <c r="G379" s="41" t="n">
        <f aca="false">IF($C379="",0,INDEX(Planos!$F$3:$F$27,16)+(17-1)*INDEX(Planos!$E$3:$E$27,16))</f>
        <v>0</v>
      </c>
      <c r="H379" s="40" t="str">
        <f aca="false">IF($C379="","",INDEX(Planos!$H$3:$H$27,16))</f>
        <v/>
      </c>
      <c r="I379" s="41" t="str">
        <f aca="false">IF($C379="","",IF(INDEX(Planos!$J$3:$AG$27,$A379,$B379)=0,"",INDEX(Planos!$J$3:$AG$27,$A379,$B379)))</f>
        <v/>
      </c>
      <c r="J379" s="26" t="str">
        <f aca="false">IF($C379="","",IF($I379&lt;&gt;"","Realizada",IF($G379&lt;INT(Parâmetros!$C$4),"Atrasada","Agendada")))</f>
        <v/>
      </c>
      <c r="K379" s="42" t="str">
        <f aca="false">IF($C379="","",IF($I379&lt;&gt;"",$I379-$G379,IF($J379="Atrasada",INT(Parâmetros!$C$4)-$G379,"")))</f>
        <v/>
      </c>
      <c r="L379" s="26" t="str">
        <f aca="false">IF($J379&lt;&gt;"Realizada","",IF($K379&lt;=0,"No prazo",IF($K379&lt;=7,"Até 7 dias",IF($K379&lt;=30,"Até 30 dias","Acima de 30"))))</f>
        <v/>
      </c>
      <c r="M379" s="26" t="str">
        <f aca="false">IF($C379="","",COUNTIFS($G$3:$G379,$G379))</f>
        <v/>
      </c>
      <c r="N379" s="26" t="str">
        <f aca="false">IF($C379="","",$G379&amp;"|"&amp;$M379)</f>
        <v/>
      </c>
    </row>
    <row r="380" customFormat="false" ht="18" hidden="false" customHeight="true" outlineLevel="0" collapsed="false">
      <c r="A380" s="26" t="n">
        <v>16</v>
      </c>
      <c r="B380" s="26" t="n">
        <v>18</v>
      </c>
      <c r="C380" s="26" t="str">
        <f aca="false">IF(INDEX(Planos!$B$3:$B$27,16)="","",IF(18&gt;INDEX(Planos!$G$3:$G$27,16),"",INDEX(Planos!$B$3:$B$27,16)))</f>
        <v/>
      </c>
      <c r="D380" s="40" t="str">
        <f aca="false">IF($C380="","",IFERROR(INDEX(Ativos!$B$3:$B$42,MATCH($C380,Ativos!$A$3:$A$42,0)),""))</f>
        <v/>
      </c>
      <c r="E380" s="40" t="str">
        <f aca="false">IF($C380="","",INDEX(Planos!$C$3:$C$27,16))</f>
        <v/>
      </c>
      <c r="F380" s="40" t="str">
        <f aca="false">IF($C380="","",INDEX(Planos!$D$3:$D$27,16))</f>
        <v/>
      </c>
      <c r="G380" s="41" t="n">
        <f aca="false">IF($C380="",0,INDEX(Planos!$F$3:$F$27,16)+(18-1)*INDEX(Planos!$E$3:$E$27,16))</f>
        <v>0</v>
      </c>
      <c r="H380" s="40" t="str">
        <f aca="false">IF($C380="","",INDEX(Planos!$H$3:$H$27,16))</f>
        <v/>
      </c>
      <c r="I380" s="41" t="str">
        <f aca="false">IF($C380="","",IF(INDEX(Planos!$J$3:$AG$27,$A380,$B380)=0,"",INDEX(Planos!$J$3:$AG$27,$A380,$B380)))</f>
        <v/>
      </c>
      <c r="J380" s="26" t="str">
        <f aca="false">IF($C380="","",IF($I380&lt;&gt;"","Realizada",IF($G380&lt;INT(Parâmetros!$C$4),"Atrasada","Agendada")))</f>
        <v/>
      </c>
      <c r="K380" s="42" t="str">
        <f aca="false">IF($C380="","",IF($I380&lt;&gt;"",$I380-$G380,IF($J380="Atrasada",INT(Parâmetros!$C$4)-$G380,"")))</f>
        <v/>
      </c>
      <c r="L380" s="26" t="str">
        <f aca="false">IF($J380&lt;&gt;"Realizada","",IF($K380&lt;=0,"No prazo",IF($K380&lt;=7,"Até 7 dias",IF($K380&lt;=30,"Até 30 dias","Acima de 30"))))</f>
        <v/>
      </c>
      <c r="M380" s="26" t="str">
        <f aca="false">IF($C380="","",COUNTIFS($G$3:$G380,$G380))</f>
        <v/>
      </c>
      <c r="N380" s="26" t="str">
        <f aca="false">IF($C380="","",$G380&amp;"|"&amp;$M380)</f>
        <v/>
      </c>
    </row>
    <row r="381" customFormat="false" ht="18" hidden="false" customHeight="true" outlineLevel="0" collapsed="false">
      <c r="A381" s="26" t="n">
        <v>16</v>
      </c>
      <c r="B381" s="26" t="n">
        <v>19</v>
      </c>
      <c r="C381" s="26" t="str">
        <f aca="false">IF(INDEX(Planos!$B$3:$B$27,16)="","",IF(19&gt;INDEX(Planos!$G$3:$G$27,16),"",INDEX(Planos!$B$3:$B$27,16)))</f>
        <v/>
      </c>
      <c r="D381" s="40" t="str">
        <f aca="false">IF($C381="","",IFERROR(INDEX(Ativos!$B$3:$B$42,MATCH($C381,Ativos!$A$3:$A$42,0)),""))</f>
        <v/>
      </c>
      <c r="E381" s="40" t="str">
        <f aca="false">IF($C381="","",INDEX(Planos!$C$3:$C$27,16))</f>
        <v/>
      </c>
      <c r="F381" s="40" t="str">
        <f aca="false">IF($C381="","",INDEX(Planos!$D$3:$D$27,16))</f>
        <v/>
      </c>
      <c r="G381" s="41" t="n">
        <f aca="false">IF($C381="",0,INDEX(Planos!$F$3:$F$27,16)+(19-1)*INDEX(Planos!$E$3:$E$27,16))</f>
        <v>0</v>
      </c>
      <c r="H381" s="40" t="str">
        <f aca="false">IF($C381="","",INDEX(Planos!$H$3:$H$27,16))</f>
        <v/>
      </c>
      <c r="I381" s="41" t="str">
        <f aca="false">IF($C381="","",IF(INDEX(Planos!$J$3:$AG$27,$A381,$B381)=0,"",INDEX(Planos!$J$3:$AG$27,$A381,$B381)))</f>
        <v/>
      </c>
      <c r="J381" s="26" t="str">
        <f aca="false">IF($C381="","",IF($I381&lt;&gt;"","Realizada",IF($G381&lt;INT(Parâmetros!$C$4),"Atrasada","Agendada")))</f>
        <v/>
      </c>
      <c r="K381" s="42" t="str">
        <f aca="false">IF($C381="","",IF($I381&lt;&gt;"",$I381-$G381,IF($J381="Atrasada",INT(Parâmetros!$C$4)-$G381,"")))</f>
        <v/>
      </c>
      <c r="L381" s="26" t="str">
        <f aca="false">IF($J381&lt;&gt;"Realizada","",IF($K381&lt;=0,"No prazo",IF($K381&lt;=7,"Até 7 dias",IF($K381&lt;=30,"Até 30 dias","Acima de 30"))))</f>
        <v/>
      </c>
      <c r="M381" s="26" t="str">
        <f aca="false">IF($C381="","",COUNTIFS($G$3:$G381,$G381))</f>
        <v/>
      </c>
      <c r="N381" s="26" t="str">
        <f aca="false">IF($C381="","",$G381&amp;"|"&amp;$M381)</f>
        <v/>
      </c>
    </row>
    <row r="382" customFormat="false" ht="18" hidden="false" customHeight="true" outlineLevel="0" collapsed="false">
      <c r="A382" s="26" t="n">
        <v>16</v>
      </c>
      <c r="B382" s="26" t="n">
        <v>20</v>
      </c>
      <c r="C382" s="26" t="str">
        <f aca="false">IF(INDEX(Planos!$B$3:$B$27,16)="","",IF(20&gt;INDEX(Planos!$G$3:$G$27,16),"",INDEX(Planos!$B$3:$B$27,16)))</f>
        <v/>
      </c>
      <c r="D382" s="40" t="str">
        <f aca="false">IF($C382="","",IFERROR(INDEX(Ativos!$B$3:$B$42,MATCH($C382,Ativos!$A$3:$A$42,0)),""))</f>
        <v/>
      </c>
      <c r="E382" s="40" t="str">
        <f aca="false">IF($C382="","",INDEX(Planos!$C$3:$C$27,16))</f>
        <v/>
      </c>
      <c r="F382" s="40" t="str">
        <f aca="false">IF($C382="","",INDEX(Planos!$D$3:$D$27,16))</f>
        <v/>
      </c>
      <c r="G382" s="41" t="n">
        <f aca="false">IF($C382="",0,INDEX(Planos!$F$3:$F$27,16)+(20-1)*INDEX(Planos!$E$3:$E$27,16))</f>
        <v>0</v>
      </c>
      <c r="H382" s="40" t="str">
        <f aca="false">IF($C382="","",INDEX(Planos!$H$3:$H$27,16))</f>
        <v/>
      </c>
      <c r="I382" s="41" t="str">
        <f aca="false">IF($C382="","",IF(INDEX(Planos!$J$3:$AG$27,$A382,$B382)=0,"",INDEX(Planos!$J$3:$AG$27,$A382,$B382)))</f>
        <v/>
      </c>
      <c r="J382" s="26" t="str">
        <f aca="false">IF($C382="","",IF($I382&lt;&gt;"","Realizada",IF($G382&lt;INT(Parâmetros!$C$4),"Atrasada","Agendada")))</f>
        <v/>
      </c>
      <c r="K382" s="42" t="str">
        <f aca="false">IF($C382="","",IF($I382&lt;&gt;"",$I382-$G382,IF($J382="Atrasada",INT(Parâmetros!$C$4)-$G382,"")))</f>
        <v/>
      </c>
      <c r="L382" s="26" t="str">
        <f aca="false">IF($J382&lt;&gt;"Realizada","",IF($K382&lt;=0,"No prazo",IF($K382&lt;=7,"Até 7 dias",IF($K382&lt;=30,"Até 30 dias","Acima de 30"))))</f>
        <v/>
      </c>
      <c r="M382" s="26" t="str">
        <f aca="false">IF($C382="","",COUNTIFS($G$3:$G382,$G382))</f>
        <v/>
      </c>
      <c r="N382" s="26" t="str">
        <f aca="false">IF($C382="","",$G382&amp;"|"&amp;$M382)</f>
        <v/>
      </c>
    </row>
    <row r="383" customFormat="false" ht="18" hidden="false" customHeight="true" outlineLevel="0" collapsed="false">
      <c r="A383" s="26" t="n">
        <v>16</v>
      </c>
      <c r="B383" s="26" t="n">
        <v>21</v>
      </c>
      <c r="C383" s="26" t="str">
        <f aca="false">IF(INDEX(Planos!$B$3:$B$27,16)="","",IF(21&gt;INDEX(Planos!$G$3:$G$27,16),"",INDEX(Planos!$B$3:$B$27,16)))</f>
        <v/>
      </c>
      <c r="D383" s="40" t="str">
        <f aca="false">IF($C383="","",IFERROR(INDEX(Ativos!$B$3:$B$42,MATCH($C383,Ativos!$A$3:$A$42,0)),""))</f>
        <v/>
      </c>
      <c r="E383" s="40" t="str">
        <f aca="false">IF($C383="","",INDEX(Planos!$C$3:$C$27,16))</f>
        <v/>
      </c>
      <c r="F383" s="40" t="str">
        <f aca="false">IF($C383="","",INDEX(Planos!$D$3:$D$27,16))</f>
        <v/>
      </c>
      <c r="G383" s="41" t="n">
        <f aca="false">IF($C383="",0,INDEX(Planos!$F$3:$F$27,16)+(21-1)*INDEX(Planos!$E$3:$E$27,16))</f>
        <v>0</v>
      </c>
      <c r="H383" s="40" t="str">
        <f aca="false">IF($C383="","",INDEX(Planos!$H$3:$H$27,16))</f>
        <v/>
      </c>
      <c r="I383" s="41" t="str">
        <f aca="false">IF($C383="","",IF(INDEX(Planos!$J$3:$AG$27,$A383,$B383)=0,"",INDEX(Planos!$J$3:$AG$27,$A383,$B383)))</f>
        <v/>
      </c>
      <c r="J383" s="26" t="str">
        <f aca="false">IF($C383="","",IF($I383&lt;&gt;"","Realizada",IF($G383&lt;INT(Parâmetros!$C$4),"Atrasada","Agendada")))</f>
        <v/>
      </c>
      <c r="K383" s="42" t="str">
        <f aca="false">IF($C383="","",IF($I383&lt;&gt;"",$I383-$G383,IF($J383="Atrasada",INT(Parâmetros!$C$4)-$G383,"")))</f>
        <v/>
      </c>
      <c r="L383" s="26" t="str">
        <f aca="false">IF($J383&lt;&gt;"Realizada","",IF($K383&lt;=0,"No prazo",IF($K383&lt;=7,"Até 7 dias",IF($K383&lt;=30,"Até 30 dias","Acima de 30"))))</f>
        <v/>
      </c>
      <c r="M383" s="26" t="str">
        <f aca="false">IF($C383="","",COUNTIFS($G$3:$G383,$G383))</f>
        <v/>
      </c>
      <c r="N383" s="26" t="str">
        <f aca="false">IF($C383="","",$G383&amp;"|"&amp;$M383)</f>
        <v/>
      </c>
    </row>
    <row r="384" customFormat="false" ht="18" hidden="false" customHeight="true" outlineLevel="0" collapsed="false">
      <c r="A384" s="26" t="n">
        <v>16</v>
      </c>
      <c r="B384" s="26" t="n">
        <v>22</v>
      </c>
      <c r="C384" s="26" t="str">
        <f aca="false">IF(INDEX(Planos!$B$3:$B$27,16)="","",IF(22&gt;INDEX(Planos!$G$3:$G$27,16),"",INDEX(Planos!$B$3:$B$27,16)))</f>
        <v/>
      </c>
      <c r="D384" s="40" t="str">
        <f aca="false">IF($C384="","",IFERROR(INDEX(Ativos!$B$3:$B$42,MATCH($C384,Ativos!$A$3:$A$42,0)),""))</f>
        <v/>
      </c>
      <c r="E384" s="40" t="str">
        <f aca="false">IF($C384="","",INDEX(Planos!$C$3:$C$27,16))</f>
        <v/>
      </c>
      <c r="F384" s="40" t="str">
        <f aca="false">IF($C384="","",INDEX(Planos!$D$3:$D$27,16))</f>
        <v/>
      </c>
      <c r="G384" s="41" t="n">
        <f aca="false">IF($C384="",0,INDEX(Planos!$F$3:$F$27,16)+(22-1)*INDEX(Planos!$E$3:$E$27,16))</f>
        <v>0</v>
      </c>
      <c r="H384" s="40" t="str">
        <f aca="false">IF($C384="","",INDEX(Planos!$H$3:$H$27,16))</f>
        <v/>
      </c>
      <c r="I384" s="41" t="str">
        <f aca="false">IF($C384="","",IF(INDEX(Planos!$J$3:$AG$27,$A384,$B384)=0,"",INDEX(Planos!$J$3:$AG$27,$A384,$B384)))</f>
        <v/>
      </c>
      <c r="J384" s="26" t="str">
        <f aca="false">IF($C384="","",IF($I384&lt;&gt;"","Realizada",IF($G384&lt;INT(Parâmetros!$C$4),"Atrasada","Agendada")))</f>
        <v/>
      </c>
      <c r="K384" s="42" t="str">
        <f aca="false">IF($C384="","",IF($I384&lt;&gt;"",$I384-$G384,IF($J384="Atrasada",INT(Parâmetros!$C$4)-$G384,"")))</f>
        <v/>
      </c>
      <c r="L384" s="26" t="str">
        <f aca="false">IF($J384&lt;&gt;"Realizada","",IF($K384&lt;=0,"No prazo",IF($K384&lt;=7,"Até 7 dias",IF($K384&lt;=30,"Até 30 dias","Acima de 30"))))</f>
        <v/>
      </c>
      <c r="M384" s="26" t="str">
        <f aca="false">IF($C384="","",COUNTIFS($G$3:$G384,$G384))</f>
        <v/>
      </c>
      <c r="N384" s="26" t="str">
        <f aca="false">IF($C384="","",$G384&amp;"|"&amp;$M384)</f>
        <v/>
      </c>
    </row>
    <row r="385" customFormat="false" ht="18" hidden="false" customHeight="true" outlineLevel="0" collapsed="false">
      <c r="A385" s="26" t="n">
        <v>16</v>
      </c>
      <c r="B385" s="26" t="n">
        <v>23</v>
      </c>
      <c r="C385" s="26" t="str">
        <f aca="false">IF(INDEX(Planos!$B$3:$B$27,16)="","",IF(23&gt;INDEX(Planos!$G$3:$G$27,16),"",INDEX(Planos!$B$3:$B$27,16)))</f>
        <v/>
      </c>
      <c r="D385" s="40" t="str">
        <f aca="false">IF($C385="","",IFERROR(INDEX(Ativos!$B$3:$B$42,MATCH($C385,Ativos!$A$3:$A$42,0)),""))</f>
        <v/>
      </c>
      <c r="E385" s="40" t="str">
        <f aca="false">IF($C385="","",INDEX(Planos!$C$3:$C$27,16))</f>
        <v/>
      </c>
      <c r="F385" s="40" t="str">
        <f aca="false">IF($C385="","",INDEX(Planos!$D$3:$D$27,16))</f>
        <v/>
      </c>
      <c r="G385" s="41" t="n">
        <f aca="false">IF($C385="",0,INDEX(Planos!$F$3:$F$27,16)+(23-1)*INDEX(Planos!$E$3:$E$27,16))</f>
        <v>0</v>
      </c>
      <c r="H385" s="40" t="str">
        <f aca="false">IF($C385="","",INDEX(Planos!$H$3:$H$27,16))</f>
        <v/>
      </c>
      <c r="I385" s="41" t="str">
        <f aca="false">IF($C385="","",IF(INDEX(Planos!$J$3:$AG$27,$A385,$B385)=0,"",INDEX(Planos!$J$3:$AG$27,$A385,$B385)))</f>
        <v/>
      </c>
      <c r="J385" s="26" t="str">
        <f aca="false">IF($C385="","",IF($I385&lt;&gt;"","Realizada",IF($G385&lt;INT(Parâmetros!$C$4),"Atrasada","Agendada")))</f>
        <v/>
      </c>
      <c r="K385" s="42" t="str">
        <f aca="false">IF($C385="","",IF($I385&lt;&gt;"",$I385-$G385,IF($J385="Atrasada",INT(Parâmetros!$C$4)-$G385,"")))</f>
        <v/>
      </c>
      <c r="L385" s="26" t="str">
        <f aca="false">IF($J385&lt;&gt;"Realizada","",IF($K385&lt;=0,"No prazo",IF($K385&lt;=7,"Até 7 dias",IF($K385&lt;=30,"Até 30 dias","Acima de 30"))))</f>
        <v/>
      </c>
      <c r="M385" s="26" t="str">
        <f aca="false">IF($C385="","",COUNTIFS($G$3:$G385,$G385))</f>
        <v/>
      </c>
      <c r="N385" s="26" t="str">
        <f aca="false">IF($C385="","",$G385&amp;"|"&amp;$M385)</f>
        <v/>
      </c>
    </row>
    <row r="386" customFormat="false" ht="18" hidden="false" customHeight="true" outlineLevel="0" collapsed="false">
      <c r="A386" s="26" t="n">
        <v>16</v>
      </c>
      <c r="B386" s="26" t="n">
        <v>24</v>
      </c>
      <c r="C386" s="26" t="str">
        <f aca="false">IF(INDEX(Planos!$B$3:$B$27,16)="","",IF(24&gt;INDEX(Planos!$G$3:$G$27,16),"",INDEX(Planos!$B$3:$B$27,16)))</f>
        <v/>
      </c>
      <c r="D386" s="40" t="str">
        <f aca="false">IF($C386="","",IFERROR(INDEX(Ativos!$B$3:$B$42,MATCH($C386,Ativos!$A$3:$A$42,0)),""))</f>
        <v/>
      </c>
      <c r="E386" s="40" t="str">
        <f aca="false">IF($C386="","",INDEX(Planos!$C$3:$C$27,16))</f>
        <v/>
      </c>
      <c r="F386" s="40" t="str">
        <f aca="false">IF($C386="","",INDEX(Planos!$D$3:$D$27,16))</f>
        <v/>
      </c>
      <c r="G386" s="41" t="n">
        <f aca="false">IF($C386="",0,INDEX(Planos!$F$3:$F$27,16)+(24-1)*INDEX(Planos!$E$3:$E$27,16))</f>
        <v>0</v>
      </c>
      <c r="H386" s="40" t="str">
        <f aca="false">IF($C386="","",INDEX(Planos!$H$3:$H$27,16))</f>
        <v/>
      </c>
      <c r="I386" s="41" t="str">
        <f aca="false">IF($C386="","",IF(INDEX(Planos!$J$3:$AG$27,$A386,$B386)=0,"",INDEX(Planos!$J$3:$AG$27,$A386,$B386)))</f>
        <v/>
      </c>
      <c r="J386" s="26" t="str">
        <f aca="false">IF($C386="","",IF($I386&lt;&gt;"","Realizada",IF($G386&lt;INT(Parâmetros!$C$4),"Atrasada","Agendada")))</f>
        <v/>
      </c>
      <c r="K386" s="42" t="str">
        <f aca="false">IF($C386="","",IF($I386&lt;&gt;"",$I386-$G386,IF($J386="Atrasada",INT(Parâmetros!$C$4)-$G386,"")))</f>
        <v/>
      </c>
      <c r="L386" s="26" t="str">
        <f aca="false">IF($J386&lt;&gt;"Realizada","",IF($K386&lt;=0,"No prazo",IF($K386&lt;=7,"Até 7 dias",IF($K386&lt;=30,"Até 30 dias","Acima de 30"))))</f>
        <v/>
      </c>
      <c r="M386" s="26" t="str">
        <f aca="false">IF($C386="","",COUNTIFS($G$3:$G386,$G386))</f>
        <v/>
      </c>
      <c r="N386" s="26" t="str">
        <f aca="false">IF($C386="","",$G386&amp;"|"&amp;$M386)</f>
        <v/>
      </c>
    </row>
    <row r="387" customFormat="false" ht="18" hidden="false" customHeight="true" outlineLevel="0" collapsed="false">
      <c r="A387" s="26" t="n">
        <v>17</v>
      </c>
      <c r="B387" s="26" t="n">
        <v>1</v>
      </c>
      <c r="C387" s="26" t="str">
        <f aca="false">IF(INDEX(Planos!$B$3:$B$27,17)="","",IF(1&gt;INDEX(Planos!$G$3:$G$27,17),"",INDEX(Planos!$B$3:$B$27,17)))</f>
        <v/>
      </c>
      <c r="D387" s="40" t="str">
        <f aca="false">IF($C387="","",IFERROR(INDEX(Ativos!$B$3:$B$42,MATCH($C387,Ativos!$A$3:$A$42,0)),""))</f>
        <v/>
      </c>
      <c r="E387" s="40" t="str">
        <f aca="false">IF($C387="","",INDEX(Planos!$C$3:$C$27,17))</f>
        <v/>
      </c>
      <c r="F387" s="40" t="str">
        <f aca="false">IF($C387="","",INDEX(Planos!$D$3:$D$27,17))</f>
        <v/>
      </c>
      <c r="G387" s="41" t="n">
        <f aca="false">IF($C387="",0,INDEX(Planos!$F$3:$F$27,17)+(1-1)*INDEX(Planos!$E$3:$E$27,17))</f>
        <v>0</v>
      </c>
      <c r="H387" s="40" t="str">
        <f aca="false">IF($C387="","",INDEX(Planos!$H$3:$H$27,17))</f>
        <v/>
      </c>
      <c r="I387" s="41" t="str">
        <f aca="false">IF($C387="","",IF(INDEX(Planos!$J$3:$AG$27,$A387,$B387)=0,"",INDEX(Planos!$J$3:$AG$27,$A387,$B387)))</f>
        <v/>
      </c>
      <c r="J387" s="26" t="str">
        <f aca="false">IF($C387="","",IF($I387&lt;&gt;"","Realizada",IF($G387&lt;INT(Parâmetros!$C$4),"Atrasada","Agendada")))</f>
        <v/>
      </c>
      <c r="K387" s="42" t="str">
        <f aca="false">IF($C387="","",IF($I387&lt;&gt;"",$I387-$G387,IF($J387="Atrasada",INT(Parâmetros!$C$4)-$G387,"")))</f>
        <v/>
      </c>
      <c r="L387" s="26" t="str">
        <f aca="false">IF($J387&lt;&gt;"Realizada","",IF($K387&lt;=0,"No prazo",IF($K387&lt;=7,"Até 7 dias",IF($K387&lt;=30,"Até 30 dias","Acima de 30"))))</f>
        <v/>
      </c>
      <c r="M387" s="26" t="str">
        <f aca="false">IF($C387="","",COUNTIFS($G$3:$G387,$G387))</f>
        <v/>
      </c>
      <c r="N387" s="26" t="str">
        <f aca="false">IF($C387="","",$G387&amp;"|"&amp;$M387)</f>
        <v/>
      </c>
    </row>
    <row r="388" customFormat="false" ht="18" hidden="false" customHeight="true" outlineLevel="0" collapsed="false">
      <c r="A388" s="26" t="n">
        <v>17</v>
      </c>
      <c r="B388" s="26" t="n">
        <v>2</v>
      </c>
      <c r="C388" s="26" t="str">
        <f aca="false">IF(INDEX(Planos!$B$3:$B$27,17)="","",IF(2&gt;INDEX(Planos!$G$3:$G$27,17),"",INDEX(Planos!$B$3:$B$27,17)))</f>
        <v/>
      </c>
      <c r="D388" s="40" t="str">
        <f aca="false">IF($C388="","",IFERROR(INDEX(Ativos!$B$3:$B$42,MATCH($C388,Ativos!$A$3:$A$42,0)),""))</f>
        <v/>
      </c>
      <c r="E388" s="40" t="str">
        <f aca="false">IF($C388="","",INDEX(Planos!$C$3:$C$27,17))</f>
        <v/>
      </c>
      <c r="F388" s="40" t="str">
        <f aca="false">IF($C388="","",INDEX(Planos!$D$3:$D$27,17))</f>
        <v/>
      </c>
      <c r="G388" s="41" t="n">
        <f aca="false">IF($C388="",0,INDEX(Planos!$F$3:$F$27,17)+(2-1)*INDEX(Planos!$E$3:$E$27,17))</f>
        <v>0</v>
      </c>
      <c r="H388" s="40" t="str">
        <f aca="false">IF($C388="","",INDEX(Planos!$H$3:$H$27,17))</f>
        <v/>
      </c>
      <c r="I388" s="41" t="str">
        <f aca="false">IF($C388="","",IF(INDEX(Planos!$J$3:$AG$27,$A388,$B388)=0,"",INDEX(Planos!$J$3:$AG$27,$A388,$B388)))</f>
        <v/>
      </c>
      <c r="J388" s="26" t="str">
        <f aca="false">IF($C388="","",IF($I388&lt;&gt;"","Realizada",IF($G388&lt;INT(Parâmetros!$C$4),"Atrasada","Agendada")))</f>
        <v/>
      </c>
      <c r="K388" s="42" t="str">
        <f aca="false">IF($C388="","",IF($I388&lt;&gt;"",$I388-$G388,IF($J388="Atrasada",INT(Parâmetros!$C$4)-$G388,"")))</f>
        <v/>
      </c>
      <c r="L388" s="26" t="str">
        <f aca="false">IF($J388&lt;&gt;"Realizada","",IF($K388&lt;=0,"No prazo",IF($K388&lt;=7,"Até 7 dias",IF($K388&lt;=30,"Até 30 dias","Acima de 30"))))</f>
        <v/>
      </c>
      <c r="M388" s="26" t="str">
        <f aca="false">IF($C388="","",COUNTIFS($G$3:$G388,$G388))</f>
        <v/>
      </c>
      <c r="N388" s="26" t="str">
        <f aca="false">IF($C388="","",$G388&amp;"|"&amp;$M388)</f>
        <v/>
      </c>
    </row>
    <row r="389" customFormat="false" ht="18" hidden="false" customHeight="true" outlineLevel="0" collapsed="false">
      <c r="A389" s="26" t="n">
        <v>17</v>
      </c>
      <c r="B389" s="26" t="n">
        <v>3</v>
      </c>
      <c r="C389" s="26" t="str">
        <f aca="false">IF(INDEX(Planos!$B$3:$B$27,17)="","",IF(3&gt;INDEX(Planos!$G$3:$G$27,17),"",INDEX(Planos!$B$3:$B$27,17)))</f>
        <v/>
      </c>
      <c r="D389" s="40" t="str">
        <f aca="false">IF($C389="","",IFERROR(INDEX(Ativos!$B$3:$B$42,MATCH($C389,Ativos!$A$3:$A$42,0)),""))</f>
        <v/>
      </c>
      <c r="E389" s="40" t="str">
        <f aca="false">IF($C389="","",INDEX(Planos!$C$3:$C$27,17))</f>
        <v/>
      </c>
      <c r="F389" s="40" t="str">
        <f aca="false">IF($C389="","",INDEX(Planos!$D$3:$D$27,17))</f>
        <v/>
      </c>
      <c r="G389" s="41" t="n">
        <f aca="false">IF($C389="",0,INDEX(Planos!$F$3:$F$27,17)+(3-1)*INDEX(Planos!$E$3:$E$27,17))</f>
        <v>0</v>
      </c>
      <c r="H389" s="40" t="str">
        <f aca="false">IF($C389="","",INDEX(Planos!$H$3:$H$27,17))</f>
        <v/>
      </c>
      <c r="I389" s="41" t="str">
        <f aca="false">IF($C389="","",IF(INDEX(Planos!$J$3:$AG$27,$A389,$B389)=0,"",INDEX(Planos!$J$3:$AG$27,$A389,$B389)))</f>
        <v/>
      </c>
      <c r="J389" s="26" t="str">
        <f aca="false">IF($C389="","",IF($I389&lt;&gt;"","Realizada",IF($G389&lt;INT(Parâmetros!$C$4),"Atrasada","Agendada")))</f>
        <v/>
      </c>
      <c r="K389" s="42" t="str">
        <f aca="false">IF($C389="","",IF($I389&lt;&gt;"",$I389-$G389,IF($J389="Atrasada",INT(Parâmetros!$C$4)-$G389,"")))</f>
        <v/>
      </c>
      <c r="L389" s="26" t="str">
        <f aca="false">IF($J389&lt;&gt;"Realizada","",IF($K389&lt;=0,"No prazo",IF($K389&lt;=7,"Até 7 dias",IF($K389&lt;=30,"Até 30 dias","Acima de 30"))))</f>
        <v/>
      </c>
      <c r="M389" s="26" t="str">
        <f aca="false">IF($C389="","",COUNTIFS($G$3:$G389,$G389))</f>
        <v/>
      </c>
      <c r="N389" s="26" t="str">
        <f aca="false">IF($C389="","",$G389&amp;"|"&amp;$M389)</f>
        <v/>
      </c>
    </row>
    <row r="390" customFormat="false" ht="18" hidden="false" customHeight="true" outlineLevel="0" collapsed="false">
      <c r="A390" s="26" t="n">
        <v>17</v>
      </c>
      <c r="B390" s="26" t="n">
        <v>4</v>
      </c>
      <c r="C390" s="26" t="str">
        <f aca="false">IF(INDEX(Planos!$B$3:$B$27,17)="","",IF(4&gt;INDEX(Planos!$G$3:$G$27,17),"",INDEX(Planos!$B$3:$B$27,17)))</f>
        <v/>
      </c>
      <c r="D390" s="40" t="str">
        <f aca="false">IF($C390="","",IFERROR(INDEX(Ativos!$B$3:$B$42,MATCH($C390,Ativos!$A$3:$A$42,0)),""))</f>
        <v/>
      </c>
      <c r="E390" s="40" t="str">
        <f aca="false">IF($C390="","",INDEX(Planos!$C$3:$C$27,17))</f>
        <v/>
      </c>
      <c r="F390" s="40" t="str">
        <f aca="false">IF($C390="","",INDEX(Planos!$D$3:$D$27,17))</f>
        <v/>
      </c>
      <c r="G390" s="41" t="n">
        <f aca="false">IF($C390="",0,INDEX(Planos!$F$3:$F$27,17)+(4-1)*INDEX(Planos!$E$3:$E$27,17))</f>
        <v>0</v>
      </c>
      <c r="H390" s="40" t="str">
        <f aca="false">IF($C390="","",INDEX(Planos!$H$3:$H$27,17))</f>
        <v/>
      </c>
      <c r="I390" s="41" t="str">
        <f aca="false">IF($C390="","",IF(INDEX(Planos!$J$3:$AG$27,$A390,$B390)=0,"",INDEX(Planos!$J$3:$AG$27,$A390,$B390)))</f>
        <v/>
      </c>
      <c r="J390" s="26" t="str">
        <f aca="false">IF($C390="","",IF($I390&lt;&gt;"","Realizada",IF($G390&lt;INT(Parâmetros!$C$4),"Atrasada","Agendada")))</f>
        <v/>
      </c>
      <c r="K390" s="42" t="str">
        <f aca="false">IF($C390="","",IF($I390&lt;&gt;"",$I390-$G390,IF($J390="Atrasada",INT(Parâmetros!$C$4)-$G390,"")))</f>
        <v/>
      </c>
      <c r="L390" s="26" t="str">
        <f aca="false">IF($J390&lt;&gt;"Realizada","",IF($K390&lt;=0,"No prazo",IF($K390&lt;=7,"Até 7 dias",IF($K390&lt;=30,"Até 30 dias","Acima de 30"))))</f>
        <v/>
      </c>
      <c r="M390" s="26" t="str">
        <f aca="false">IF($C390="","",COUNTIFS($G$3:$G390,$G390))</f>
        <v/>
      </c>
      <c r="N390" s="26" t="str">
        <f aca="false">IF($C390="","",$G390&amp;"|"&amp;$M390)</f>
        <v/>
      </c>
    </row>
    <row r="391" customFormat="false" ht="18" hidden="false" customHeight="true" outlineLevel="0" collapsed="false">
      <c r="A391" s="26" t="n">
        <v>17</v>
      </c>
      <c r="B391" s="26" t="n">
        <v>5</v>
      </c>
      <c r="C391" s="26" t="str">
        <f aca="false">IF(INDEX(Planos!$B$3:$B$27,17)="","",IF(5&gt;INDEX(Planos!$G$3:$G$27,17),"",INDEX(Planos!$B$3:$B$27,17)))</f>
        <v/>
      </c>
      <c r="D391" s="40" t="str">
        <f aca="false">IF($C391="","",IFERROR(INDEX(Ativos!$B$3:$B$42,MATCH($C391,Ativos!$A$3:$A$42,0)),""))</f>
        <v/>
      </c>
      <c r="E391" s="40" t="str">
        <f aca="false">IF($C391="","",INDEX(Planos!$C$3:$C$27,17))</f>
        <v/>
      </c>
      <c r="F391" s="40" t="str">
        <f aca="false">IF($C391="","",INDEX(Planos!$D$3:$D$27,17))</f>
        <v/>
      </c>
      <c r="G391" s="41" t="n">
        <f aca="false">IF($C391="",0,INDEX(Planos!$F$3:$F$27,17)+(5-1)*INDEX(Planos!$E$3:$E$27,17))</f>
        <v>0</v>
      </c>
      <c r="H391" s="40" t="str">
        <f aca="false">IF($C391="","",INDEX(Planos!$H$3:$H$27,17))</f>
        <v/>
      </c>
      <c r="I391" s="41" t="str">
        <f aca="false">IF($C391="","",IF(INDEX(Planos!$J$3:$AG$27,$A391,$B391)=0,"",INDEX(Planos!$J$3:$AG$27,$A391,$B391)))</f>
        <v/>
      </c>
      <c r="J391" s="26" t="str">
        <f aca="false">IF($C391="","",IF($I391&lt;&gt;"","Realizada",IF($G391&lt;INT(Parâmetros!$C$4),"Atrasada","Agendada")))</f>
        <v/>
      </c>
      <c r="K391" s="42" t="str">
        <f aca="false">IF($C391="","",IF($I391&lt;&gt;"",$I391-$G391,IF($J391="Atrasada",INT(Parâmetros!$C$4)-$G391,"")))</f>
        <v/>
      </c>
      <c r="L391" s="26" t="str">
        <f aca="false">IF($J391&lt;&gt;"Realizada","",IF($K391&lt;=0,"No prazo",IF($K391&lt;=7,"Até 7 dias",IF($K391&lt;=30,"Até 30 dias","Acima de 30"))))</f>
        <v/>
      </c>
      <c r="M391" s="26" t="str">
        <f aca="false">IF($C391="","",COUNTIFS($G$3:$G391,$G391))</f>
        <v/>
      </c>
      <c r="N391" s="26" t="str">
        <f aca="false">IF($C391="","",$G391&amp;"|"&amp;$M391)</f>
        <v/>
      </c>
    </row>
    <row r="392" customFormat="false" ht="18" hidden="false" customHeight="true" outlineLevel="0" collapsed="false">
      <c r="A392" s="26" t="n">
        <v>17</v>
      </c>
      <c r="B392" s="26" t="n">
        <v>6</v>
      </c>
      <c r="C392" s="26" t="str">
        <f aca="false">IF(INDEX(Planos!$B$3:$B$27,17)="","",IF(6&gt;INDEX(Planos!$G$3:$G$27,17),"",INDEX(Planos!$B$3:$B$27,17)))</f>
        <v/>
      </c>
      <c r="D392" s="40" t="str">
        <f aca="false">IF($C392="","",IFERROR(INDEX(Ativos!$B$3:$B$42,MATCH($C392,Ativos!$A$3:$A$42,0)),""))</f>
        <v/>
      </c>
      <c r="E392" s="40" t="str">
        <f aca="false">IF($C392="","",INDEX(Planos!$C$3:$C$27,17))</f>
        <v/>
      </c>
      <c r="F392" s="40" t="str">
        <f aca="false">IF($C392="","",INDEX(Planos!$D$3:$D$27,17))</f>
        <v/>
      </c>
      <c r="G392" s="41" t="n">
        <f aca="false">IF($C392="",0,INDEX(Planos!$F$3:$F$27,17)+(6-1)*INDEX(Planos!$E$3:$E$27,17))</f>
        <v>0</v>
      </c>
      <c r="H392" s="40" t="str">
        <f aca="false">IF($C392="","",INDEX(Planos!$H$3:$H$27,17))</f>
        <v/>
      </c>
      <c r="I392" s="41" t="str">
        <f aca="false">IF($C392="","",IF(INDEX(Planos!$J$3:$AG$27,$A392,$B392)=0,"",INDEX(Planos!$J$3:$AG$27,$A392,$B392)))</f>
        <v/>
      </c>
      <c r="J392" s="26" t="str">
        <f aca="false">IF($C392="","",IF($I392&lt;&gt;"","Realizada",IF($G392&lt;INT(Parâmetros!$C$4),"Atrasada","Agendada")))</f>
        <v/>
      </c>
      <c r="K392" s="42" t="str">
        <f aca="false">IF($C392="","",IF($I392&lt;&gt;"",$I392-$G392,IF($J392="Atrasada",INT(Parâmetros!$C$4)-$G392,"")))</f>
        <v/>
      </c>
      <c r="L392" s="26" t="str">
        <f aca="false">IF($J392&lt;&gt;"Realizada","",IF($K392&lt;=0,"No prazo",IF($K392&lt;=7,"Até 7 dias",IF($K392&lt;=30,"Até 30 dias","Acima de 30"))))</f>
        <v/>
      </c>
      <c r="M392" s="26" t="str">
        <f aca="false">IF($C392="","",COUNTIFS($G$3:$G392,$G392))</f>
        <v/>
      </c>
      <c r="N392" s="26" t="str">
        <f aca="false">IF($C392="","",$G392&amp;"|"&amp;$M392)</f>
        <v/>
      </c>
    </row>
    <row r="393" customFormat="false" ht="18" hidden="false" customHeight="true" outlineLevel="0" collapsed="false">
      <c r="A393" s="26" t="n">
        <v>17</v>
      </c>
      <c r="B393" s="26" t="n">
        <v>7</v>
      </c>
      <c r="C393" s="26" t="str">
        <f aca="false">IF(INDEX(Planos!$B$3:$B$27,17)="","",IF(7&gt;INDEX(Planos!$G$3:$G$27,17),"",INDEX(Planos!$B$3:$B$27,17)))</f>
        <v/>
      </c>
      <c r="D393" s="40" t="str">
        <f aca="false">IF($C393="","",IFERROR(INDEX(Ativos!$B$3:$B$42,MATCH($C393,Ativos!$A$3:$A$42,0)),""))</f>
        <v/>
      </c>
      <c r="E393" s="40" t="str">
        <f aca="false">IF($C393="","",INDEX(Planos!$C$3:$C$27,17))</f>
        <v/>
      </c>
      <c r="F393" s="40" t="str">
        <f aca="false">IF($C393="","",INDEX(Planos!$D$3:$D$27,17))</f>
        <v/>
      </c>
      <c r="G393" s="41" t="n">
        <f aca="false">IF($C393="",0,INDEX(Planos!$F$3:$F$27,17)+(7-1)*INDEX(Planos!$E$3:$E$27,17))</f>
        <v>0</v>
      </c>
      <c r="H393" s="40" t="str">
        <f aca="false">IF($C393="","",INDEX(Planos!$H$3:$H$27,17))</f>
        <v/>
      </c>
      <c r="I393" s="41" t="str">
        <f aca="false">IF($C393="","",IF(INDEX(Planos!$J$3:$AG$27,$A393,$B393)=0,"",INDEX(Planos!$J$3:$AG$27,$A393,$B393)))</f>
        <v/>
      </c>
      <c r="J393" s="26" t="str">
        <f aca="false">IF($C393="","",IF($I393&lt;&gt;"","Realizada",IF($G393&lt;INT(Parâmetros!$C$4),"Atrasada","Agendada")))</f>
        <v/>
      </c>
      <c r="K393" s="42" t="str">
        <f aca="false">IF($C393="","",IF($I393&lt;&gt;"",$I393-$G393,IF($J393="Atrasada",INT(Parâmetros!$C$4)-$G393,"")))</f>
        <v/>
      </c>
      <c r="L393" s="26" t="str">
        <f aca="false">IF($J393&lt;&gt;"Realizada","",IF($K393&lt;=0,"No prazo",IF($K393&lt;=7,"Até 7 dias",IF($K393&lt;=30,"Até 30 dias","Acima de 30"))))</f>
        <v/>
      </c>
      <c r="M393" s="26" t="str">
        <f aca="false">IF($C393="","",COUNTIFS($G$3:$G393,$G393))</f>
        <v/>
      </c>
      <c r="N393" s="26" t="str">
        <f aca="false">IF($C393="","",$G393&amp;"|"&amp;$M393)</f>
        <v/>
      </c>
    </row>
    <row r="394" customFormat="false" ht="18" hidden="false" customHeight="true" outlineLevel="0" collapsed="false">
      <c r="A394" s="26" t="n">
        <v>17</v>
      </c>
      <c r="B394" s="26" t="n">
        <v>8</v>
      </c>
      <c r="C394" s="26" t="str">
        <f aca="false">IF(INDEX(Planos!$B$3:$B$27,17)="","",IF(8&gt;INDEX(Planos!$G$3:$G$27,17),"",INDEX(Planos!$B$3:$B$27,17)))</f>
        <v/>
      </c>
      <c r="D394" s="40" t="str">
        <f aca="false">IF($C394="","",IFERROR(INDEX(Ativos!$B$3:$B$42,MATCH($C394,Ativos!$A$3:$A$42,0)),""))</f>
        <v/>
      </c>
      <c r="E394" s="40" t="str">
        <f aca="false">IF($C394="","",INDEX(Planos!$C$3:$C$27,17))</f>
        <v/>
      </c>
      <c r="F394" s="40" t="str">
        <f aca="false">IF($C394="","",INDEX(Planos!$D$3:$D$27,17))</f>
        <v/>
      </c>
      <c r="G394" s="41" t="n">
        <f aca="false">IF($C394="",0,INDEX(Planos!$F$3:$F$27,17)+(8-1)*INDEX(Planos!$E$3:$E$27,17))</f>
        <v>0</v>
      </c>
      <c r="H394" s="40" t="str">
        <f aca="false">IF($C394="","",INDEX(Planos!$H$3:$H$27,17))</f>
        <v/>
      </c>
      <c r="I394" s="41" t="str">
        <f aca="false">IF($C394="","",IF(INDEX(Planos!$J$3:$AG$27,$A394,$B394)=0,"",INDEX(Planos!$J$3:$AG$27,$A394,$B394)))</f>
        <v/>
      </c>
      <c r="J394" s="26" t="str">
        <f aca="false">IF($C394="","",IF($I394&lt;&gt;"","Realizada",IF($G394&lt;INT(Parâmetros!$C$4),"Atrasada","Agendada")))</f>
        <v/>
      </c>
      <c r="K394" s="42" t="str">
        <f aca="false">IF($C394="","",IF($I394&lt;&gt;"",$I394-$G394,IF($J394="Atrasada",INT(Parâmetros!$C$4)-$G394,"")))</f>
        <v/>
      </c>
      <c r="L394" s="26" t="str">
        <f aca="false">IF($J394&lt;&gt;"Realizada","",IF($K394&lt;=0,"No prazo",IF($K394&lt;=7,"Até 7 dias",IF($K394&lt;=30,"Até 30 dias","Acima de 30"))))</f>
        <v/>
      </c>
      <c r="M394" s="26" t="str">
        <f aca="false">IF($C394="","",COUNTIFS($G$3:$G394,$G394))</f>
        <v/>
      </c>
      <c r="N394" s="26" t="str">
        <f aca="false">IF($C394="","",$G394&amp;"|"&amp;$M394)</f>
        <v/>
      </c>
    </row>
    <row r="395" customFormat="false" ht="18" hidden="false" customHeight="true" outlineLevel="0" collapsed="false">
      <c r="A395" s="26" t="n">
        <v>17</v>
      </c>
      <c r="B395" s="26" t="n">
        <v>9</v>
      </c>
      <c r="C395" s="26" t="str">
        <f aca="false">IF(INDEX(Planos!$B$3:$B$27,17)="","",IF(9&gt;INDEX(Planos!$G$3:$G$27,17),"",INDEX(Planos!$B$3:$B$27,17)))</f>
        <v/>
      </c>
      <c r="D395" s="40" t="str">
        <f aca="false">IF($C395="","",IFERROR(INDEX(Ativos!$B$3:$B$42,MATCH($C395,Ativos!$A$3:$A$42,0)),""))</f>
        <v/>
      </c>
      <c r="E395" s="40" t="str">
        <f aca="false">IF($C395="","",INDEX(Planos!$C$3:$C$27,17))</f>
        <v/>
      </c>
      <c r="F395" s="40" t="str">
        <f aca="false">IF($C395="","",INDEX(Planos!$D$3:$D$27,17))</f>
        <v/>
      </c>
      <c r="G395" s="41" t="n">
        <f aca="false">IF($C395="",0,INDEX(Planos!$F$3:$F$27,17)+(9-1)*INDEX(Planos!$E$3:$E$27,17))</f>
        <v>0</v>
      </c>
      <c r="H395" s="40" t="str">
        <f aca="false">IF($C395="","",INDEX(Planos!$H$3:$H$27,17))</f>
        <v/>
      </c>
      <c r="I395" s="41" t="str">
        <f aca="false">IF($C395="","",IF(INDEX(Planos!$J$3:$AG$27,$A395,$B395)=0,"",INDEX(Planos!$J$3:$AG$27,$A395,$B395)))</f>
        <v/>
      </c>
      <c r="J395" s="26" t="str">
        <f aca="false">IF($C395="","",IF($I395&lt;&gt;"","Realizada",IF($G395&lt;INT(Parâmetros!$C$4),"Atrasada","Agendada")))</f>
        <v/>
      </c>
      <c r="K395" s="42" t="str">
        <f aca="false">IF($C395="","",IF($I395&lt;&gt;"",$I395-$G395,IF($J395="Atrasada",INT(Parâmetros!$C$4)-$G395,"")))</f>
        <v/>
      </c>
      <c r="L395" s="26" t="str">
        <f aca="false">IF($J395&lt;&gt;"Realizada","",IF($K395&lt;=0,"No prazo",IF($K395&lt;=7,"Até 7 dias",IF($K395&lt;=30,"Até 30 dias","Acima de 30"))))</f>
        <v/>
      </c>
      <c r="M395" s="26" t="str">
        <f aca="false">IF($C395="","",COUNTIFS($G$3:$G395,$G395))</f>
        <v/>
      </c>
      <c r="N395" s="26" t="str">
        <f aca="false">IF($C395="","",$G395&amp;"|"&amp;$M395)</f>
        <v/>
      </c>
    </row>
    <row r="396" customFormat="false" ht="18" hidden="false" customHeight="true" outlineLevel="0" collapsed="false">
      <c r="A396" s="26" t="n">
        <v>17</v>
      </c>
      <c r="B396" s="26" t="n">
        <v>10</v>
      </c>
      <c r="C396" s="26" t="str">
        <f aca="false">IF(INDEX(Planos!$B$3:$B$27,17)="","",IF(10&gt;INDEX(Planos!$G$3:$G$27,17),"",INDEX(Planos!$B$3:$B$27,17)))</f>
        <v/>
      </c>
      <c r="D396" s="40" t="str">
        <f aca="false">IF($C396="","",IFERROR(INDEX(Ativos!$B$3:$B$42,MATCH($C396,Ativos!$A$3:$A$42,0)),""))</f>
        <v/>
      </c>
      <c r="E396" s="40" t="str">
        <f aca="false">IF($C396="","",INDEX(Planos!$C$3:$C$27,17))</f>
        <v/>
      </c>
      <c r="F396" s="40" t="str">
        <f aca="false">IF($C396="","",INDEX(Planos!$D$3:$D$27,17))</f>
        <v/>
      </c>
      <c r="G396" s="41" t="n">
        <f aca="false">IF($C396="",0,INDEX(Planos!$F$3:$F$27,17)+(10-1)*INDEX(Planos!$E$3:$E$27,17))</f>
        <v>0</v>
      </c>
      <c r="H396" s="40" t="str">
        <f aca="false">IF($C396="","",INDEX(Planos!$H$3:$H$27,17))</f>
        <v/>
      </c>
      <c r="I396" s="41" t="str">
        <f aca="false">IF($C396="","",IF(INDEX(Planos!$J$3:$AG$27,$A396,$B396)=0,"",INDEX(Planos!$J$3:$AG$27,$A396,$B396)))</f>
        <v/>
      </c>
      <c r="J396" s="26" t="str">
        <f aca="false">IF($C396="","",IF($I396&lt;&gt;"","Realizada",IF($G396&lt;INT(Parâmetros!$C$4),"Atrasada","Agendada")))</f>
        <v/>
      </c>
      <c r="K396" s="42" t="str">
        <f aca="false">IF($C396="","",IF($I396&lt;&gt;"",$I396-$G396,IF($J396="Atrasada",INT(Parâmetros!$C$4)-$G396,"")))</f>
        <v/>
      </c>
      <c r="L396" s="26" t="str">
        <f aca="false">IF($J396&lt;&gt;"Realizada","",IF($K396&lt;=0,"No prazo",IF($K396&lt;=7,"Até 7 dias",IF($K396&lt;=30,"Até 30 dias","Acima de 30"))))</f>
        <v/>
      </c>
      <c r="M396" s="26" t="str">
        <f aca="false">IF($C396="","",COUNTIFS($G$3:$G396,$G396))</f>
        <v/>
      </c>
      <c r="N396" s="26" t="str">
        <f aca="false">IF($C396="","",$G396&amp;"|"&amp;$M396)</f>
        <v/>
      </c>
    </row>
    <row r="397" customFormat="false" ht="18" hidden="false" customHeight="true" outlineLevel="0" collapsed="false">
      <c r="A397" s="26" t="n">
        <v>17</v>
      </c>
      <c r="B397" s="26" t="n">
        <v>11</v>
      </c>
      <c r="C397" s="26" t="str">
        <f aca="false">IF(INDEX(Planos!$B$3:$B$27,17)="","",IF(11&gt;INDEX(Planos!$G$3:$G$27,17),"",INDEX(Planos!$B$3:$B$27,17)))</f>
        <v/>
      </c>
      <c r="D397" s="40" t="str">
        <f aca="false">IF($C397="","",IFERROR(INDEX(Ativos!$B$3:$B$42,MATCH($C397,Ativos!$A$3:$A$42,0)),""))</f>
        <v/>
      </c>
      <c r="E397" s="40" t="str">
        <f aca="false">IF($C397="","",INDEX(Planos!$C$3:$C$27,17))</f>
        <v/>
      </c>
      <c r="F397" s="40" t="str">
        <f aca="false">IF($C397="","",INDEX(Planos!$D$3:$D$27,17))</f>
        <v/>
      </c>
      <c r="G397" s="41" t="n">
        <f aca="false">IF($C397="",0,INDEX(Planos!$F$3:$F$27,17)+(11-1)*INDEX(Planos!$E$3:$E$27,17))</f>
        <v>0</v>
      </c>
      <c r="H397" s="40" t="str">
        <f aca="false">IF($C397="","",INDEX(Planos!$H$3:$H$27,17))</f>
        <v/>
      </c>
      <c r="I397" s="41" t="str">
        <f aca="false">IF($C397="","",IF(INDEX(Planos!$J$3:$AG$27,$A397,$B397)=0,"",INDEX(Planos!$J$3:$AG$27,$A397,$B397)))</f>
        <v/>
      </c>
      <c r="J397" s="26" t="str">
        <f aca="false">IF($C397="","",IF($I397&lt;&gt;"","Realizada",IF($G397&lt;INT(Parâmetros!$C$4),"Atrasada","Agendada")))</f>
        <v/>
      </c>
      <c r="K397" s="42" t="str">
        <f aca="false">IF($C397="","",IF($I397&lt;&gt;"",$I397-$G397,IF($J397="Atrasada",INT(Parâmetros!$C$4)-$G397,"")))</f>
        <v/>
      </c>
      <c r="L397" s="26" t="str">
        <f aca="false">IF($J397&lt;&gt;"Realizada","",IF($K397&lt;=0,"No prazo",IF($K397&lt;=7,"Até 7 dias",IF($K397&lt;=30,"Até 30 dias","Acima de 30"))))</f>
        <v/>
      </c>
      <c r="M397" s="26" t="str">
        <f aca="false">IF($C397="","",COUNTIFS($G$3:$G397,$G397))</f>
        <v/>
      </c>
      <c r="N397" s="26" t="str">
        <f aca="false">IF($C397="","",$G397&amp;"|"&amp;$M397)</f>
        <v/>
      </c>
    </row>
    <row r="398" customFormat="false" ht="18" hidden="false" customHeight="true" outlineLevel="0" collapsed="false">
      <c r="A398" s="26" t="n">
        <v>17</v>
      </c>
      <c r="B398" s="26" t="n">
        <v>12</v>
      </c>
      <c r="C398" s="26" t="str">
        <f aca="false">IF(INDEX(Planos!$B$3:$B$27,17)="","",IF(12&gt;INDEX(Planos!$G$3:$G$27,17),"",INDEX(Planos!$B$3:$B$27,17)))</f>
        <v/>
      </c>
      <c r="D398" s="40" t="str">
        <f aca="false">IF($C398="","",IFERROR(INDEX(Ativos!$B$3:$B$42,MATCH($C398,Ativos!$A$3:$A$42,0)),""))</f>
        <v/>
      </c>
      <c r="E398" s="40" t="str">
        <f aca="false">IF($C398="","",INDEX(Planos!$C$3:$C$27,17))</f>
        <v/>
      </c>
      <c r="F398" s="40" t="str">
        <f aca="false">IF($C398="","",INDEX(Planos!$D$3:$D$27,17))</f>
        <v/>
      </c>
      <c r="G398" s="41" t="n">
        <f aca="false">IF($C398="",0,INDEX(Planos!$F$3:$F$27,17)+(12-1)*INDEX(Planos!$E$3:$E$27,17))</f>
        <v>0</v>
      </c>
      <c r="H398" s="40" t="str">
        <f aca="false">IF($C398="","",INDEX(Planos!$H$3:$H$27,17))</f>
        <v/>
      </c>
      <c r="I398" s="41" t="str">
        <f aca="false">IF($C398="","",IF(INDEX(Planos!$J$3:$AG$27,$A398,$B398)=0,"",INDEX(Planos!$J$3:$AG$27,$A398,$B398)))</f>
        <v/>
      </c>
      <c r="J398" s="26" t="str">
        <f aca="false">IF($C398="","",IF($I398&lt;&gt;"","Realizada",IF($G398&lt;INT(Parâmetros!$C$4),"Atrasada","Agendada")))</f>
        <v/>
      </c>
      <c r="K398" s="42" t="str">
        <f aca="false">IF($C398="","",IF($I398&lt;&gt;"",$I398-$G398,IF($J398="Atrasada",INT(Parâmetros!$C$4)-$G398,"")))</f>
        <v/>
      </c>
      <c r="L398" s="26" t="str">
        <f aca="false">IF($J398&lt;&gt;"Realizada","",IF($K398&lt;=0,"No prazo",IF($K398&lt;=7,"Até 7 dias",IF($K398&lt;=30,"Até 30 dias","Acima de 30"))))</f>
        <v/>
      </c>
      <c r="M398" s="26" t="str">
        <f aca="false">IF($C398="","",COUNTIFS($G$3:$G398,$G398))</f>
        <v/>
      </c>
      <c r="N398" s="26" t="str">
        <f aca="false">IF($C398="","",$G398&amp;"|"&amp;$M398)</f>
        <v/>
      </c>
    </row>
    <row r="399" customFormat="false" ht="18" hidden="false" customHeight="true" outlineLevel="0" collapsed="false">
      <c r="A399" s="26" t="n">
        <v>17</v>
      </c>
      <c r="B399" s="26" t="n">
        <v>13</v>
      </c>
      <c r="C399" s="26" t="str">
        <f aca="false">IF(INDEX(Planos!$B$3:$B$27,17)="","",IF(13&gt;INDEX(Planos!$G$3:$G$27,17),"",INDEX(Planos!$B$3:$B$27,17)))</f>
        <v/>
      </c>
      <c r="D399" s="40" t="str">
        <f aca="false">IF($C399="","",IFERROR(INDEX(Ativos!$B$3:$B$42,MATCH($C399,Ativos!$A$3:$A$42,0)),""))</f>
        <v/>
      </c>
      <c r="E399" s="40" t="str">
        <f aca="false">IF($C399="","",INDEX(Planos!$C$3:$C$27,17))</f>
        <v/>
      </c>
      <c r="F399" s="40" t="str">
        <f aca="false">IF($C399="","",INDEX(Planos!$D$3:$D$27,17))</f>
        <v/>
      </c>
      <c r="G399" s="41" t="n">
        <f aca="false">IF($C399="",0,INDEX(Planos!$F$3:$F$27,17)+(13-1)*INDEX(Planos!$E$3:$E$27,17))</f>
        <v>0</v>
      </c>
      <c r="H399" s="40" t="str">
        <f aca="false">IF($C399="","",INDEX(Planos!$H$3:$H$27,17))</f>
        <v/>
      </c>
      <c r="I399" s="41" t="str">
        <f aca="false">IF($C399="","",IF(INDEX(Planos!$J$3:$AG$27,$A399,$B399)=0,"",INDEX(Planos!$J$3:$AG$27,$A399,$B399)))</f>
        <v/>
      </c>
      <c r="J399" s="26" t="str">
        <f aca="false">IF($C399="","",IF($I399&lt;&gt;"","Realizada",IF($G399&lt;INT(Parâmetros!$C$4),"Atrasada","Agendada")))</f>
        <v/>
      </c>
      <c r="K399" s="42" t="str">
        <f aca="false">IF($C399="","",IF($I399&lt;&gt;"",$I399-$G399,IF($J399="Atrasada",INT(Parâmetros!$C$4)-$G399,"")))</f>
        <v/>
      </c>
      <c r="L399" s="26" t="str">
        <f aca="false">IF($J399&lt;&gt;"Realizada","",IF($K399&lt;=0,"No prazo",IF($K399&lt;=7,"Até 7 dias",IF($K399&lt;=30,"Até 30 dias","Acima de 30"))))</f>
        <v/>
      </c>
      <c r="M399" s="26" t="str">
        <f aca="false">IF($C399="","",COUNTIFS($G$3:$G399,$G399))</f>
        <v/>
      </c>
      <c r="N399" s="26" t="str">
        <f aca="false">IF($C399="","",$G399&amp;"|"&amp;$M399)</f>
        <v/>
      </c>
    </row>
    <row r="400" customFormat="false" ht="18" hidden="false" customHeight="true" outlineLevel="0" collapsed="false">
      <c r="A400" s="26" t="n">
        <v>17</v>
      </c>
      <c r="B400" s="26" t="n">
        <v>14</v>
      </c>
      <c r="C400" s="26" t="str">
        <f aca="false">IF(INDEX(Planos!$B$3:$B$27,17)="","",IF(14&gt;INDEX(Planos!$G$3:$G$27,17),"",INDEX(Planos!$B$3:$B$27,17)))</f>
        <v/>
      </c>
      <c r="D400" s="40" t="str">
        <f aca="false">IF($C400="","",IFERROR(INDEX(Ativos!$B$3:$B$42,MATCH($C400,Ativos!$A$3:$A$42,0)),""))</f>
        <v/>
      </c>
      <c r="E400" s="40" t="str">
        <f aca="false">IF($C400="","",INDEX(Planos!$C$3:$C$27,17))</f>
        <v/>
      </c>
      <c r="F400" s="40" t="str">
        <f aca="false">IF($C400="","",INDEX(Planos!$D$3:$D$27,17))</f>
        <v/>
      </c>
      <c r="G400" s="41" t="n">
        <f aca="false">IF($C400="",0,INDEX(Planos!$F$3:$F$27,17)+(14-1)*INDEX(Planos!$E$3:$E$27,17))</f>
        <v>0</v>
      </c>
      <c r="H400" s="40" t="str">
        <f aca="false">IF($C400="","",INDEX(Planos!$H$3:$H$27,17))</f>
        <v/>
      </c>
      <c r="I400" s="41" t="str">
        <f aca="false">IF($C400="","",IF(INDEX(Planos!$J$3:$AG$27,$A400,$B400)=0,"",INDEX(Planos!$J$3:$AG$27,$A400,$B400)))</f>
        <v/>
      </c>
      <c r="J400" s="26" t="str">
        <f aca="false">IF($C400="","",IF($I400&lt;&gt;"","Realizada",IF($G400&lt;INT(Parâmetros!$C$4),"Atrasada","Agendada")))</f>
        <v/>
      </c>
      <c r="K400" s="42" t="str">
        <f aca="false">IF($C400="","",IF($I400&lt;&gt;"",$I400-$G400,IF($J400="Atrasada",INT(Parâmetros!$C$4)-$G400,"")))</f>
        <v/>
      </c>
      <c r="L400" s="26" t="str">
        <f aca="false">IF($J400&lt;&gt;"Realizada","",IF($K400&lt;=0,"No prazo",IF($K400&lt;=7,"Até 7 dias",IF($K400&lt;=30,"Até 30 dias","Acima de 30"))))</f>
        <v/>
      </c>
      <c r="M400" s="26" t="str">
        <f aca="false">IF($C400="","",COUNTIFS($G$3:$G400,$G400))</f>
        <v/>
      </c>
      <c r="N400" s="26" t="str">
        <f aca="false">IF($C400="","",$G400&amp;"|"&amp;$M400)</f>
        <v/>
      </c>
    </row>
    <row r="401" customFormat="false" ht="18" hidden="false" customHeight="true" outlineLevel="0" collapsed="false">
      <c r="A401" s="26" t="n">
        <v>17</v>
      </c>
      <c r="B401" s="26" t="n">
        <v>15</v>
      </c>
      <c r="C401" s="26" t="str">
        <f aca="false">IF(INDEX(Planos!$B$3:$B$27,17)="","",IF(15&gt;INDEX(Planos!$G$3:$G$27,17),"",INDEX(Planos!$B$3:$B$27,17)))</f>
        <v/>
      </c>
      <c r="D401" s="40" t="str">
        <f aca="false">IF($C401="","",IFERROR(INDEX(Ativos!$B$3:$B$42,MATCH($C401,Ativos!$A$3:$A$42,0)),""))</f>
        <v/>
      </c>
      <c r="E401" s="40" t="str">
        <f aca="false">IF($C401="","",INDEX(Planos!$C$3:$C$27,17))</f>
        <v/>
      </c>
      <c r="F401" s="40" t="str">
        <f aca="false">IF($C401="","",INDEX(Planos!$D$3:$D$27,17))</f>
        <v/>
      </c>
      <c r="G401" s="41" t="n">
        <f aca="false">IF($C401="",0,INDEX(Planos!$F$3:$F$27,17)+(15-1)*INDEX(Planos!$E$3:$E$27,17))</f>
        <v>0</v>
      </c>
      <c r="H401" s="40" t="str">
        <f aca="false">IF($C401="","",INDEX(Planos!$H$3:$H$27,17))</f>
        <v/>
      </c>
      <c r="I401" s="41" t="str">
        <f aca="false">IF($C401="","",IF(INDEX(Planos!$J$3:$AG$27,$A401,$B401)=0,"",INDEX(Planos!$J$3:$AG$27,$A401,$B401)))</f>
        <v/>
      </c>
      <c r="J401" s="26" t="str">
        <f aca="false">IF($C401="","",IF($I401&lt;&gt;"","Realizada",IF($G401&lt;INT(Parâmetros!$C$4),"Atrasada","Agendada")))</f>
        <v/>
      </c>
      <c r="K401" s="42" t="str">
        <f aca="false">IF($C401="","",IF($I401&lt;&gt;"",$I401-$G401,IF($J401="Atrasada",INT(Parâmetros!$C$4)-$G401,"")))</f>
        <v/>
      </c>
      <c r="L401" s="26" t="str">
        <f aca="false">IF($J401&lt;&gt;"Realizada","",IF($K401&lt;=0,"No prazo",IF($K401&lt;=7,"Até 7 dias",IF($K401&lt;=30,"Até 30 dias","Acima de 30"))))</f>
        <v/>
      </c>
      <c r="M401" s="26" t="str">
        <f aca="false">IF($C401="","",COUNTIFS($G$3:$G401,$G401))</f>
        <v/>
      </c>
      <c r="N401" s="26" t="str">
        <f aca="false">IF($C401="","",$G401&amp;"|"&amp;$M401)</f>
        <v/>
      </c>
    </row>
    <row r="402" customFormat="false" ht="18" hidden="false" customHeight="true" outlineLevel="0" collapsed="false">
      <c r="A402" s="26" t="n">
        <v>17</v>
      </c>
      <c r="B402" s="26" t="n">
        <v>16</v>
      </c>
      <c r="C402" s="26" t="str">
        <f aca="false">IF(INDEX(Planos!$B$3:$B$27,17)="","",IF(16&gt;INDEX(Planos!$G$3:$G$27,17),"",INDEX(Planos!$B$3:$B$27,17)))</f>
        <v/>
      </c>
      <c r="D402" s="40" t="str">
        <f aca="false">IF($C402="","",IFERROR(INDEX(Ativos!$B$3:$B$42,MATCH($C402,Ativos!$A$3:$A$42,0)),""))</f>
        <v/>
      </c>
      <c r="E402" s="40" t="str">
        <f aca="false">IF($C402="","",INDEX(Planos!$C$3:$C$27,17))</f>
        <v/>
      </c>
      <c r="F402" s="40" t="str">
        <f aca="false">IF($C402="","",INDEX(Planos!$D$3:$D$27,17))</f>
        <v/>
      </c>
      <c r="G402" s="41" t="n">
        <f aca="false">IF($C402="",0,INDEX(Planos!$F$3:$F$27,17)+(16-1)*INDEX(Planos!$E$3:$E$27,17))</f>
        <v>0</v>
      </c>
      <c r="H402" s="40" t="str">
        <f aca="false">IF($C402="","",INDEX(Planos!$H$3:$H$27,17))</f>
        <v/>
      </c>
      <c r="I402" s="41" t="str">
        <f aca="false">IF($C402="","",IF(INDEX(Planos!$J$3:$AG$27,$A402,$B402)=0,"",INDEX(Planos!$J$3:$AG$27,$A402,$B402)))</f>
        <v/>
      </c>
      <c r="J402" s="26" t="str">
        <f aca="false">IF($C402="","",IF($I402&lt;&gt;"","Realizada",IF($G402&lt;INT(Parâmetros!$C$4),"Atrasada","Agendada")))</f>
        <v/>
      </c>
      <c r="K402" s="42" t="str">
        <f aca="false">IF($C402="","",IF($I402&lt;&gt;"",$I402-$G402,IF($J402="Atrasada",INT(Parâmetros!$C$4)-$G402,"")))</f>
        <v/>
      </c>
      <c r="L402" s="26" t="str">
        <f aca="false">IF($J402&lt;&gt;"Realizada","",IF($K402&lt;=0,"No prazo",IF($K402&lt;=7,"Até 7 dias",IF($K402&lt;=30,"Até 30 dias","Acima de 30"))))</f>
        <v/>
      </c>
      <c r="M402" s="26" t="str">
        <f aca="false">IF($C402="","",COUNTIFS($G$3:$G402,$G402))</f>
        <v/>
      </c>
      <c r="N402" s="26" t="str">
        <f aca="false">IF($C402="","",$G402&amp;"|"&amp;$M402)</f>
        <v/>
      </c>
    </row>
    <row r="403" customFormat="false" ht="18" hidden="false" customHeight="true" outlineLevel="0" collapsed="false">
      <c r="A403" s="26" t="n">
        <v>17</v>
      </c>
      <c r="B403" s="26" t="n">
        <v>17</v>
      </c>
      <c r="C403" s="26" t="str">
        <f aca="false">IF(INDEX(Planos!$B$3:$B$27,17)="","",IF(17&gt;INDEX(Planos!$G$3:$G$27,17),"",INDEX(Planos!$B$3:$B$27,17)))</f>
        <v/>
      </c>
      <c r="D403" s="40" t="str">
        <f aca="false">IF($C403="","",IFERROR(INDEX(Ativos!$B$3:$B$42,MATCH($C403,Ativos!$A$3:$A$42,0)),""))</f>
        <v/>
      </c>
      <c r="E403" s="40" t="str">
        <f aca="false">IF($C403="","",INDEX(Planos!$C$3:$C$27,17))</f>
        <v/>
      </c>
      <c r="F403" s="40" t="str">
        <f aca="false">IF($C403="","",INDEX(Planos!$D$3:$D$27,17))</f>
        <v/>
      </c>
      <c r="G403" s="41" t="n">
        <f aca="false">IF($C403="",0,INDEX(Planos!$F$3:$F$27,17)+(17-1)*INDEX(Planos!$E$3:$E$27,17))</f>
        <v>0</v>
      </c>
      <c r="H403" s="40" t="str">
        <f aca="false">IF($C403="","",INDEX(Planos!$H$3:$H$27,17))</f>
        <v/>
      </c>
      <c r="I403" s="41" t="str">
        <f aca="false">IF($C403="","",IF(INDEX(Planos!$J$3:$AG$27,$A403,$B403)=0,"",INDEX(Planos!$J$3:$AG$27,$A403,$B403)))</f>
        <v/>
      </c>
      <c r="J403" s="26" t="str">
        <f aca="false">IF($C403="","",IF($I403&lt;&gt;"","Realizada",IF($G403&lt;INT(Parâmetros!$C$4),"Atrasada","Agendada")))</f>
        <v/>
      </c>
      <c r="K403" s="42" t="str">
        <f aca="false">IF($C403="","",IF($I403&lt;&gt;"",$I403-$G403,IF($J403="Atrasada",INT(Parâmetros!$C$4)-$G403,"")))</f>
        <v/>
      </c>
      <c r="L403" s="26" t="str">
        <f aca="false">IF($J403&lt;&gt;"Realizada","",IF($K403&lt;=0,"No prazo",IF($K403&lt;=7,"Até 7 dias",IF($K403&lt;=30,"Até 30 dias","Acima de 30"))))</f>
        <v/>
      </c>
      <c r="M403" s="26" t="str">
        <f aca="false">IF($C403="","",COUNTIFS($G$3:$G403,$G403))</f>
        <v/>
      </c>
      <c r="N403" s="26" t="str">
        <f aca="false">IF($C403="","",$G403&amp;"|"&amp;$M403)</f>
        <v/>
      </c>
    </row>
    <row r="404" customFormat="false" ht="18" hidden="false" customHeight="true" outlineLevel="0" collapsed="false">
      <c r="A404" s="26" t="n">
        <v>17</v>
      </c>
      <c r="B404" s="26" t="n">
        <v>18</v>
      </c>
      <c r="C404" s="26" t="str">
        <f aca="false">IF(INDEX(Planos!$B$3:$B$27,17)="","",IF(18&gt;INDEX(Planos!$G$3:$G$27,17),"",INDEX(Planos!$B$3:$B$27,17)))</f>
        <v/>
      </c>
      <c r="D404" s="40" t="str">
        <f aca="false">IF($C404="","",IFERROR(INDEX(Ativos!$B$3:$B$42,MATCH($C404,Ativos!$A$3:$A$42,0)),""))</f>
        <v/>
      </c>
      <c r="E404" s="40" t="str">
        <f aca="false">IF($C404="","",INDEX(Planos!$C$3:$C$27,17))</f>
        <v/>
      </c>
      <c r="F404" s="40" t="str">
        <f aca="false">IF($C404="","",INDEX(Planos!$D$3:$D$27,17))</f>
        <v/>
      </c>
      <c r="G404" s="41" t="n">
        <f aca="false">IF($C404="",0,INDEX(Planos!$F$3:$F$27,17)+(18-1)*INDEX(Planos!$E$3:$E$27,17))</f>
        <v>0</v>
      </c>
      <c r="H404" s="40" t="str">
        <f aca="false">IF($C404="","",INDEX(Planos!$H$3:$H$27,17))</f>
        <v/>
      </c>
      <c r="I404" s="41" t="str">
        <f aca="false">IF($C404="","",IF(INDEX(Planos!$J$3:$AG$27,$A404,$B404)=0,"",INDEX(Planos!$J$3:$AG$27,$A404,$B404)))</f>
        <v/>
      </c>
      <c r="J404" s="26" t="str">
        <f aca="false">IF($C404="","",IF($I404&lt;&gt;"","Realizada",IF($G404&lt;INT(Parâmetros!$C$4),"Atrasada","Agendada")))</f>
        <v/>
      </c>
      <c r="K404" s="42" t="str">
        <f aca="false">IF($C404="","",IF($I404&lt;&gt;"",$I404-$G404,IF($J404="Atrasada",INT(Parâmetros!$C$4)-$G404,"")))</f>
        <v/>
      </c>
      <c r="L404" s="26" t="str">
        <f aca="false">IF($J404&lt;&gt;"Realizada","",IF($K404&lt;=0,"No prazo",IF($K404&lt;=7,"Até 7 dias",IF($K404&lt;=30,"Até 30 dias","Acima de 30"))))</f>
        <v/>
      </c>
      <c r="M404" s="26" t="str">
        <f aca="false">IF($C404="","",COUNTIFS($G$3:$G404,$G404))</f>
        <v/>
      </c>
      <c r="N404" s="26" t="str">
        <f aca="false">IF($C404="","",$G404&amp;"|"&amp;$M404)</f>
        <v/>
      </c>
    </row>
    <row r="405" customFormat="false" ht="18" hidden="false" customHeight="true" outlineLevel="0" collapsed="false">
      <c r="A405" s="26" t="n">
        <v>17</v>
      </c>
      <c r="B405" s="26" t="n">
        <v>19</v>
      </c>
      <c r="C405" s="26" t="str">
        <f aca="false">IF(INDEX(Planos!$B$3:$B$27,17)="","",IF(19&gt;INDEX(Planos!$G$3:$G$27,17),"",INDEX(Planos!$B$3:$B$27,17)))</f>
        <v/>
      </c>
      <c r="D405" s="40" t="str">
        <f aca="false">IF($C405="","",IFERROR(INDEX(Ativos!$B$3:$B$42,MATCH($C405,Ativos!$A$3:$A$42,0)),""))</f>
        <v/>
      </c>
      <c r="E405" s="40" t="str">
        <f aca="false">IF($C405="","",INDEX(Planos!$C$3:$C$27,17))</f>
        <v/>
      </c>
      <c r="F405" s="40" t="str">
        <f aca="false">IF($C405="","",INDEX(Planos!$D$3:$D$27,17))</f>
        <v/>
      </c>
      <c r="G405" s="41" t="n">
        <f aca="false">IF($C405="",0,INDEX(Planos!$F$3:$F$27,17)+(19-1)*INDEX(Planos!$E$3:$E$27,17))</f>
        <v>0</v>
      </c>
      <c r="H405" s="40" t="str">
        <f aca="false">IF($C405="","",INDEX(Planos!$H$3:$H$27,17))</f>
        <v/>
      </c>
      <c r="I405" s="41" t="str">
        <f aca="false">IF($C405="","",IF(INDEX(Planos!$J$3:$AG$27,$A405,$B405)=0,"",INDEX(Planos!$J$3:$AG$27,$A405,$B405)))</f>
        <v/>
      </c>
      <c r="J405" s="26" t="str">
        <f aca="false">IF($C405="","",IF($I405&lt;&gt;"","Realizada",IF($G405&lt;INT(Parâmetros!$C$4),"Atrasada","Agendada")))</f>
        <v/>
      </c>
      <c r="K405" s="42" t="str">
        <f aca="false">IF($C405="","",IF($I405&lt;&gt;"",$I405-$G405,IF($J405="Atrasada",INT(Parâmetros!$C$4)-$G405,"")))</f>
        <v/>
      </c>
      <c r="L405" s="26" t="str">
        <f aca="false">IF($J405&lt;&gt;"Realizada","",IF($K405&lt;=0,"No prazo",IF($K405&lt;=7,"Até 7 dias",IF($K405&lt;=30,"Até 30 dias","Acima de 30"))))</f>
        <v/>
      </c>
      <c r="M405" s="26" t="str">
        <f aca="false">IF($C405="","",COUNTIFS($G$3:$G405,$G405))</f>
        <v/>
      </c>
      <c r="N405" s="26" t="str">
        <f aca="false">IF($C405="","",$G405&amp;"|"&amp;$M405)</f>
        <v/>
      </c>
    </row>
    <row r="406" customFormat="false" ht="18" hidden="false" customHeight="true" outlineLevel="0" collapsed="false">
      <c r="A406" s="26" t="n">
        <v>17</v>
      </c>
      <c r="B406" s="26" t="n">
        <v>20</v>
      </c>
      <c r="C406" s="26" t="str">
        <f aca="false">IF(INDEX(Planos!$B$3:$B$27,17)="","",IF(20&gt;INDEX(Planos!$G$3:$G$27,17),"",INDEX(Planos!$B$3:$B$27,17)))</f>
        <v/>
      </c>
      <c r="D406" s="40" t="str">
        <f aca="false">IF($C406="","",IFERROR(INDEX(Ativos!$B$3:$B$42,MATCH($C406,Ativos!$A$3:$A$42,0)),""))</f>
        <v/>
      </c>
      <c r="E406" s="40" t="str">
        <f aca="false">IF($C406="","",INDEX(Planos!$C$3:$C$27,17))</f>
        <v/>
      </c>
      <c r="F406" s="40" t="str">
        <f aca="false">IF($C406="","",INDEX(Planos!$D$3:$D$27,17))</f>
        <v/>
      </c>
      <c r="G406" s="41" t="n">
        <f aca="false">IF($C406="",0,INDEX(Planos!$F$3:$F$27,17)+(20-1)*INDEX(Planos!$E$3:$E$27,17))</f>
        <v>0</v>
      </c>
      <c r="H406" s="40" t="str">
        <f aca="false">IF($C406="","",INDEX(Planos!$H$3:$H$27,17))</f>
        <v/>
      </c>
      <c r="I406" s="41" t="str">
        <f aca="false">IF($C406="","",IF(INDEX(Planos!$J$3:$AG$27,$A406,$B406)=0,"",INDEX(Planos!$J$3:$AG$27,$A406,$B406)))</f>
        <v/>
      </c>
      <c r="J406" s="26" t="str">
        <f aca="false">IF($C406="","",IF($I406&lt;&gt;"","Realizada",IF($G406&lt;INT(Parâmetros!$C$4),"Atrasada","Agendada")))</f>
        <v/>
      </c>
      <c r="K406" s="42" t="str">
        <f aca="false">IF($C406="","",IF($I406&lt;&gt;"",$I406-$G406,IF($J406="Atrasada",INT(Parâmetros!$C$4)-$G406,"")))</f>
        <v/>
      </c>
      <c r="L406" s="26" t="str">
        <f aca="false">IF($J406&lt;&gt;"Realizada","",IF($K406&lt;=0,"No prazo",IF($K406&lt;=7,"Até 7 dias",IF($K406&lt;=30,"Até 30 dias","Acima de 30"))))</f>
        <v/>
      </c>
      <c r="M406" s="26" t="str">
        <f aca="false">IF($C406="","",COUNTIFS($G$3:$G406,$G406))</f>
        <v/>
      </c>
      <c r="N406" s="26" t="str">
        <f aca="false">IF($C406="","",$G406&amp;"|"&amp;$M406)</f>
        <v/>
      </c>
    </row>
    <row r="407" customFormat="false" ht="18" hidden="false" customHeight="true" outlineLevel="0" collapsed="false">
      <c r="A407" s="26" t="n">
        <v>17</v>
      </c>
      <c r="B407" s="26" t="n">
        <v>21</v>
      </c>
      <c r="C407" s="26" t="str">
        <f aca="false">IF(INDEX(Planos!$B$3:$B$27,17)="","",IF(21&gt;INDEX(Planos!$G$3:$G$27,17),"",INDEX(Planos!$B$3:$B$27,17)))</f>
        <v/>
      </c>
      <c r="D407" s="40" t="str">
        <f aca="false">IF($C407="","",IFERROR(INDEX(Ativos!$B$3:$B$42,MATCH($C407,Ativos!$A$3:$A$42,0)),""))</f>
        <v/>
      </c>
      <c r="E407" s="40" t="str">
        <f aca="false">IF($C407="","",INDEX(Planos!$C$3:$C$27,17))</f>
        <v/>
      </c>
      <c r="F407" s="40" t="str">
        <f aca="false">IF($C407="","",INDEX(Planos!$D$3:$D$27,17))</f>
        <v/>
      </c>
      <c r="G407" s="41" t="n">
        <f aca="false">IF($C407="",0,INDEX(Planos!$F$3:$F$27,17)+(21-1)*INDEX(Planos!$E$3:$E$27,17))</f>
        <v>0</v>
      </c>
      <c r="H407" s="40" t="str">
        <f aca="false">IF($C407="","",INDEX(Planos!$H$3:$H$27,17))</f>
        <v/>
      </c>
      <c r="I407" s="41" t="str">
        <f aca="false">IF($C407="","",IF(INDEX(Planos!$J$3:$AG$27,$A407,$B407)=0,"",INDEX(Planos!$J$3:$AG$27,$A407,$B407)))</f>
        <v/>
      </c>
      <c r="J407" s="26" t="str">
        <f aca="false">IF($C407="","",IF($I407&lt;&gt;"","Realizada",IF($G407&lt;INT(Parâmetros!$C$4),"Atrasada","Agendada")))</f>
        <v/>
      </c>
      <c r="K407" s="42" t="str">
        <f aca="false">IF($C407="","",IF($I407&lt;&gt;"",$I407-$G407,IF($J407="Atrasada",INT(Parâmetros!$C$4)-$G407,"")))</f>
        <v/>
      </c>
      <c r="L407" s="26" t="str">
        <f aca="false">IF($J407&lt;&gt;"Realizada","",IF($K407&lt;=0,"No prazo",IF($K407&lt;=7,"Até 7 dias",IF($K407&lt;=30,"Até 30 dias","Acima de 30"))))</f>
        <v/>
      </c>
      <c r="M407" s="26" t="str">
        <f aca="false">IF($C407="","",COUNTIFS($G$3:$G407,$G407))</f>
        <v/>
      </c>
      <c r="N407" s="26" t="str">
        <f aca="false">IF($C407="","",$G407&amp;"|"&amp;$M407)</f>
        <v/>
      </c>
    </row>
    <row r="408" customFormat="false" ht="18" hidden="false" customHeight="true" outlineLevel="0" collapsed="false">
      <c r="A408" s="26" t="n">
        <v>17</v>
      </c>
      <c r="B408" s="26" t="n">
        <v>22</v>
      </c>
      <c r="C408" s="26" t="str">
        <f aca="false">IF(INDEX(Planos!$B$3:$B$27,17)="","",IF(22&gt;INDEX(Planos!$G$3:$G$27,17),"",INDEX(Planos!$B$3:$B$27,17)))</f>
        <v/>
      </c>
      <c r="D408" s="40" t="str">
        <f aca="false">IF($C408="","",IFERROR(INDEX(Ativos!$B$3:$B$42,MATCH($C408,Ativos!$A$3:$A$42,0)),""))</f>
        <v/>
      </c>
      <c r="E408" s="40" t="str">
        <f aca="false">IF($C408="","",INDEX(Planos!$C$3:$C$27,17))</f>
        <v/>
      </c>
      <c r="F408" s="40" t="str">
        <f aca="false">IF($C408="","",INDEX(Planos!$D$3:$D$27,17))</f>
        <v/>
      </c>
      <c r="G408" s="41" t="n">
        <f aca="false">IF($C408="",0,INDEX(Planos!$F$3:$F$27,17)+(22-1)*INDEX(Planos!$E$3:$E$27,17))</f>
        <v>0</v>
      </c>
      <c r="H408" s="40" t="str">
        <f aca="false">IF($C408="","",INDEX(Planos!$H$3:$H$27,17))</f>
        <v/>
      </c>
      <c r="I408" s="41" t="str">
        <f aca="false">IF($C408="","",IF(INDEX(Planos!$J$3:$AG$27,$A408,$B408)=0,"",INDEX(Planos!$J$3:$AG$27,$A408,$B408)))</f>
        <v/>
      </c>
      <c r="J408" s="26" t="str">
        <f aca="false">IF($C408="","",IF($I408&lt;&gt;"","Realizada",IF($G408&lt;INT(Parâmetros!$C$4),"Atrasada","Agendada")))</f>
        <v/>
      </c>
      <c r="K408" s="42" t="str">
        <f aca="false">IF($C408="","",IF($I408&lt;&gt;"",$I408-$G408,IF($J408="Atrasada",INT(Parâmetros!$C$4)-$G408,"")))</f>
        <v/>
      </c>
      <c r="L408" s="26" t="str">
        <f aca="false">IF($J408&lt;&gt;"Realizada","",IF($K408&lt;=0,"No prazo",IF($K408&lt;=7,"Até 7 dias",IF($K408&lt;=30,"Até 30 dias","Acima de 30"))))</f>
        <v/>
      </c>
      <c r="M408" s="26" t="str">
        <f aca="false">IF($C408="","",COUNTIFS($G$3:$G408,$G408))</f>
        <v/>
      </c>
      <c r="N408" s="26" t="str">
        <f aca="false">IF($C408="","",$G408&amp;"|"&amp;$M408)</f>
        <v/>
      </c>
    </row>
    <row r="409" customFormat="false" ht="18" hidden="false" customHeight="true" outlineLevel="0" collapsed="false">
      <c r="A409" s="26" t="n">
        <v>17</v>
      </c>
      <c r="B409" s="26" t="n">
        <v>23</v>
      </c>
      <c r="C409" s="26" t="str">
        <f aca="false">IF(INDEX(Planos!$B$3:$B$27,17)="","",IF(23&gt;INDEX(Planos!$G$3:$G$27,17),"",INDEX(Planos!$B$3:$B$27,17)))</f>
        <v/>
      </c>
      <c r="D409" s="40" t="str">
        <f aca="false">IF($C409="","",IFERROR(INDEX(Ativos!$B$3:$B$42,MATCH($C409,Ativos!$A$3:$A$42,0)),""))</f>
        <v/>
      </c>
      <c r="E409" s="40" t="str">
        <f aca="false">IF($C409="","",INDEX(Planos!$C$3:$C$27,17))</f>
        <v/>
      </c>
      <c r="F409" s="40" t="str">
        <f aca="false">IF($C409="","",INDEX(Planos!$D$3:$D$27,17))</f>
        <v/>
      </c>
      <c r="G409" s="41" t="n">
        <f aca="false">IF($C409="",0,INDEX(Planos!$F$3:$F$27,17)+(23-1)*INDEX(Planos!$E$3:$E$27,17))</f>
        <v>0</v>
      </c>
      <c r="H409" s="40" t="str">
        <f aca="false">IF($C409="","",INDEX(Planos!$H$3:$H$27,17))</f>
        <v/>
      </c>
      <c r="I409" s="41" t="str">
        <f aca="false">IF($C409="","",IF(INDEX(Planos!$J$3:$AG$27,$A409,$B409)=0,"",INDEX(Planos!$J$3:$AG$27,$A409,$B409)))</f>
        <v/>
      </c>
      <c r="J409" s="26" t="str">
        <f aca="false">IF($C409="","",IF($I409&lt;&gt;"","Realizada",IF($G409&lt;INT(Parâmetros!$C$4),"Atrasada","Agendada")))</f>
        <v/>
      </c>
      <c r="K409" s="42" t="str">
        <f aca="false">IF($C409="","",IF($I409&lt;&gt;"",$I409-$G409,IF($J409="Atrasada",INT(Parâmetros!$C$4)-$G409,"")))</f>
        <v/>
      </c>
      <c r="L409" s="26" t="str">
        <f aca="false">IF($J409&lt;&gt;"Realizada","",IF($K409&lt;=0,"No prazo",IF($K409&lt;=7,"Até 7 dias",IF($K409&lt;=30,"Até 30 dias","Acima de 30"))))</f>
        <v/>
      </c>
      <c r="M409" s="26" t="str">
        <f aca="false">IF($C409="","",COUNTIFS($G$3:$G409,$G409))</f>
        <v/>
      </c>
      <c r="N409" s="26" t="str">
        <f aca="false">IF($C409="","",$G409&amp;"|"&amp;$M409)</f>
        <v/>
      </c>
    </row>
    <row r="410" customFormat="false" ht="18" hidden="false" customHeight="true" outlineLevel="0" collapsed="false">
      <c r="A410" s="26" t="n">
        <v>17</v>
      </c>
      <c r="B410" s="26" t="n">
        <v>24</v>
      </c>
      <c r="C410" s="26" t="str">
        <f aca="false">IF(INDEX(Planos!$B$3:$B$27,17)="","",IF(24&gt;INDEX(Planos!$G$3:$G$27,17),"",INDEX(Planos!$B$3:$B$27,17)))</f>
        <v/>
      </c>
      <c r="D410" s="40" t="str">
        <f aca="false">IF($C410="","",IFERROR(INDEX(Ativos!$B$3:$B$42,MATCH($C410,Ativos!$A$3:$A$42,0)),""))</f>
        <v/>
      </c>
      <c r="E410" s="40" t="str">
        <f aca="false">IF($C410="","",INDEX(Planos!$C$3:$C$27,17))</f>
        <v/>
      </c>
      <c r="F410" s="40" t="str">
        <f aca="false">IF($C410="","",INDEX(Planos!$D$3:$D$27,17))</f>
        <v/>
      </c>
      <c r="G410" s="41" t="n">
        <f aca="false">IF($C410="",0,INDEX(Planos!$F$3:$F$27,17)+(24-1)*INDEX(Planos!$E$3:$E$27,17))</f>
        <v>0</v>
      </c>
      <c r="H410" s="40" t="str">
        <f aca="false">IF($C410="","",INDEX(Planos!$H$3:$H$27,17))</f>
        <v/>
      </c>
      <c r="I410" s="41" t="str">
        <f aca="false">IF($C410="","",IF(INDEX(Planos!$J$3:$AG$27,$A410,$B410)=0,"",INDEX(Planos!$J$3:$AG$27,$A410,$B410)))</f>
        <v/>
      </c>
      <c r="J410" s="26" t="str">
        <f aca="false">IF($C410="","",IF($I410&lt;&gt;"","Realizada",IF($G410&lt;INT(Parâmetros!$C$4),"Atrasada","Agendada")))</f>
        <v/>
      </c>
      <c r="K410" s="42" t="str">
        <f aca="false">IF($C410="","",IF($I410&lt;&gt;"",$I410-$G410,IF($J410="Atrasada",INT(Parâmetros!$C$4)-$G410,"")))</f>
        <v/>
      </c>
      <c r="L410" s="26" t="str">
        <f aca="false">IF($J410&lt;&gt;"Realizada","",IF($K410&lt;=0,"No prazo",IF($K410&lt;=7,"Até 7 dias",IF($K410&lt;=30,"Até 30 dias","Acima de 30"))))</f>
        <v/>
      </c>
      <c r="M410" s="26" t="str">
        <f aca="false">IF($C410="","",COUNTIFS($G$3:$G410,$G410))</f>
        <v/>
      </c>
      <c r="N410" s="26" t="str">
        <f aca="false">IF($C410="","",$G410&amp;"|"&amp;$M410)</f>
        <v/>
      </c>
    </row>
    <row r="411" customFormat="false" ht="18" hidden="false" customHeight="true" outlineLevel="0" collapsed="false">
      <c r="A411" s="26" t="n">
        <v>18</v>
      </c>
      <c r="B411" s="26" t="n">
        <v>1</v>
      </c>
      <c r="C411" s="26" t="str">
        <f aca="false">IF(INDEX(Planos!$B$3:$B$27,18)="","",IF(1&gt;INDEX(Planos!$G$3:$G$27,18),"",INDEX(Planos!$B$3:$B$27,18)))</f>
        <v/>
      </c>
      <c r="D411" s="40" t="str">
        <f aca="false">IF($C411="","",IFERROR(INDEX(Ativos!$B$3:$B$42,MATCH($C411,Ativos!$A$3:$A$42,0)),""))</f>
        <v/>
      </c>
      <c r="E411" s="40" t="str">
        <f aca="false">IF($C411="","",INDEX(Planos!$C$3:$C$27,18))</f>
        <v/>
      </c>
      <c r="F411" s="40" t="str">
        <f aca="false">IF($C411="","",INDEX(Planos!$D$3:$D$27,18))</f>
        <v/>
      </c>
      <c r="G411" s="41" t="n">
        <f aca="false">IF($C411="",0,INDEX(Planos!$F$3:$F$27,18)+(1-1)*INDEX(Planos!$E$3:$E$27,18))</f>
        <v>0</v>
      </c>
      <c r="H411" s="40" t="str">
        <f aca="false">IF($C411="","",INDEX(Planos!$H$3:$H$27,18))</f>
        <v/>
      </c>
      <c r="I411" s="41" t="str">
        <f aca="false">IF($C411="","",IF(INDEX(Planos!$J$3:$AG$27,$A411,$B411)=0,"",INDEX(Planos!$J$3:$AG$27,$A411,$B411)))</f>
        <v/>
      </c>
      <c r="J411" s="26" t="str">
        <f aca="false">IF($C411="","",IF($I411&lt;&gt;"","Realizada",IF($G411&lt;INT(Parâmetros!$C$4),"Atrasada","Agendada")))</f>
        <v/>
      </c>
      <c r="K411" s="42" t="str">
        <f aca="false">IF($C411="","",IF($I411&lt;&gt;"",$I411-$G411,IF($J411="Atrasada",INT(Parâmetros!$C$4)-$G411,"")))</f>
        <v/>
      </c>
      <c r="L411" s="26" t="str">
        <f aca="false">IF($J411&lt;&gt;"Realizada","",IF($K411&lt;=0,"No prazo",IF($K411&lt;=7,"Até 7 dias",IF($K411&lt;=30,"Até 30 dias","Acima de 30"))))</f>
        <v/>
      </c>
      <c r="M411" s="26" t="str">
        <f aca="false">IF($C411="","",COUNTIFS($G$3:$G411,$G411))</f>
        <v/>
      </c>
      <c r="N411" s="26" t="str">
        <f aca="false">IF($C411="","",$G411&amp;"|"&amp;$M411)</f>
        <v/>
      </c>
    </row>
    <row r="412" customFormat="false" ht="18" hidden="false" customHeight="true" outlineLevel="0" collapsed="false">
      <c r="A412" s="26" t="n">
        <v>18</v>
      </c>
      <c r="B412" s="26" t="n">
        <v>2</v>
      </c>
      <c r="C412" s="26" t="str">
        <f aca="false">IF(INDEX(Planos!$B$3:$B$27,18)="","",IF(2&gt;INDEX(Planos!$G$3:$G$27,18),"",INDEX(Planos!$B$3:$B$27,18)))</f>
        <v/>
      </c>
      <c r="D412" s="40" t="str">
        <f aca="false">IF($C412="","",IFERROR(INDEX(Ativos!$B$3:$B$42,MATCH($C412,Ativos!$A$3:$A$42,0)),""))</f>
        <v/>
      </c>
      <c r="E412" s="40" t="str">
        <f aca="false">IF($C412="","",INDEX(Planos!$C$3:$C$27,18))</f>
        <v/>
      </c>
      <c r="F412" s="40" t="str">
        <f aca="false">IF($C412="","",INDEX(Planos!$D$3:$D$27,18))</f>
        <v/>
      </c>
      <c r="G412" s="41" t="n">
        <f aca="false">IF($C412="",0,INDEX(Planos!$F$3:$F$27,18)+(2-1)*INDEX(Planos!$E$3:$E$27,18))</f>
        <v>0</v>
      </c>
      <c r="H412" s="40" t="str">
        <f aca="false">IF($C412="","",INDEX(Planos!$H$3:$H$27,18))</f>
        <v/>
      </c>
      <c r="I412" s="41" t="str">
        <f aca="false">IF($C412="","",IF(INDEX(Planos!$J$3:$AG$27,$A412,$B412)=0,"",INDEX(Planos!$J$3:$AG$27,$A412,$B412)))</f>
        <v/>
      </c>
      <c r="J412" s="26" t="str">
        <f aca="false">IF($C412="","",IF($I412&lt;&gt;"","Realizada",IF($G412&lt;INT(Parâmetros!$C$4),"Atrasada","Agendada")))</f>
        <v/>
      </c>
      <c r="K412" s="42" t="str">
        <f aca="false">IF($C412="","",IF($I412&lt;&gt;"",$I412-$G412,IF($J412="Atrasada",INT(Parâmetros!$C$4)-$G412,"")))</f>
        <v/>
      </c>
      <c r="L412" s="26" t="str">
        <f aca="false">IF($J412&lt;&gt;"Realizada","",IF($K412&lt;=0,"No prazo",IF($K412&lt;=7,"Até 7 dias",IF($K412&lt;=30,"Até 30 dias","Acima de 30"))))</f>
        <v/>
      </c>
      <c r="M412" s="26" t="str">
        <f aca="false">IF($C412="","",COUNTIFS($G$3:$G412,$G412))</f>
        <v/>
      </c>
      <c r="N412" s="26" t="str">
        <f aca="false">IF($C412="","",$G412&amp;"|"&amp;$M412)</f>
        <v/>
      </c>
    </row>
    <row r="413" customFormat="false" ht="18" hidden="false" customHeight="true" outlineLevel="0" collapsed="false">
      <c r="A413" s="26" t="n">
        <v>18</v>
      </c>
      <c r="B413" s="26" t="n">
        <v>3</v>
      </c>
      <c r="C413" s="26" t="str">
        <f aca="false">IF(INDEX(Planos!$B$3:$B$27,18)="","",IF(3&gt;INDEX(Planos!$G$3:$G$27,18),"",INDEX(Planos!$B$3:$B$27,18)))</f>
        <v/>
      </c>
      <c r="D413" s="40" t="str">
        <f aca="false">IF($C413="","",IFERROR(INDEX(Ativos!$B$3:$B$42,MATCH($C413,Ativos!$A$3:$A$42,0)),""))</f>
        <v/>
      </c>
      <c r="E413" s="40" t="str">
        <f aca="false">IF($C413="","",INDEX(Planos!$C$3:$C$27,18))</f>
        <v/>
      </c>
      <c r="F413" s="40" t="str">
        <f aca="false">IF($C413="","",INDEX(Planos!$D$3:$D$27,18))</f>
        <v/>
      </c>
      <c r="G413" s="41" t="n">
        <f aca="false">IF($C413="",0,INDEX(Planos!$F$3:$F$27,18)+(3-1)*INDEX(Planos!$E$3:$E$27,18))</f>
        <v>0</v>
      </c>
      <c r="H413" s="40" t="str">
        <f aca="false">IF($C413="","",INDEX(Planos!$H$3:$H$27,18))</f>
        <v/>
      </c>
      <c r="I413" s="41" t="str">
        <f aca="false">IF($C413="","",IF(INDEX(Planos!$J$3:$AG$27,$A413,$B413)=0,"",INDEX(Planos!$J$3:$AG$27,$A413,$B413)))</f>
        <v/>
      </c>
      <c r="J413" s="26" t="str">
        <f aca="false">IF($C413="","",IF($I413&lt;&gt;"","Realizada",IF($G413&lt;INT(Parâmetros!$C$4),"Atrasada","Agendada")))</f>
        <v/>
      </c>
      <c r="K413" s="42" t="str">
        <f aca="false">IF($C413="","",IF($I413&lt;&gt;"",$I413-$G413,IF($J413="Atrasada",INT(Parâmetros!$C$4)-$G413,"")))</f>
        <v/>
      </c>
      <c r="L413" s="26" t="str">
        <f aca="false">IF($J413&lt;&gt;"Realizada","",IF($K413&lt;=0,"No prazo",IF($K413&lt;=7,"Até 7 dias",IF($K413&lt;=30,"Até 30 dias","Acima de 30"))))</f>
        <v/>
      </c>
      <c r="M413" s="26" t="str">
        <f aca="false">IF($C413="","",COUNTIFS($G$3:$G413,$G413))</f>
        <v/>
      </c>
      <c r="N413" s="26" t="str">
        <f aca="false">IF($C413="","",$G413&amp;"|"&amp;$M413)</f>
        <v/>
      </c>
    </row>
    <row r="414" customFormat="false" ht="18" hidden="false" customHeight="true" outlineLevel="0" collapsed="false">
      <c r="A414" s="26" t="n">
        <v>18</v>
      </c>
      <c r="B414" s="26" t="n">
        <v>4</v>
      </c>
      <c r="C414" s="26" t="str">
        <f aca="false">IF(INDEX(Planos!$B$3:$B$27,18)="","",IF(4&gt;INDEX(Planos!$G$3:$G$27,18),"",INDEX(Planos!$B$3:$B$27,18)))</f>
        <v/>
      </c>
      <c r="D414" s="40" t="str">
        <f aca="false">IF($C414="","",IFERROR(INDEX(Ativos!$B$3:$B$42,MATCH($C414,Ativos!$A$3:$A$42,0)),""))</f>
        <v/>
      </c>
      <c r="E414" s="40" t="str">
        <f aca="false">IF($C414="","",INDEX(Planos!$C$3:$C$27,18))</f>
        <v/>
      </c>
      <c r="F414" s="40" t="str">
        <f aca="false">IF($C414="","",INDEX(Planos!$D$3:$D$27,18))</f>
        <v/>
      </c>
      <c r="G414" s="41" t="n">
        <f aca="false">IF($C414="",0,INDEX(Planos!$F$3:$F$27,18)+(4-1)*INDEX(Planos!$E$3:$E$27,18))</f>
        <v>0</v>
      </c>
      <c r="H414" s="40" t="str">
        <f aca="false">IF($C414="","",INDEX(Planos!$H$3:$H$27,18))</f>
        <v/>
      </c>
      <c r="I414" s="41" t="str">
        <f aca="false">IF($C414="","",IF(INDEX(Planos!$J$3:$AG$27,$A414,$B414)=0,"",INDEX(Planos!$J$3:$AG$27,$A414,$B414)))</f>
        <v/>
      </c>
      <c r="J414" s="26" t="str">
        <f aca="false">IF($C414="","",IF($I414&lt;&gt;"","Realizada",IF($G414&lt;INT(Parâmetros!$C$4),"Atrasada","Agendada")))</f>
        <v/>
      </c>
      <c r="K414" s="42" t="str">
        <f aca="false">IF($C414="","",IF($I414&lt;&gt;"",$I414-$G414,IF($J414="Atrasada",INT(Parâmetros!$C$4)-$G414,"")))</f>
        <v/>
      </c>
      <c r="L414" s="26" t="str">
        <f aca="false">IF($J414&lt;&gt;"Realizada","",IF($K414&lt;=0,"No prazo",IF($K414&lt;=7,"Até 7 dias",IF($K414&lt;=30,"Até 30 dias","Acima de 30"))))</f>
        <v/>
      </c>
      <c r="M414" s="26" t="str">
        <f aca="false">IF($C414="","",COUNTIFS($G$3:$G414,$G414))</f>
        <v/>
      </c>
      <c r="N414" s="26" t="str">
        <f aca="false">IF($C414="","",$G414&amp;"|"&amp;$M414)</f>
        <v/>
      </c>
    </row>
    <row r="415" customFormat="false" ht="18" hidden="false" customHeight="true" outlineLevel="0" collapsed="false">
      <c r="A415" s="26" t="n">
        <v>18</v>
      </c>
      <c r="B415" s="26" t="n">
        <v>5</v>
      </c>
      <c r="C415" s="26" t="str">
        <f aca="false">IF(INDEX(Planos!$B$3:$B$27,18)="","",IF(5&gt;INDEX(Planos!$G$3:$G$27,18),"",INDEX(Planos!$B$3:$B$27,18)))</f>
        <v/>
      </c>
      <c r="D415" s="40" t="str">
        <f aca="false">IF($C415="","",IFERROR(INDEX(Ativos!$B$3:$B$42,MATCH($C415,Ativos!$A$3:$A$42,0)),""))</f>
        <v/>
      </c>
      <c r="E415" s="40" t="str">
        <f aca="false">IF($C415="","",INDEX(Planos!$C$3:$C$27,18))</f>
        <v/>
      </c>
      <c r="F415" s="40" t="str">
        <f aca="false">IF($C415="","",INDEX(Planos!$D$3:$D$27,18))</f>
        <v/>
      </c>
      <c r="G415" s="41" t="n">
        <f aca="false">IF($C415="",0,INDEX(Planos!$F$3:$F$27,18)+(5-1)*INDEX(Planos!$E$3:$E$27,18))</f>
        <v>0</v>
      </c>
      <c r="H415" s="40" t="str">
        <f aca="false">IF($C415="","",INDEX(Planos!$H$3:$H$27,18))</f>
        <v/>
      </c>
      <c r="I415" s="41" t="str">
        <f aca="false">IF($C415="","",IF(INDEX(Planos!$J$3:$AG$27,$A415,$B415)=0,"",INDEX(Planos!$J$3:$AG$27,$A415,$B415)))</f>
        <v/>
      </c>
      <c r="J415" s="26" t="str">
        <f aca="false">IF($C415="","",IF($I415&lt;&gt;"","Realizada",IF($G415&lt;INT(Parâmetros!$C$4),"Atrasada","Agendada")))</f>
        <v/>
      </c>
      <c r="K415" s="42" t="str">
        <f aca="false">IF($C415="","",IF($I415&lt;&gt;"",$I415-$G415,IF($J415="Atrasada",INT(Parâmetros!$C$4)-$G415,"")))</f>
        <v/>
      </c>
      <c r="L415" s="26" t="str">
        <f aca="false">IF($J415&lt;&gt;"Realizada","",IF($K415&lt;=0,"No prazo",IF($K415&lt;=7,"Até 7 dias",IF($K415&lt;=30,"Até 30 dias","Acima de 30"))))</f>
        <v/>
      </c>
      <c r="M415" s="26" t="str">
        <f aca="false">IF($C415="","",COUNTIFS($G$3:$G415,$G415))</f>
        <v/>
      </c>
      <c r="N415" s="26" t="str">
        <f aca="false">IF($C415="","",$G415&amp;"|"&amp;$M415)</f>
        <v/>
      </c>
    </row>
    <row r="416" customFormat="false" ht="18" hidden="false" customHeight="true" outlineLevel="0" collapsed="false">
      <c r="A416" s="26" t="n">
        <v>18</v>
      </c>
      <c r="B416" s="26" t="n">
        <v>6</v>
      </c>
      <c r="C416" s="26" t="str">
        <f aca="false">IF(INDEX(Planos!$B$3:$B$27,18)="","",IF(6&gt;INDEX(Planos!$G$3:$G$27,18),"",INDEX(Planos!$B$3:$B$27,18)))</f>
        <v/>
      </c>
      <c r="D416" s="40" t="str">
        <f aca="false">IF($C416="","",IFERROR(INDEX(Ativos!$B$3:$B$42,MATCH($C416,Ativos!$A$3:$A$42,0)),""))</f>
        <v/>
      </c>
      <c r="E416" s="40" t="str">
        <f aca="false">IF($C416="","",INDEX(Planos!$C$3:$C$27,18))</f>
        <v/>
      </c>
      <c r="F416" s="40" t="str">
        <f aca="false">IF($C416="","",INDEX(Planos!$D$3:$D$27,18))</f>
        <v/>
      </c>
      <c r="G416" s="41" t="n">
        <f aca="false">IF($C416="",0,INDEX(Planos!$F$3:$F$27,18)+(6-1)*INDEX(Planos!$E$3:$E$27,18))</f>
        <v>0</v>
      </c>
      <c r="H416" s="40" t="str">
        <f aca="false">IF($C416="","",INDEX(Planos!$H$3:$H$27,18))</f>
        <v/>
      </c>
      <c r="I416" s="41" t="str">
        <f aca="false">IF($C416="","",IF(INDEX(Planos!$J$3:$AG$27,$A416,$B416)=0,"",INDEX(Planos!$J$3:$AG$27,$A416,$B416)))</f>
        <v/>
      </c>
      <c r="J416" s="26" t="str">
        <f aca="false">IF($C416="","",IF($I416&lt;&gt;"","Realizada",IF($G416&lt;INT(Parâmetros!$C$4),"Atrasada","Agendada")))</f>
        <v/>
      </c>
      <c r="K416" s="42" t="str">
        <f aca="false">IF($C416="","",IF($I416&lt;&gt;"",$I416-$G416,IF($J416="Atrasada",INT(Parâmetros!$C$4)-$G416,"")))</f>
        <v/>
      </c>
      <c r="L416" s="26" t="str">
        <f aca="false">IF($J416&lt;&gt;"Realizada","",IF($K416&lt;=0,"No prazo",IF($K416&lt;=7,"Até 7 dias",IF($K416&lt;=30,"Até 30 dias","Acima de 30"))))</f>
        <v/>
      </c>
      <c r="M416" s="26" t="str">
        <f aca="false">IF($C416="","",COUNTIFS($G$3:$G416,$G416))</f>
        <v/>
      </c>
      <c r="N416" s="26" t="str">
        <f aca="false">IF($C416="","",$G416&amp;"|"&amp;$M416)</f>
        <v/>
      </c>
    </row>
    <row r="417" customFormat="false" ht="18" hidden="false" customHeight="true" outlineLevel="0" collapsed="false">
      <c r="A417" s="26" t="n">
        <v>18</v>
      </c>
      <c r="B417" s="26" t="n">
        <v>7</v>
      </c>
      <c r="C417" s="26" t="str">
        <f aca="false">IF(INDEX(Planos!$B$3:$B$27,18)="","",IF(7&gt;INDEX(Planos!$G$3:$G$27,18),"",INDEX(Planos!$B$3:$B$27,18)))</f>
        <v/>
      </c>
      <c r="D417" s="40" t="str">
        <f aca="false">IF($C417="","",IFERROR(INDEX(Ativos!$B$3:$B$42,MATCH($C417,Ativos!$A$3:$A$42,0)),""))</f>
        <v/>
      </c>
      <c r="E417" s="40" t="str">
        <f aca="false">IF($C417="","",INDEX(Planos!$C$3:$C$27,18))</f>
        <v/>
      </c>
      <c r="F417" s="40" t="str">
        <f aca="false">IF($C417="","",INDEX(Planos!$D$3:$D$27,18))</f>
        <v/>
      </c>
      <c r="G417" s="41" t="n">
        <f aca="false">IF($C417="",0,INDEX(Planos!$F$3:$F$27,18)+(7-1)*INDEX(Planos!$E$3:$E$27,18))</f>
        <v>0</v>
      </c>
      <c r="H417" s="40" t="str">
        <f aca="false">IF($C417="","",INDEX(Planos!$H$3:$H$27,18))</f>
        <v/>
      </c>
      <c r="I417" s="41" t="str">
        <f aca="false">IF($C417="","",IF(INDEX(Planos!$J$3:$AG$27,$A417,$B417)=0,"",INDEX(Planos!$J$3:$AG$27,$A417,$B417)))</f>
        <v/>
      </c>
      <c r="J417" s="26" t="str">
        <f aca="false">IF($C417="","",IF($I417&lt;&gt;"","Realizada",IF($G417&lt;INT(Parâmetros!$C$4),"Atrasada","Agendada")))</f>
        <v/>
      </c>
      <c r="K417" s="42" t="str">
        <f aca="false">IF($C417="","",IF($I417&lt;&gt;"",$I417-$G417,IF($J417="Atrasada",INT(Parâmetros!$C$4)-$G417,"")))</f>
        <v/>
      </c>
      <c r="L417" s="26" t="str">
        <f aca="false">IF($J417&lt;&gt;"Realizada","",IF($K417&lt;=0,"No prazo",IF($K417&lt;=7,"Até 7 dias",IF($K417&lt;=30,"Até 30 dias","Acima de 30"))))</f>
        <v/>
      </c>
      <c r="M417" s="26" t="str">
        <f aca="false">IF($C417="","",COUNTIFS($G$3:$G417,$G417))</f>
        <v/>
      </c>
      <c r="N417" s="26" t="str">
        <f aca="false">IF($C417="","",$G417&amp;"|"&amp;$M417)</f>
        <v/>
      </c>
    </row>
    <row r="418" customFormat="false" ht="18" hidden="false" customHeight="true" outlineLevel="0" collapsed="false">
      <c r="A418" s="26" t="n">
        <v>18</v>
      </c>
      <c r="B418" s="26" t="n">
        <v>8</v>
      </c>
      <c r="C418" s="26" t="str">
        <f aca="false">IF(INDEX(Planos!$B$3:$B$27,18)="","",IF(8&gt;INDEX(Planos!$G$3:$G$27,18),"",INDEX(Planos!$B$3:$B$27,18)))</f>
        <v/>
      </c>
      <c r="D418" s="40" t="str">
        <f aca="false">IF($C418="","",IFERROR(INDEX(Ativos!$B$3:$B$42,MATCH($C418,Ativos!$A$3:$A$42,0)),""))</f>
        <v/>
      </c>
      <c r="E418" s="40" t="str">
        <f aca="false">IF($C418="","",INDEX(Planos!$C$3:$C$27,18))</f>
        <v/>
      </c>
      <c r="F418" s="40" t="str">
        <f aca="false">IF($C418="","",INDEX(Planos!$D$3:$D$27,18))</f>
        <v/>
      </c>
      <c r="G418" s="41" t="n">
        <f aca="false">IF($C418="",0,INDEX(Planos!$F$3:$F$27,18)+(8-1)*INDEX(Planos!$E$3:$E$27,18))</f>
        <v>0</v>
      </c>
      <c r="H418" s="40" t="str">
        <f aca="false">IF($C418="","",INDEX(Planos!$H$3:$H$27,18))</f>
        <v/>
      </c>
      <c r="I418" s="41" t="str">
        <f aca="false">IF($C418="","",IF(INDEX(Planos!$J$3:$AG$27,$A418,$B418)=0,"",INDEX(Planos!$J$3:$AG$27,$A418,$B418)))</f>
        <v/>
      </c>
      <c r="J418" s="26" t="str">
        <f aca="false">IF($C418="","",IF($I418&lt;&gt;"","Realizada",IF($G418&lt;INT(Parâmetros!$C$4),"Atrasada","Agendada")))</f>
        <v/>
      </c>
      <c r="K418" s="42" t="str">
        <f aca="false">IF($C418="","",IF($I418&lt;&gt;"",$I418-$G418,IF($J418="Atrasada",INT(Parâmetros!$C$4)-$G418,"")))</f>
        <v/>
      </c>
      <c r="L418" s="26" t="str">
        <f aca="false">IF($J418&lt;&gt;"Realizada","",IF($K418&lt;=0,"No prazo",IF($K418&lt;=7,"Até 7 dias",IF($K418&lt;=30,"Até 30 dias","Acima de 30"))))</f>
        <v/>
      </c>
      <c r="M418" s="26" t="str">
        <f aca="false">IF($C418="","",COUNTIFS($G$3:$G418,$G418))</f>
        <v/>
      </c>
      <c r="N418" s="26" t="str">
        <f aca="false">IF($C418="","",$G418&amp;"|"&amp;$M418)</f>
        <v/>
      </c>
    </row>
    <row r="419" customFormat="false" ht="18" hidden="false" customHeight="true" outlineLevel="0" collapsed="false">
      <c r="A419" s="26" t="n">
        <v>18</v>
      </c>
      <c r="B419" s="26" t="n">
        <v>9</v>
      </c>
      <c r="C419" s="26" t="str">
        <f aca="false">IF(INDEX(Planos!$B$3:$B$27,18)="","",IF(9&gt;INDEX(Planos!$G$3:$G$27,18),"",INDEX(Planos!$B$3:$B$27,18)))</f>
        <v/>
      </c>
      <c r="D419" s="40" t="str">
        <f aca="false">IF($C419="","",IFERROR(INDEX(Ativos!$B$3:$B$42,MATCH($C419,Ativos!$A$3:$A$42,0)),""))</f>
        <v/>
      </c>
      <c r="E419" s="40" t="str">
        <f aca="false">IF($C419="","",INDEX(Planos!$C$3:$C$27,18))</f>
        <v/>
      </c>
      <c r="F419" s="40" t="str">
        <f aca="false">IF($C419="","",INDEX(Planos!$D$3:$D$27,18))</f>
        <v/>
      </c>
      <c r="G419" s="41" t="n">
        <f aca="false">IF($C419="",0,INDEX(Planos!$F$3:$F$27,18)+(9-1)*INDEX(Planos!$E$3:$E$27,18))</f>
        <v>0</v>
      </c>
      <c r="H419" s="40" t="str">
        <f aca="false">IF($C419="","",INDEX(Planos!$H$3:$H$27,18))</f>
        <v/>
      </c>
      <c r="I419" s="41" t="str">
        <f aca="false">IF($C419="","",IF(INDEX(Planos!$J$3:$AG$27,$A419,$B419)=0,"",INDEX(Planos!$J$3:$AG$27,$A419,$B419)))</f>
        <v/>
      </c>
      <c r="J419" s="26" t="str">
        <f aca="false">IF($C419="","",IF($I419&lt;&gt;"","Realizada",IF($G419&lt;INT(Parâmetros!$C$4),"Atrasada","Agendada")))</f>
        <v/>
      </c>
      <c r="K419" s="42" t="str">
        <f aca="false">IF($C419="","",IF($I419&lt;&gt;"",$I419-$G419,IF($J419="Atrasada",INT(Parâmetros!$C$4)-$G419,"")))</f>
        <v/>
      </c>
      <c r="L419" s="26" t="str">
        <f aca="false">IF($J419&lt;&gt;"Realizada","",IF($K419&lt;=0,"No prazo",IF($K419&lt;=7,"Até 7 dias",IF($K419&lt;=30,"Até 30 dias","Acima de 30"))))</f>
        <v/>
      </c>
      <c r="M419" s="26" t="str">
        <f aca="false">IF($C419="","",COUNTIFS($G$3:$G419,$G419))</f>
        <v/>
      </c>
      <c r="N419" s="26" t="str">
        <f aca="false">IF($C419="","",$G419&amp;"|"&amp;$M419)</f>
        <v/>
      </c>
    </row>
    <row r="420" customFormat="false" ht="18" hidden="false" customHeight="true" outlineLevel="0" collapsed="false">
      <c r="A420" s="26" t="n">
        <v>18</v>
      </c>
      <c r="B420" s="26" t="n">
        <v>10</v>
      </c>
      <c r="C420" s="26" t="str">
        <f aca="false">IF(INDEX(Planos!$B$3:$B$27,18)="","",IF(10&gt;INDEX(Planos!$G$3:$G$27,18),"",INDEX(Planos!$B$3:$B$27,18)))</f>
        <v/>
      </c>
      <c r="D420" s="40" t="str">
        <f aca="false">IF($C420="","",IFERROR(INDEX(Ativos!$B$3:$B$42,MATCH($C420,Ativos!$A$3:$A$42,0)),""))</f>
        <v/>
      </c>
      <c r="E420" s="40" t="str">
        <f aca="false">IF($C420="","",INDEX(Planos!$C$3:$C$27,18))</f>
        <v/>
      </c>
      <c r="F420" s="40" t="str">
        <f aca="false">IF($C420="","",INDEX(Planos!$D$3:$D$27,18))</f>
        <v/>
      </c>
      <c r="G420" s="41" t="n">
        <f aca="false">IF($C420="",0,INDEX(Planos!$F$3:$F$27,18)+(10-1)*INDEX(Planos!$E$3:$E$27,18))</f>
        <v>0</v>
      </c>
      <c r="H420" s="40" t="str">
        <f aca="false">IF($C420="","",INDEX(Planos!$H$3:$H$27,18))</f>
        <v/>
      </c>
      <c r="I420" s="41" t="str">
        <f aca="false">IF($C420="","",IF(INDEX(Planos!$J$3:$AG$27,$A420,$B420)=0,"",INDEX(Planos!$J$3:$AG$27,$A420,$B420)))</f>
        <v/>
      </c>
      <c r="J420" s="26" t="str">
        <f aca="false">IF($C420="","",IF($I420&lt;&gt;"","Realizada",IF($G420&lt;INT(Parâmetros!$C$4),"Atrasada","Agendada")))</f>
        <v/>
      </c>
      <c r="K420" s="42" t="str">
        <f aca="false">IF($C420="","",IF($I420&lt;&gt;"",$I420-$G420,IF($J420="Atrasada",INT(Parâmetros!$C$4)-$G420,"")))</f>
        <v/>
      </c>
      <c r="L420" s="26" t="str">
        <f aca="false">IF($J420&lt;&gt;"Realizada","",IF($K420&lt;=0,"No prazo",IF($K420&lt;=7,"Até 7 dias",IF($K420&lt;=30,"Até 30 dias","Acima de 30"))))</f>
        <v/>
      </c>
      <c r="M420" s="26" t="str">
        <f aca="false">IF($C420="","",COUNTIFS($G$3:$G420,$G420))</f>
        <v/>
      </c>
      <c r="N420" s="26" t="str">
        <f aca="false">IF($C420="","",$G420&amp;"|"&amp;$M420)</f>
        <v/>
      </c>
    </row>
    <row r="421" customFormat="false" ht="18" hidden="false" customHeight="true" outlineLevel="0" collapsed="false">
      <c r="A421" s="26" t="n">
        <v>18</v>
      </c>
      <c r="B421" s="26" t="n">
        <v>11</v>
      </c>
      <c r="C421" s="26" t="str">
        <f aca="false">IF(INDEX(Planos!$B$3:$B$27,18)="","",IF(11&gt;INDEX(Planos!$G$3:$G$27,18),"",INDEX(Planos!$B$3:$B$27,18)))</f>
        <v/>
      </c>
      <c r="D421" s="40" t="str">
        <f aca="false">IF($C421="","",IFERROR(INDEX(Ativos!$B$3:$B$42,MATCH($C421,Ativos!$A$3:$A$42,0)),""))</f>
        <v/>
      </c>
      <c r="E421" s="40" t="str">
        <f aca="false">IF($C421="","",INDEX(Planos!$C$3:$C$27,18))</f>
        <v/>
      </c>
      <c r="F421" s="40" t="str">
        <f aca="false">IF($C421="","",INDEX(Planos!$D$3:$D$27,18))</f>
        <v/>
      </c>
      <c r="G421" s="41" t="n">
        <f aca="false">IF($C421="",0,INDEX(Planos!$F$3:$F$27,18)+(11-1)*INDEX(Planos!$E$3:$E$27,18))</f>
        <v>0</v>
      </c>
      <c r="H421" s="40" t="str">
        <f aca="false">IF($C421="","",INDEX(Planos!$H$3:$H$27,18))</f>
        <v/>
      </c>
      <c r="I421" s="41" t="str">
        <f aca="false">IF($C421="","",IF(INDEX(Planos!$J$3:$AG$27,$A421,$B421)=0,"",INDEX(Planos!$J$3:$AG$27,$A421,$B421)))</f>
        <v/>
      </c>
      <c r="J421" s="26" t="str">
        <f aca="false">IF($C421="","",IF($I421&lt;&gt;"","Realizada",IF($G421&lt;INT(Parâmetros!$C$4),"Atrasada","Agendada")))</f>
        <v/>
      </c>
      <c r="K421" s="42" t="str">
        <f aca="false">IF($C421="","",IF($I421&lt;&gt;"",$I421-$G421,IF($J421="Atrasada",INT(Parâmetros!$C$4)-$G421,"")))</f>
        <v/>
      </c>
      <c r="L421" s="26" t="str">
        <f aca="false">IF($J421&lt;&gt;"Realizada","",IF($K421&lt;=0,"No prazo",IF($K421&lt;=7,"Até 7 dias",IF($K421&lt;=30,"Até 30 dias","Acima de 30"))))</f>
        <v/>
      </c>
      <c r="M421" s="26" t="str">
        <f aca="false">IF($C421="","",COUNTIFS($G$3:$G421,$G421))</f>
        <v/>
      </c>
      <c r="N421" s="26" t="str">
        <f aca="false">IF($C421="","",$G421&amp;"|"&amp;$M421)</f>
        <v/>
      </c>
    </row>
    <row r="422" customFormat="false" ht="18" hidden="false" customHeight="true" outlineLevel="0" collapsed="false">
      <c r="A422" s="26" t="n">
        <v>18</v>
      </c>
      <c r="B422" s="26" t="n">
        <v>12</v>
      </c>
      <c r="C422" s="26" t="str">
        <f aca="false">IF(INDEX(Planos!$B$3:$B$27,18)="","",IF(12&gt;INDEX(Planos!$G$3:$G$27,18),"",INDEX(Planos!$B$3:$B$27,18)))</f>
        <v/>
      </c>
      <c r="D422" s="40" t="str">
        <f aca="false">IF($C422="","",IFERROR(INDEX(Ativos!$B$3:$B$42,MATCH($C422,Ativos!$A$3:$A$42,0)),""))</f>
        <v/>
      </c>
      <c r="E422" s="40" t="str">
        <f aca="false">IF($C422="","",INDEX(Planos!$C$3:$C$27,18))</f>
        <v/>
      </c>
      <c r="F422" s="40" t="str">
        <f aca="false">IF($C422="","",INDEX(Planos!$D$3:$D$27,18))</f>
        <v/>
      </c>
      <c r="G422" s="41" t="n">
        <f aca="false">IF($C422="",0,INDEX(Planos!$F$3:$F$27,18)+(12-1)*INDEX(Planos!$E$3:$E$27,18))</f>
        <v>0</v>
      </c>
      <c r="H422" s="40" t="str">
        <f aca="false">IF($C422="","",INDEX(Planos!$H$3:$H$27,18))</f>
        <v/>
      </c>
      <c r="I422" s="41" t="str">
        <f aca="false">IF($C422="","",IF(INDEX(Planos!$J$3:$AG$27,$A422,$B422)=0,"",INDEX(Planos!$J$3:$AG$27,$A422,$B422)))</f>
        <v/>
      </c>
      <c r="J422" s="26" t="str">
        <f aca="false">IF($C422="","",IF($I422&lt;&gt;"","Realizada",IF($G422&lt;INT(Parâmetros!$C$4),"Atrasada","Agendada")))</f>
        <v/>
      </c>
      <c r="K422" s="42" t="str">
        <f aca="false">IF($C422="","",IF($I422&lt;&gt;"",$I422-$G422,IF($J422="Atrasada",INT(Parâmetros!$C$4)-$G422,"")))</f>
        <v/>
      </c>
      <c r="L422" s="26" t="str">
        <f aca="false">IF($J422&lt;&gt;"Realizada","",IF($K422&lt;=0,"No prazo",IF($K422&lt;=7,"Até 7 dias",IF($K422&lt;=30,"Até 30 dias","Acima de 30"))))</f>
        <v/>
      </c>
      <c r="M422" s="26" t="str">
        <f aca="false">IF($C422="","",COUNTIFS($G$3:$G422,$G422))</f>
        <v/>
      </c>
      <c r="N422" s="26" t="str">
        <f aca="false">IF($C422="","",$G422&amp;"|"&amp;$M422)</f>
        <v/>
      </c>
    </row>
    <row r="423" customFormat="false" ht="18" hidden="false" customHeight="true" outlineLevel="0" collapsed="false">
      <c r="A423" s="26" t="n">
        <v>18</v>
      </c>
      <c r="B423" s="26" t="n">
        <v>13</v>
      </c>
      <c r="C423" s="26" t="str">
        <f aca="false">IF(INDEX(Planos!$B$3:$B$27,18)="","",IF(13&gt;INDEX(Planos!$G$3:$G$27,18),"",INDEX(Planos!$B$3:$B$27,18)))</f>
        <v/>
      </c>
      <c r="D423" s="40" t="str">
        <f aca="false">IF($C423="","",IFERROR(INDEX(Ativos!$B$3:$B$42,MATCH($C423,Ativos!$A$3:$A$42,0)),""))</f>
        <v/>
      </c>
      <c r="E423" s="40" t="str">
        <f aca="false">IF($C423="","",INDEX(Planos!$C$3:$C$27,18))</f>
        <v/>
      </c>
      <c r="F423" s="40" t="str">
        <f aca="false">IF($C423="","",INDEX(Planos!$D$3:$D$27,18))</f>
        <v/>
      </c>
      <c r="G423" s="41" t="n">
        <f aca="false">IF($C423="",0,INDEX(Planos!$F$3:$F$27,18)+(13-1)*INDEX(Planos!$E$3:$E$27,18))</f>
        <v>0</v>
      </c>
      <c r="H423" s="40" t="str">
        <f aca="false">IF($C423="","",INDEX(Planos!$H$3:$H$27,18))</f>
        <v/>
      </c>
      <c r="I423" s="41" t="str">
        <f aca="false">IF($C423="","",IF(INDEX(Planos!$J$3:$AG$27,$A423,$B423)=0,"",INDEX(Planos!$J$3:$AG$27,$A423,$B423)))</f>
        <v/>
      </c>
      <c r="J423" s="26" t="str">
        <f aca="false">IF($C423="","",IF($I423&lt;&gt;"","Realizada",IF($G423&lt;INT(Parâmetros!$C$4),"Atrasada","Agendada")))</f>
        <v/>
      </c>
      <c r="K423" s="42" t="str">
        <f aca="false">IF($C423="","",IF($I423&lt;&gt;"",$I423-$G423,IF($J423="Atrasada",INT(Parâmetros!$C$4)-$G423,"")))</f>
        <v/>
      </c>
      <c r="L423" s="26" t="str">
        <f aca="false">IF($J423&lt;&gt;"Realizada","",IF($K423&lt;=0,"No prazo",IF($K423&lt;=7,"Até 7 dias",IF($K423&lt;=30,"Até 30 dias","Acima de 30"))))</f>
        <v/>
      </c>
      <c r="M423" s="26" t="str">
        <f aca="false">IF($C423="","",COUNTIFS($G$3:$G423,$G423))</f>
        <v/>
      </c>
      <c r="N423" s="26" t="str">
        <f aca="false">IF($C423="","",$G423&amp;"|"&amp;$M423)</f>
        <v/>
      </c>
    </row>
    <row r="424" customFormat="false" ht="18" hidden="false" customHeight="true" outlineLevel="0" collapsed="false">
      <c r="A424" s="26" t="n">
        <v>18</v>
      </c>
      <c r="B424" s="26" t="n">
        <v>14</v>
      </c>
      <c r="C424" s="26" t="str">
        <f aca="false">IF(INDEX(Planos!$B$3:$B$27,18)="","",IF(14&gt;INDEX(Planos!$G$3:$G$27,18),"",INDEX(Planos!$B$3:$B$27,18)))</f>
        <v/>
      </c>
      <c r="D424" s="40" t="str">
        <f aca="false">IF($C424="","",IFERROR(INDEX(Ativos!$B$3:$B$42,MATCH($C424,Ativos!$A$3:$A$42,0)),""))</f>
        <v/>
      </c>
      <c r="E424" s="40" t="str">
        <f aca="false">IF($C424="","",INDEX(Planos!$C$3:$C$27,18))</f>
        <v/>
      </c>
      <c r="F424" s="40" t="str">
        <f aca="false">IF($C424="","",INDEX(Planos!$D$3:$D$27,18))</f>
        <v/>
      </c>
      <c r="G424" s="41" t="n">
        <f aca="false">IF($C424="",0,INDEX(Planos!$F$3:$F$27,18)+(14-1)*INDEX(Planos!$E$3:$E$27,18))</f>
        <v>0</v>
      </c>
      <c r="H424" s="40" t="str">
        <f aca="false">IF($C424="","",INDEX(Planos!$H$3:$H$27,18))</f>
        <v/>
      </c>
      <c r="I424" s="41" t="str">
        <f aca="false">IF($C424="","",IF(INDEX(Planos!$J$3:$AG$27,$A424,$B424)=0,"",INDEX(Planos!$J$3:$AG$27,$A424,$B424)))</f>
        <v/>
      </c>
      <c r="J424" s="26" t="str">
        <f aca="false">IF($C424="","",IF($I424&lt;&gt;"","Realizada",IF($G424&lt;INT(Parâmetros!$C$4),"Atrasada","Agendada")))</f>
        <v/>
      </c>
      <c r="K424" s="42" t="str">
        <f aca="false">IF($C424="","",IF($I424&lt;&gt;"",$I424-$G424,IF($J424="Atrasada",INT(Parâmetros!$C$4)-$G424,"")))</f>
        <v/>
      </c>
      <c r="L424" s="26" t="str">
        <f aca="false">IF($J424&lt;&gt;"Realizada","",IF($K424&lt;=0,"No prazo",IF($K424&lt;=7,"Até 7 dias",IF($K424&lt;=30,"Até 30 dias","Acima de 30"))))</f>
        <v/>
      </c>
      <c r="M424" s="26" t="str">
        <f aca="false">IF($C424="","",COUNTIFS($G$3:$G424,$G424))</f>
        <v/>
      </c>
      <c r="N424" s="26" t="str">
        <f aca="false">IF($C424="","",$G424&amp;"|"&amp;$M424)</f>
        <v/>
      </c>
    </row>
    <row r="425" customFormat="false" ht="18" hidden="false" customHeight="true" outlineLevel="0" collapsed="false">
      <c r="A425" s="26" t="n">
        <v>18</v>
      </c>
      <c r="B425" s="26" t="n">
        <v>15</v>
      </c>
      <c r="C425" s="26" t="str">
        <f aca="false">IF(INDEX(Planos!$B$3:$B$27,18)="","",IF(15&gt;INDEX(Planos!$G$3:$G$27,18),"",INDEX(Planos!$B$3:$B$27,18)))</f>
        <v/>
      </c>
      <c r="D425" s="40" t="str">
        <f aca="false">IF($C425="","",IFERROR(INDEX(Ativos!$B$3:$B$42,MATCH($C425,Ativos!$A$3:$A$42,0)),""))</f>
        <v/>
      </c>
      <c r="E425" s="40" t="str">
        <f aca="false">IF($C425="","",INDEX(Planos!$C$3:$C$27,18))</f>
        <v/>
      </c>
      <c r="F425" s="40" t="str">
        <f aca="false">IF($C425="","",INDEX(Planos!$D$3:$D$27,18))</f>
        <v/>
      </c>
      <c r="G425" s="41" t="n">
        <f aca="false">IF($C425="",0,INDEX(Planos!$F$3:$F$27,18)+(15-1)*INDEX(Planos!$E$3:$E$27,18))</f>
        <v>0</v>
      </c>
      <c r="H425" s="40" t="str">
        <f aca="false">IF($C425="","",INDEX(Planos!$H$3:$H$27,18))</f>
        <v/>
      </c>
      <c r="I425" s="41" t="str">
        <f aca="false">IF($C425="","",IF(INDEX(Planos!$J$3:$AG$27,$A425,$B425)=0,"",INDEX(Planos!$J$3:$AG$27,$A425,$B425)))</f>
        <v/>
      </c>
      <c r="J425" s="26" t="str">
        <f aca="false">IF($C425="","",IF($I425&lt;&gt;"","Realizada",IF($G425&lt;INT(Parâmetros!$C$4),"Atrasada","Agendada")))</f>
        <v/>
      </c>
      <c r="K425" s="42" t="str">
        <f aca="false">IF($C425="","",IF($I425&lt;&gt;"",$I425-$G425,IF($J425="Atrasada",INT(Parâmetros!$C$4)-$G425,"")))</f>
        <v/>
      </c>
      <c r="L425" s="26" t="str">
        <f aca="false">IF($J425&lt;&gt;"Realizada","",IF($K425&lt;=0,"No prazo",IF($K425&lt;=7,"Até 7 dias",IF($K425&lt;=30,"Até 30 dias","Acima de 30"))))</f>
        <v/>
      </c>
      <c r="M425" s="26" t="str">
        <f aca="false">IF($C425="","",COUNTIFS($G$3:$G425,$G425))</f>
        <v/>
      </c>
      <c r="N425" s="26" t="str">
        <f aca="false">IF($C425="","",$G425&amp;"|"&amp;$M425)</f>
        <v/>
      </c>
    </row>
    <row r="426" customFormat="false" ht="18" hidden="false" customHeight="true" outlineLevel="0" collapsed="false">
      <c r="A426" s="26" t="n">
        <v>18</v>
      </c>
      <c r="B426" s="26" t="n">
        <v>16</v>
      </c>
      <c r="C426" s="26" t="str">
        <f aca="false">IF(INDEX(Planos!$B$3:$B$27,18)="","",IF(16&gt;INDEX(Planos!$G$3:$G$27,18),"",INDEX(Planos!$B$3:$B$27,18)))</f>
        <v/>
      </c>
      <c r="D426" s="40" t="str">
        <f aca="false">IF($C426="","",IFERROR(INDEX(Ativos!$B$3:$B$42,MATCH($C426,Ativos!$A$3:$A$42,0)),""))</f>
        <v/>
      </c>
      <c r="E426" s="40" t="str">
        <f aca="false">IF($C426="","",INDEX(Planos!$C$3:$C$27,18))</f>
        <v/>
      </c>
      <c r="F426" s="40" t="str">
        <f aca="false">IF($C426="","",INDEX(Planos!$D$3:$D$27,18))</f>
        <v/>
      </c>
      <c r="G426" s="41" t="n">
        <f aca="false">IF($C426="",0,INDEX(Planos!$F$3:$F$27,18)+(16-1)*INDEX(Planos!$E$3:$E$27,18))</f>
        <v>0</v>
      </c>
      <c r="H426" s="40" t="str">
        <f aca="false">IF($C426="","",INDEX(Planos!$H$3:$H$27,18))</f>
        <v/>
      </c>
      <c r="I426" s="41" t="str">
        <f aca="false">IF($C426="","",IF(INDEX(Planos!$J$3:$AG$27,$A426,$B426)=0,"",INDEX(Planos!$J$3:$AG$27,$A426,$B426)))</f>
        <v/>
      </c>
      <c r="J426" s="26" t="str">
        <f aca="false">IF($C426="","",IF($I426&lt;&gt;"","Realizada",IF($G426&lt;INT(Parâmetros!$C$4),"Atrasada","Agendada")))</f>
        <v/>
      </c>
      <c r="K426" s="42" t="str">
        <f aca="false">IF($C426="","",IF($I426&lt;&gt;"",$I426-$G426,IF($J426="Atrasada",INT(Parâmetros!$C$4)-$G426,"")))</f>
        <v/>
      </c>
      <c r="L426" s="26" t="str">
        <f aca="false">IF($J426&lt;&gt;"Realizada","",IF($K426&lt;=0,"No prazo",IF($K426&lt;=7,"Até 7 dias",IF($K426&lt;=30,"Até 30 dias","Acima de 30"))))</f>
        <v/>
      </c>
      <c r="M426" s="26" t="str">
        <f aca="false">IF($C426="","",COUNTIFS($G$3:$G426,$G426))</f>
        <v/>
      </c>
      <c r="N426" s="26" t="str">
        <f aca="false">IF($C426="","",$G426&amp;"|"&amp;$M426)</f>
        <v/>
      </c>
    </row>
    <row r="427" customFormat="false" ht="18" hidden="false" customHeight="true" outlineLevel="0" collapsed="false">
      <c r="A427" s="26" t="n">
        <v>18</v>
      </c>
      <c r="B427" s="26" t="n">
        <v>17</v>
      </c>
      <c r="C427" s="26" t="str">
        <f aca="false">IF(INDEX(Planos!$B$3:$B$27,18)="","",IF(17&gt;INDEX(Planos!$G$3:$G$27,18),"",INDEX(Planos!$B$3:$B$27,18)))</f>
        <v/>
      </c>
      <c r="D427" s="40" t="str">
        <f aca="false">IF($C427="","",IFERROR(INDEX(Ativos!$B$3:$B$42,MATCH($C427,Ativos!$A$3:$A$42,0)),""))</f>
        <v/>
      </c>
      <c r="E427" s="40" t="str">
        <f aca="false">IF($C427="","",INDEX(Planos!$C$3:$C$27,18))</f>
        <v/>
      </c>
      <c r="F427" s="40" t="str">
        <f aca="false">IF($C427="","",INDEX(Planos!$D$3:$D$27,18))</f>
        <v/>
      </c>
      <c r="G427" s="41" t="n">
        <f aca="false">IF($C427="",0,INDEX(Planos!$F$3:$F$27,18)+(17-1)*INDEX(Planos!$E$3:$E$27,18))</f>
        <v>0</v>
      </c>
      <c r="H427" s="40" t="str">
        <f aca="false">IF($C427="","",INDEX(Planos!$H$3:$H$27,18))</f>
        <v/>
      </c>
      <c r="I427" s="41" t="str">
        <f aca="false">IF($C427="","",IF(INDEX(Planos!$J$3:$AG$27,$A427,$B427)=0,"",INDEX(Planos!$J$3:$AG$27,$A427,$B427)))</f>
        <v/>
      </c>
      <c r="J427" s="26" t="str">
        <f aca="false">IF($C427="","",IF($I427&lt;&gt;"","Realizada",IF($G427&lt;INT(Parâmetros!$C$4),"Atrasada","Agendada")))</f>
        <v/>
      </c>
      <c r="K427" s="42" t="str">
        <f aca="false">IF($C427="","",IF($I427&lt;&gt;"",$I427-$G427,IF($J427="Atrasada",INT(Parâmetros!$C$4)-$G427,"")))</f>
        <v/>
      </c>
      <c r="L427" s="26" t="str">
        <f aca="false">IF($J427&lt;&gt;"Realizada","",IF($K427&lt;=0,"No prazo",IF($K427&lt;=7,"Até 7 dias",IF($K427&lt;=30,"Até 30 dias","Acima de 30"))))</f>
        <v/>
      </c>
      <c r="M427" s="26" t="str">
        <f aca="false">IF($C427="","",COUNTIFS($G$3:$G427,$G427))</f>
        <v/>
      </c>
      <c r="N427" s="26" t="str">
        <f aca="false">IF($C427="","",$G427&amp;"|"&amp;$M427)</f>
        <v/>
      </c>
    </row>
    <row r="428" customFormat="false" ht="18" hidden="false" customHeight="true" outlineLevel="0" collapsed="false">
      <c r="A428" s="26" t="n">
        <v>18</v>
      </c>
      <c r="B428" s="26" t="n">
        <v>18</v>
      </c>
      <c r="C428" s="26" t="str">
        <f aca="false">IF(INDEX(Planos!$B$3:$B$27,18)="","",IF(18&gt;INDEX(Planos!$G$3:$G$27,18),"",INDEX(Planos!$B$3:$B$27,18)))</f>
        <v/>
      </c>
      <c r="D428" s="40" t="str">
        <f aca="false">IF($C428="","",IFERROR(INDEX(Ativos!$B$3:$B$42,MATCH($C428,Ativos!$A$3:$A$42,0)),""))</f>
        <v/>
      </c>
      <c r="E428" s="40" t="str">
        <f aca="false">IF($C428="","",INDEX(Planos!$C$3:$C$27,18))</f>
        <v/>
      </c>
      <c r="F428" s="40" t="str">
        <f aca="false">IF($C428="","",INDEX(Planos!$D$3:$D$27,18))</f>
        <v/>
      </c>
      <c r="G428" s="41" t="n">
        <f aca="false">IF($C428="",0,INDEX(Planos!$F$3:$F$27,18)+(18-1)*INDEX(Planos!$E$3:$E$27,18))</f>
        <v>0</v>
      </c>
      <c r="H428" s="40" t="str">
        <f aca="false">IF($C428="","",INDEX(Planos!$H$3:$H$27,18))</f>
        <v/>
      </c>
      <c r="I428" s="41" t="str">
        <f aca="false">IF($C428="","",IF(INDEX(Planos!$J$3:$AG$27,$A428,$B428)=0,"",INDEX(Planos!$J$3:$AG$27,$A428,$B428)))</f>
        <v/>
      </c>
      <c r="J428" s="26" t="str">
        <f aca="false">IF($C428="","",IF($I428&lt;&gt;"","Realizada",IF($G428&lt;INT(Parâmetros!$C$4),"Atrasada","Agendada")))</f>
        <v/>
      </c>
      <c r="K428" s="42" t="str">
        <f aca="false">IF($C428="","",IF($I428&lt;&gt;"",$I428-$G428,IF($J428="Atrasada",INT(Parâmetros!$C$4)-$G428,"")))</f>
        <v/>
      </c>
      <c r="L428" s="26" t="str">
        <f aca="false">IF($J428&lt;&gt;"Realizada","",IF($K428&lt;=0,"No prazo",IF($K428&lt;=7,"Até 7 dias",IF($K428&lt;=30,"Até 30 dias","Acima de 30"))))</f>
        <v/>
      </c>
      <c r="M428" s="26" t="str">
        <f aca="false">IF($C428="","",COUNTIFS($G$3:$G428,$G428))</f>
        <v/>
      </c>
      <c r="N428" s="26" t="str">
        <f aca="false">IF($C428="","",$G428&amp;"|"&amp;$M428)</f>
        <v/>
      </c>
    </row>
    <row r="429" customFormat="false" ht="18" hidden="false" customHeight="true" outlineLevel="0" collapsed="false">
      <c r="A429" s="26" t="n">
        <v>18</v>
      </c>
      <c r="B429" s="26" t="n">
        <v>19</v>
      </c>
      <c r="C429" s="26" t="str">
        <f aca="false">IF(INDEX(Planos!$B$3:$B$27,18)="","",IF(19&gt;INDEX(Planos!$G$3:$G$27,18),"",INDEX(Planos!$B$3:$B$27,18)))</f>
        <v/>
      </c>
      <c r="D429" s="40" t="str">
        <f aca="false">IF($C429="","",IFERROR(INDEX(Ativos!$B$3:$B$42,MATCH($C429,Ativos!$A$3:$A$42,0)),""))</f>
        <v/>
      </c>
      <c r="E429" s="40" t="str">
        <f aca="false">IF($C429="","",INDEX(Planos!$C$3:$C$27,18))</f>
        <v/>
      </c>
      <c r="F429" s="40" t="str">
        <f aca="false">IF($C429="","",INDEX(Planos!$D$3:$D$27,18))</f>
        <v/>
      </c>
      <c r="G429" s="41" t="n">
        <f aca="false">IF($C429="",0,INDEX(Planos!$F$3:$F$27,18)+(19-1)*INDEX(Planos!$E$3:$E$27,18))</f>
        <v>0</v>
      </c>
      <c r="H429" s="40" t="str">
        <f aca="false">IF($C429="","",INDEX(Planos!$H$3:$H$27,18))</f>
        <v/>
      </c>
      <c r="I429" s="41" t="str">
        <f aca="false">IF($C429="","",IF(INDEX(Planos!$J$3:$AG$27,$A429,$B429)=0,"",INDEX(Planos!$J$3:$AG$27,$A429,$B429)))</f>
        <v/>
      </c>
      <c r="J429" s="26" t="str">
        <f aca="false">IF($C429="","",IF($I429&lt;&gt;"","Realizada",IF($G429&lt;INT(Parâmetros!$C$4),"Atrasada","Agendada")))</f>
        <v/>
      </c>
      <c r="K429" s="42" t="str">
        <f aca="false">IF($C429="","",IF($I429&lt;&gt;"",$I429-$G429,IF($J429="Atrasada",INT(Parâmetros!$C$4)-$G429,"")))</f>
        <v/>
      </c>
      <c r="L429" s="26" t="str">
        <f aca="false">IF($J429&lt;&gt;"Realizada","",IF($K429&lt;=0,"No prazo",IF($K429&lt;=7,"Até 7 dias",IF($K429&lt;=30,"Até 30 dias","Acima de 30"))))</f>
        <v/>
      </c>
      <c r="M429" s="26" t="str">
        <f aca="false">IF($C429="","",COUNTIFS($G$3:$G429,$G429))</f>
        <v/>
      </c>
      <c r="N429" s="26" t="str">
        <f aca="false">IF($C429="","",$G429&amp;"|"&amp;$M429)</f>
        <v/>
      </c>
    </row>
    <row r="430" customFormat="false" ht="18" hidden="false" customHeight="true" outlineLevel="0" collapsed="false">
      <c r="A430" s="26" t="n">
        <v>18</v>
      </c>
      <c r="B430" s="26" t="n">
        <v>20</v>
      </c>
      <c r="C430" s="26" t="str">
        <f aca="false">IF(INDEX(Planos!$B$3:$B$27,18)="","",IF(20&gt;INDEX(Planos!$G$3:$G$27,18),"",INDEX(Planos!$B$3:$B$27,18)))</f>
        <v/>
      </c>
      <c r="D430" s="40" t="str">
        <f aca="false">IF($C430="","",IFERROR(INDEX(Ativos!$B$3:$B$42,MATCH($C430,Ativos!$A$3:$A$42,0)),""))</f>
        <v/>
      </c>
      <c r="E430" s="40" t="str">
        <f aca="false">IF($C430="","",INDEX(Planos!$C$3:$C$27,18))</f>
        <v/>
      </c>
      <c r="F430" s="40" t="str">
        <f aca="false">IF($C430="","",INDEX(Planos!$D$3:$D$27,18))</f>
        <v/>
      </c>
      <c r="G430" s="41" t="n">
        <f aca="false">IF($C430="",0,INDEX(Planos!$F$3:$F$27,18)+(20-1)*INDEX(Planos!$E$3:$E$27,18))</f>
        <v>0</v>
      </c>
      <c r="H430" s="40" t="str">
        <f aca="false">IF($C430="","",INDEX(Planos!$H$3:$H$27,18))</f>
        <v/>
      </c>
      <c r="I430" s="41" t="str">
        <f aca="false">IF($C430="","",IF(INDEX(Planos!$J$3:$AG$27,$A430,$B430)=0,"",INDEX(Planos!$J$3:$AG$27,$A430,$B430)))</f>
        <v/>
      </c>
      <c r="J430" s="26" t="str">
        <f aca="false">IF($C430="","",IF($I430&lt;&gt;"","Realizada",IF($G430&lt;INT(Parâmetros!$C$4),"Atrasada","Agendada")))</f>
        <v/>
      </c>
      <c r="K430" s="42" t="str">
        <f aca="false">IF($C430="","",IF($I430&lt;&gt;"",$I430-$G430,IF($J430="Atrasada",INT(Parâmetros!$C$4)-$G430,"")))</f>
        <v/>
      </c>
      <c r="L430" s="26" t="str">
        <f aca="false">IF($J430&lt;&gt;"Realizada","",IF($K430&lt;=0,"No prazo",IF($K430&lt;=7,"Até 7 dias",IF($K430&lt;=30,"Até 30 dias","Acima de 30"))))</f>
        <v/>
      </c>
      <c r="M430" s="26" t="str">
        <f aca="false">IF($C430="","",COUNTIFS($G$3:$G430,$G430))</f>
        <v/>
      </c>
      <c r="N430" s="26" t="str">
        <f aca="false">IF($C430="","",$G430&amp;"|"&amp;$M430)</f>
        <v/>
      </c>
    </row>
    <row r="431" customFormat="false" ht="18" hidden="false" customHeight="true" outlineLevel="0" collapsed="false">
      <c r="A431" s="26" t="n">
        <v>18</v>
      </c>
      <c r="B431" s="26" t="n">
        <v>21</v>
      </c>
      <c r="C431" s="26" t="str">
        <f aca="false">IF(INDEX(Planos!$B$3:$B$27,18)="","",IF(21&gt;INDEX(Planos!$G$3:$G$27,18),"",INDEX(Planos!$B$3:$B$27,18)))</f>
        <v/>
      </c>
      <c r="D431" s="40" t="str">
        <f aca="false">IF($C431="","",IFERROR(INDEX(Ativos!$B$3:$B$42,MATCH($C431,Ativos!$A$3:$A$42,0)),""))</f>
        <v/>
      </c>
      <c r="E431" s="40" t="str">
        <f aca="false">IF($C431="","",INDEX(Planos!$C$3:$C$27,18))</f>
        <v/>
      </c>
      <c r="F431" s="40" t="str">
        <f aca="false">IF($C431="","",INDEX(Planos!$D$3:$D$27,18))</f>
        <v/>
      </c>
      <c r="G431" s="41" t="n">
        <f aca="false">IF($C431="",0,INDEX(Planos!$F$3:$F$27,18)+(21-1)*INDEX(Planos!$E$3:$E$27,18))</f>
        <v>0</v>
      </c>
      <c r="H431" s="40" t="str">
        <f aca="false">IF($C431="","",INDEX(Planos!$H$3:$H$27,18))</f>
        <v/>
      </c>
      <c r="I431" s="41" t="str">
        <f aca="false">IF($C431="","",IF(INDEX(Planos!$J$3:$AG$27,$A431,$B431)=0,"",INDEX(Planos!$J$3:$AG$27,$A431,$B431)))</f>
        <v/>
      </c>
      <c r="J431" s="26" t="str">
        <f aca="false">IF($C431="","",IF($I431&lt;&gt;"","Realizada",IF($G431&lt;INT(Parâmetros!$C$4),"Atrasada","Agendada")))</f>
        <v/>
      </c>
      <c r="K431" s="42" t="str">
        <f aca="false">IF($C431="","",IF($I431&lt;&gt;"",$I431-$G431,IF($J431="Atrasada",INT(Parâmetros!$C$4)-$G431,"")))</f>
        <v/>
      </c>
      <c r="L431" s="26" t="str">
        <f aca="false">IF($J431&lt;&gt;"Realizada","",IF($K431&lt;=0,"No prazo",IF($K431&lt;=7,"Até 7 dias",IF($K431&lt;=30,"Até 30 dias","Acima de 30"))))</f>
        <v/>
      </c>
      <c r="M431" s="26" t="str">
        <f aca="false">IF($C431="","",COUNTIFS($G$3:$G431,$G431))</f>
        <v/>
      </c>
      <c r="N431" s="26" t="str">
        <f aca="false">IF($C431="","",$G431&amp;"|"&amp;$M431)</f>
        <v/>
      </c>
    </row>
    <row r="432" customFormat="false" ht="18" hidden="false" customHeight="true" outlineLevel="0" collapsed="false">
      <c r="A432" s="26" t="n">
        <v>18</v>
      </c>
      <c r="B432" s="26" t="n">
        <v>22</v>
      </c>
      <c r="C432" s="26" t="str">
        <f aca="false">IF(INDEX(Planos!$B$3:$B$27,18)="","",IF(22&gt;INDEX(Planos!$G$3:$G$27,18),"",INDEX(Planos!$B$3:$B$27,18)))</f>
        <v/>
      </c>
      <c r="D432" s="40" t="str">
        <f aca="false">IF($C432="","",IFERROR(INDEX(Ativos!$B$3:$B$42,MATCH($C432,Ativos!$A$3:$A$42,0)),""))</f>
        <v/>
      </c>
      <c r="E432" s="40" t="str">
        <f aca="false">IF($C432="","",INDEX(Planos!$C$3:$C$27,18))</f>
        <v/>
      </c>
      <c r="F432" s="40" t="str">
        <f aca="false">IF($C432="","",INDEX(Planos!$D$3:$D$27,18))</f>
        <v/>
      </c>
      <c r="G432" s="41" t="n">
        <f aca="false">IF($C432="",0,INDEX(Planos!$F$3:$F$27,18)+(22-1)*INDEX(Planos!$E$3:$E$27,18))</f>
        <v>0</v>
      </c>
      <c r="H432" s="40" t="str">
        <f aca="false">IF($C432="","",INDEX(Planos!$H$3:$H$27,18))</f>
        <v/>
      </c>
      <c r="I432" s="41" t="str">
        <f aca="false">IF($C432="","",IF(INDEX(Planos!$J$3:$AG$27,$A432,$B432)=0,"",INDEX(Planos!$J$3:$AG$27,$A432,$B432)))</f>
        <v/>
      </c>
      <c r="J432" s="26" t="str">
        <f aca="false">IF($C432="","",IF($I432&lt;&gt;"","Realizada",IF($G432&lt;INT(Parâmetros!$C$4),"Atrasada","Agendada")))</f>
        <v/>
      </c>
      <c r="K432" s="42" t="str">
        <f aca="false">IF($C432="","",IF($I432&lt;&gt;"",$I432-$G432,IF($J432="Atrasada",INT(Parâmetros!$C$4)-$G432,"")))</f>
        <v/>
      </c>
      <c r="L432" s="26" t="str">
        <f aca="false">IF($J432&lt;&gt;"Realizada","",IF($K432&lt;=0,"No prazo",IF($K432&lt;=7,"Até 7 dias",IF($K432&lt;=30,"Até 30 dias","Acima de 30"))))</f>
        <v/>
      </c>
      <c r="M432" s="26" t="str">
        <f aca="false">IF($C432="","",COUNTIFS($G$3:$G432,$G432))</f>
        <v/>
      </c>
      <c r="N432" s="26" t="str">
        <f aca="false">IF($C432="","",$G432&amp;"|"&amp;$M432)</f>
        <v/>
      </c>
    </row>
    <row r="433" customFormat="false" ht="18" hidden="false" customHeight="true" outlineLevel="0" collapsed="false">
      <c r="A433" s="26" t="n">
        <v>18</v>
      </c>
      <c r="B433" s="26" t="n">
        <v>23</v>
      </c>
      <c r="C433" s="26" t="str">
        <f aca="false">IF(INDEX(Planos!$B$3:$B$27,18)="","",IF(23&gt;INDEX(Planos!$G$3:$G$27,18),"",INDEX(Planos!$B$3:$B$27,18)))</f>
        <v/>
      </c>
      <c r="D433" s="40" t="str">
        <f aca="false">IF($C433="","",IFERROR(INDEX(Ativos!$B$3:$B$42,MATCH($C433,Ativos!$A$3:$A$42,0)),""))</f>
        <v/>
      </c>
      <c r="E433" s="40" t="str">
        <f aca="false">IF($C433="","",INDEX(Planos!$C$3:$C$27,18))</f>
        <v/>
      </c>
      <c r="F433" s="40" t="str">
        <f aca="false">IF($C433="","",INDEX(Planos!$D$3:$D$27,18))</f>
        <v/>
      </c>
      <c r="G433" s="41" t="n">
        <f aca="false">IF($C433="",0,INDEX(Planos!$F$3:$F$27,18)+(23-1)*INDEX(Planos!$E$3:$E$27,18))</f>
        <v>0</v>
      </c>
      <c r="H433" s="40" t="str">
        <f aca="false">IF($C433="","",INDEX(Planos!$H$3:$H$27,18))</f>
        <v/>
      </c>
      <c r="I433" s="41" t="str">
        <f aca="false">IF($C433="","",IF(INDEX(Planos!$J$3:$AG$27,$A433,$B433)=0,"",INDEX(Planos!$J$3:$AG$27,$A433,$B433)))</f>
        <v/>
      </c>
      <c r="J433" s="26" t="str">
        <f aca="false">IF($C433="","",IF($I433&lt;&gt;"","Realizada",IF($G433&lt;INT(Parâmetros!$C$4),"Atrasada","Agendada")))</f>
        <v/>
      </c>
      <c r="K433" s="42" t="str">
        <f aca="false">IF($C433="","",IF($I433&lt;&gt;"",$I433-$G433,IF($J433="Atrasada",INT(Parâmetros!$C$4)-$G433,"")))</f>
        <v/>
      </c>
      <c r="L433" s="26" t="str">
        <f aca="false">IF($J433&lt;&gt;"Realizada","",IF($K433&lt;=0,"No prazo",IF($K433&lt;=7,"Até 7 dias",IF($K433&lt;=30,"Até 30 dias","Acima de 30"))))</f>
        <v/>
      </c>
      <c r="M433" s="26" t="str">
        <f aca="false">IF($C433="","",COUNTIFS($G$3:$G433,$G433))</f>
        <v/>
      </c>
      <c r="N433" s="26" t="str">
        <f aca="false">IF($C433="","",$G433&amp;"|"&amp;$M433)</f>
        <v/>
      </c>
    </row>
    <row r="434" customFormat="false" ht="18" hidden="false" customHeight="true" outlineLevel="0" collapsed="false">
      <c r="A434" s="26" t="n">
        <v>18</v>
      </c>
      <c r="B434" s="26" t="n">
        <v>24</v>
      </c>
      <c r="C434" s="26" t="str">
        <f aca="false">IF(INDEX(Planos!$B$3:$B$27,18)="","",IF(24&gt;INDEX(Planos!$G$3:$G$27,18),"",INDEX(Planos!$B$3:$B$27,18)))</f>
        <v/>
      </c>
      <c r="D434" s="40" t="str">
        <f aca="false">IF($C434="","",IFERROR(INDEX(Ativos!$B$3:$B$42,MATCH($C434,Ativos!$A$3:$A$42,0)),""))</f>
        <v/>
      </c>
      <c r="E434" s="40" t="str">
        <f aca="false">IF($C434="","",INDEX(Planos!$C$3:$C$27,18))</f>
        <v/>
      </c>
      <c r="F434" s="40" t="str">
        <f aca="false">IF($C434="","",INDEX(Planos!$D$3:$D$27,18))</f>
        <v/>
      </c>
      <c r="G434" s="41" t="n">
        <f aca="false">IF($C434="",0,INDEX(Planos!$F$3:$F$27,18)+(24-1)*INDEX(Planos!$E$3:$E$27,18))</f>
        <v>0</v>
      </c>
      <c r="H434" s="40" t="str">
        <f aca="false">IF($C434="","",INDEX(Planos!$H$3:$H$27,18))</f>
        <v/>
      </c>
      <c r="I434" s="41" t="str">
        <f aca="false">IF($C434="","",IF(INDEX(Planos!$J$3:$AG$27,$A434,$B434)=0,"",INDEX(Planos!$J$3:$AG$27,$A434,$B434)))</f>
        <v/>
      </c>
      <c r="J434" s="26" t="str">
        <f aca="false">IF($C434="","",IF($I434&lt;&gt;"","Realizada",IF($G434&lt;INT(Parâmetros!$C$4),"Atrasada","Agendada")))</f>
        <v/>
      </c>
      <c r="K434" s="42" t="str">
        <f aca="false">IF($C434="","",IF($I434&lt;&gt;"",$I434-$G434,IF($J434="Atrasada",INT(Parâmetros!$C$4)-$G434,"")))</f>
        <v/>
      </c>
      <c r="L434" s="26" t="str">
        <f aca="false">IF($J434&lt;&gt;"Realizada","",IF($K434&lt;=0,"No prazo",IF($K434&lt;=7,"Até 7 dias",IF($K434&lt;=30,"Até 30 dias","Acima de 30"))))</f>
        <v/>
      </c>
      <c r="M434" s="26" t="str">
        <f aca="false">IF($C434="","",COUNTIFS($G$3:$G434,$G434))</f>
        <v/>
      </c>
      <c r="N434" s="26" t="str">
        <f aca="false">IF($C434="","",$G434&amp;"|"&amp;$M434)</f>
        <v/>
      </c>
    </row>
    <row r="435" customFormat="false" ht="18" hidden="false" customHeight="true" outlineLevel="0" collapsed="false">
      <c r="A435" s="26" t="n">
        <v>19</v>
      </c>
      <c r="B435" s="26" t="n">
        <v>1</v>
      </c>
      <c r="C435" s="26" t="str">
        <f aca="false">IF(INDEX(Planos!$B$3:$B$27,19)="","",IF(1&gt;INDEX(Planos!$G$3:$G$27,19),"",INDEX(Planos!$B$3:$B$27,19)))</f>
        <v/>
      </c>
      <c r="D435" s="40" t="str">
        <f aca="false">IF($C435="","",IFERROR(INDEX(Ativos!$B$3:$B$42,MATCH($C435,Ativos!$A$3:$A$42,0)),""))</f>
        <v/>
      </c>
      <c r="E435" s="40" t="str">
        <f aca="false">IF($C435="","",INDEX(Planos!$C$3:$C$27,19))</f>
        <v/>
      </c>
      <c r="F435" s="40" t="str">
        <f aca="false">IF($C435="","",INDEX(Planos!$D$3:$D$27,19))</f>
        <v/>
      </c>
      <c r="G435" s="41" t="n">
        <f aca="false">IF($C435="",0,INDEX(Planos!$F$3:$F$27,19)+(1-1)*INDEX(Planos!$E$3:$E$27,19))</f>
        <v>0</v>
      </c>
      <c r="H435" s="40" t="str">
        <f aca="false">IF($C435="","",INDEX(Planos!$H$3:$H$27,19))</f>
        <v/>
      </c>
      <c r="I435" s="41" t="str">
        <f aca="false">IF($C435="","",IF(INDEX(Planos!$J$3:$AG$27,$A435,$B435)=0,"",INDEX(Planos!$J$3:$AG$27,$A435,$B435)))</f>
        <v/>
      </c>
      <c r="J435" s="26" t="str">
        <f aca="false">IF($C435="","",IF($I435&lt;&gt;"","Realizada",IF($G435&lt;INT(Parâmetros!$C$4),"Atrasada","Agendada")))</f>
        <v/>
      </c>
      <c r="K435" s="42" t="str">
        <f aca="false">IF($C435="","",IF($I435&lt;&gt;"",$I435-$G435,IF($J435="Atrasada",INT(Parâmetros!$C$4)-$G435,"")))</f>
        <v/>
      </c>
      <c r="L435" s="26" t="str">
        <f aca="false">IF($J435&lt;&gt;"Realizada","",IF($K435&lt;=0,"No prazo",IF($K435&lt;=7,"Até 7 dias",IF($K435&lt;=30,"Até 30 dias","Acima de 30"))))</f>
        <v/>
      </c>
      <c r="M435" s="26" t="str">
        <f aca="false">IF($C435="","",COUNTIFS($G$3:$G435,$G435))</f>
        <v/>
      </c>
      <c r="N435" s="26" t="str">
        <f aca="false">IF($C435="","",$G435&amp;"|"&amp;$M435)</f>
        <v/>
      </c>
    </row>
    <row r="436" customFormat="false" ht="18" hidden="false" customHeight="true" outlineLevel="0" collapsed="false">
      <c r="A436" s="26" t="n">
        <v>19</v>
      </c>
      <c r="B436" s="26" t="n">
        <v>2</v>
      </c>
      <c r="C436" s="26" t="str">
        <f aca="false">IF(INDEX(Planos!$B$3:$B$27,19)="","",IF(2&gt;INDEX(Planos!$G$3:$G$27,19),"",INDEX(Planos!$B$3:$B$27,19)))</f>
        <v/>
      </c>
      <c r="D436" s="40" t="str">
        <f aca="false">IF($C436="","",IFERROR(INDEX(Ativos!$B$3:$B$42,MATCH($C436,Ativos!$A$3:$A$42,0)),""))</f>
        <v/>
      </c>
      <c r="E436" s="40" t="str">
        <f aca="false">IF($C436="","",INDEX(Planos!$C$3:$C$27,19))</f>
        <v/>
      </c>
      <c r="F436" s="40" t="str">
        <f aca="false">IF($C436="","",INDEX(Planos!$D$3:$D$27,19))</f>
        <v/>
      </c>
      <c r="G436" s="41" t="n">
        <f aca="false">IF($C436="",0,INDEX(Planos!$F$3:$F$27,19)+(2-1)*INDEX(Planos!$E$3:$E$27,19))</f>
        <v>0</v>
      </c>
      <c r="H436" s="40" t="str">
        <f aca="false">IF($C436="","",INDEX(Planos!$H$3:$H$27,19))</f>
        <v/>
      </c>
      <c r="I436" s="41" t="str">
        <f aca="false">IF($C436="","",IF(INDEX(Planos!$J$3:$AG$27,$A436,$B436)=0,"",INDEX(Planos!$J$3:$AG$27,$A436,$B436)))</f>
        <v/>
      </c>
      <c r="J436" s="26" t="str">
        <f aca="false">IF($C436="","",IF($I436&lt;&gt;"","Realizada",IF($G436&lt;INT(Parâmetros!$C$4),"Atrasada","Agendada")))</f>
        <v/>
      </c>
      <c r="K436" s="42" t="str">
        <f aca="false">IF($C436="","",IF($I436&lt;&gt;"",$I436-$G436,IF($J436="Atrasada",INT(Parâmetros!$C$4)-$G436,"")))</f>
        <v/>
      </c>
      <c r="L436" s="26" t="str">
        <f aca="false">IF($J436&lt;&gt;"Realizada","",IF($K436&lt;=0,"No prazo",IF($K436&lt;=7,"Até 7 dias",IF($K436&lt;=30,"Até 30 dias","Acima de 30"))))</f>
        <v/>
      </c>
      <c r="M436" s="26" t="str">
        <f aca="false">IF($C436="","",COUNTIFS($G$3:$G436,$G436))</f>
        <v/>
      </c>
      <c r="N436" s="26" t="str">
        <f aca="false">IF($C436="","",$G436&amp;"|"&amp;$M436)</f>
        <v/>
      </c>
    </row>
    <row r="437" customFormat="false" ht="18" hidden="false" customHeight="true" outlineLevel="0" collapsed="false">
      <c r="A437" s="26" t="n">
        <v>19</v>
      </c>
      <c r="B437" s="26" t="n">
        <v>3</v>
      </c>
      <c r="C437" s="26" t="str">
        <f aca="false">IF(INDEX(Planos!$B$3:$B$27,19)="","",IF(3&gt;INDEX(Planos!$G$3:$G$27,19),"",INDEX(Planos!$B$3:$B$27,19)))</f>
        <v/>
      </c>
      <c r="D437" s="40" t="str">
        <f aca="false">IF($C437="","",IFERROR(INDEX(Ativos!$B$3:$B$42,MATCH($C437,Ativos!$A$3:$A$42,0)),""))</f>
        <v/>
      </c>
      <c r="E437" s="40" t="str">
        <f aca="false">IF($C437="","",INDEX(Planos!$C$3:$C$27,19))</f>
        <v/>
      </c>
      <c r="F437" s="40" t="str">
        <f aca="false">IF($C437="","",INDEX(Planos!$D$3:$D$27,19))</f>
        <v/>
      </c>
      <c r="G437" s="41" t="n">
        <f aca="false">IF($C437="",0,INDEX(Planos!$F$3:$F$27,19)+(3-1)*INDEX(Planos!$E$3:$E$27,19))</f>
        <v>0</v>
      </c>
      <c r="H437" s="40" t="str">
        <f aca="false">IF($C437="","",INDEX(Planos!$H$3:$H$27,19))</f>
        <v/>
      </c>
      <c r="I437" s="41" t="str">
        <f aca="false">IF($C437="","",IF(INDEX(Planos!$J$3:$AG$27,$A437,$B437)=0,"",INDEX(Planos!$J$3:$AG$27,$A437,$B437)))</f>
        <v/>
      </c>
      <c r="J437" s="26" t="str">
        <f aca="false">IF($C437="","",IF($I437&lt;&gt;"","Realizada",IF($G437&lt;INT(Parâmetros!$C$4),"Atrasada","Agendada")))</f>
        <v/>
      </c>
      <c r="K437" s="42" t="str">
        <f aca="false">IF($C437="","",IF($I437&lt;&gt;"",$I437-$G437,IF($J437="Atrasada",INT(Parâmetros!$C$4)-$G437,"")))</f>
        <v/>
      </c>
      <c r="L437" s="26" t="str">
        <f aca="false">IF($J437&lt;&gt;"Realizada","",IF($K437&lt;=0,"No prazo",IF($K437&lt;=7,"Até 7 dias",IF($K437&lt;=30,"Até 30 dias","Acima de 30"))))</f>
        <v/>
      </c>
      <c r="M437" s="26" t="str">
        <f aca="false">IF($C437="","",COUNTIFS($G$3:$G437,$G437))</f>
        <v/>
      </c>
      <c r="N437" s="26" t="str">
        <f aca="false">IF($C437="","",$G437&amp;"|"&amp;$M437)</f>
        <v/>
      </c>
    </row>
    <row r="438" customFormat="false" ht="18" hidden="false" customHeight="true" outlineLevel="0" collapsed="false">
      <c r="A438" s="26" t="n">
        <v>19</v>
      </c>
      <c r="B438" s="26" t="n">
        <v>4</v>
      </c>
      <c r="C438" s="26" t="str">
        <f aca="false">IF(INDEX(Planos!$B$3:$B$27,19)="","",IF(4&gt;INDEX(Planos!$G$3:$G$27,19),"",INDEX(Planos!$B$3:$B$27,19)))</f>
        <v/>
      </c>
      <c r="D438" s="40" t="str">
        <f aca="false">IF($C438="","",IFERROR(INDEX(Ativos!$B$3:$B$42,MATCH($C438,Ativos!$A$3:$A$42,0)),""))</f>
        <v/>
      </c>
      <c r="E438" s="40" t="str">
        <f aca="false">IF($C438="","",INDEX(Planos!$C$3:$C$27,19))</f>
        <v/>
      </c>
      <c r="F438" s="40" t="str">
        <f aca="false">IF($C438="","",INDEX(Planos!$D$3:$D$27,19))</f>
        <v/>
      </c>
      <c r="G438" s="41" t="n">
        <f aca="false">IF($C438="",0,INDEX(Planos!$F$3:$F$27,19)+(4-1)*INDEX(Planos!$E$3:$E$27,19))</f>
        <v>0</v>
      </c>
      <c r="H438" s="40" t="str">
        <f aca="false">IF($C438="","",INDEX(Planos!$H$3:$H$27,19))</f>
        <v/>
      </c>
      <c r="I438" s="41" t="str">
        <f aca="false">IF($C438="","",IF(INDEX(Planos!$J$3:$AG$27,$A438,$B438)=0,"",INDEX(Planos!$J$3:$AG$27,$A438,$B438)))</f>
        <v/>
      </c>
      <c r="J438" s="26" t="str">
        <f aca="false">IF($C438="","",IF($I438&lt;&gt;"","Realizada",IF($G438&lt;INT(Parâmetros!$C$4),"Atrasada","Agendada")))</f>
        <v/>
      </c>
      <c r="K438" s="42" t="str">
        <f aca="false">IF($C438="","",IF($I438&lt;&gt;"",$I438-$G438,IF($J438="Atrasada",INT(Parâmetros!$C$4)-$G438,"")))</f>
        <v/>
      </c>
      <c r="L438" s="26" t="str">
        <f aca="false">IF($J438&lt;&gt;"Realizada","",IF($K438&lt;=0,"No prazo",IF($K438&lt;=7,"Até 7 dias",IF($K438&lt;=30,"Até 30 dias","Acima de 30"))))</f>
        <v/>
      </c>
      <c r="M438" s="26" t="str">
        <f aca="false">IF($C438="","",COUNTIFS($G$3:$G438,$G438))</f>
        <v/>
      </c>
      <c r="N438" s="26" t="str">
        <f aca="false">IF($C438="","",$G438&amp;"|"&amp;$M438)</f>
        <v/>
      </c>
    </row>
    <row r="439" customFormat="false" ht="18" hidden="false" customHeight="true" outlineLevel="0" collapsed="false">
      <c r="A439" s="26" t="n">
        <v>19</v>
      </c>
      <c r="B439" s="26" t="n">
        <v>5</v>
      </c>
      <c r="C439" s="26" t="str">
        <f aca="false">IF(INDEX(Planos!$B$3:$B$27,19)="","",IF(5&gt;INDEX(Planos!$G$3:$G$27,19),"",INDEX(Planos!$B$3:$B$27,19)))</f>
        <v/>
      </c>
      <c r="D439" s="40" t="str">
        <f aca="false">IF($C439="","",IFERROR(INDEX(Ativos!$B$3:$B$42,MATCH($C439,Ativos!$A$3:$A$42,0)),""))</f>
        <v/>
      </c>
      <c r="E439" s="40" t="str">
        <f aca="false">IF($C439="","",INDEX(Planos!$C$3:$C$27,19))</f>
        <v/>
      </c>
      <c r="F439" s="40" t="str">
        <f aca="false">IF($C439="","",INDEX(Planos!$D$3:$D$27,19))</f>
        <v/>
      </c>
      <c r="G439" s="41" t="n">
        <f aca="false">IF($C439="",0,INDEX(Planos!$F$3:$F$27,19)+(5-1)*INDEX(Planos!$E$3:$E$27,19))</f>
        <v>0</v>
      </c>
      <c r="H439" s="40" t="str">
        <f aca="false">IF($C439="","",INDEX(Planos!$H$3:$H$27,19))</f>
        <v/>
      </c>
      <c r="I439" s="41" t="str">
        <f aca="false">IF($C439="","",IF(INDEX(Planos!$J$3:$AG$27,$A439,$B439)=0,"",INDEX(Planos!$J$3:$AG$27,$A439,$B439)))</f>
        <v/>
      </c>
      <c r="J439" s="26" t="str">
        <f aca="false">IF($C439="","",IF($I439&lt;&gt;"","Realizada",IF($G439&lt;INT(Parâmetros!$C$4),"Atrasada","Agendada")))</f>
        <v/>
      </c>
      <c r="K439" s="42" t="str">
        <f aca="false">IF($C439="","",IF($I439&lt;&gt;"",$I439-$G439,IF($J439="Atrasada",INT(Parâmetros!$C$4)-$G439,"")))</f>
        <v/>
      </c>
      <c r="L439" s="26" t="str">
        <f aca="false">IF($J439&lt;&gt;"Realizada","",IF($K439&lt;=0,"No prazo",IF($K439&lt;=7,"Até 7 dias",IF($K439&lt;=30,"Até 30 dias","Acima de 30"))))</f>
        <v/>
      </c>
      <c r="M439" s="26" t="str">
        <f aca="false">IF($C439="","",COUNTIFS($G$3:$G439,$G439))</f>
        <v/>
      </c>
      <c r="N439" s="26" t="str">
        <f aca="false">IF($C439="","",$G439&amp;"|"&amp;$M439)</f>
        <v/>
      </c>
    </row>
    <row r="440" customFormat="false" ht="18" hidden="false" customHeight="true" outlineLevel="0" collapsed="false">
      <c r="A440" s="26" t="n">
        <v>19</v>
      </c>
      <c r="B440" s="26" t="n">
        <v>6</v>
      </c>
      <c r="C440" s="26" t="str">
        <f aca="false">IF(INDEX(Planos!$B$3:$B$27,19)="","",IF(6&gt;INDEX(Planos!$G$3:$G$27,19),"",INDEX(Planos!$B$3:$B$27,19)))</f>
        <v/>
      </c>
      <c r="D440" s="40" t="str">
        <f aca="false">IF($C440="","",IFERROR(INDEX(Ativos!$B$3:$B$42,MATCH($C440,Ativos!$A$3:$A$42,0)),""))</f>
        <v/>
      </c>
      <c r="E440" s="40" t="str">
        <f aca="false">IF($C440="","",INDEX(Planos!$C$3:$C$27,19))</f>
        <v/>
      </c>
      <c r="F440" s="40" t="str">
        <f aca="false">IF($C440="","",INDEX(Planos!$D$3:$D$27,19))</f>
        <v/>
      </c>
      <c r="G440" s="41" t="n">
        <f aca="false">IF($C440="",0,INDEX(Planos!$F$3:$F$27,19)+(6-1)*INDEX(Planos!$E$3:$E$27,19))</f>
        <v>0</v>
      </c>
      <c r="H440" s="40" t="str">
        <f aca="false">IF($C440="","",INDEX(Planos!$H$3:$H$27,19))</f>
        <v/>
      </c>
      <c r="I440" s="41" t="str">
        <f aca="false">IF($C440="","",IF(INDEX(Planos!$J$3:$AG$27,$A440,$B440)=0,"",INDEX(Planos!$J$3:$AG$27,$A440,$B440)))</f>
        <v/>
      </c>
      <c r="J440" s="26" t="str">
        <f aca="false">IF($C440="","",IF($I440&lt;&gt;"","Realizada",IF($G440&lt;INT(Parâmetros!$C$4),"Atrasada","Agendada")))</f>
        <v/>
      </c>
      <c r="K440" s="42" t="str">
        <f aca="false">IF($C440="","",IF($I440&lt;&gt;"",$I440-$G440,IF($J440="Atrasada",INT(Parâmetros!$C$4)-$G440,"")))</f>
        <v/>
      </c>
      <c r="L440" s="26" t="str">
        <f aca="false">IF($J440&lt;&gt;"Realizada","",IF($K440&lt;=0,"No prazo",IF($K440&lt;=7,"Até 7 dias",IF($K440&lt;=30,"Até 30 dias","Acima de 30"))))</f>
        <v/>
      </c>
      <c r="M440" s="26" t="str">
        <f aca="false">IF($C440="","",COUNTIFS($G$3:$G440,$G440))</f>
        <v/>
      </c>
      <c r="N440" s="26" t="str">
        <f aca="false">IF($C440="","",$G440&amp;"|"&amp;$M440)</f>
        <v/>
      </c>
    </row>
    <row r="441" customFormat="false" ht="18" hidden="false" customHeight="true" outlineLevel="0" collapsed="false">
      <c r="A441" s="26" t="n">
        <v>19</v>
      </c>
      <c r="B441" s="26" t="n">
        <v>7</v>
      </c>
      <c r="C441" s="26" t="str">
        <f aca="false">IF(INDEX(Planos!$B$3:$B$27,19)="","",IF(7&gt;INDEX(Planos!$G$3:$G$27,19),"",INDEX(Planos!$B$3:$B$27,19)))</f>
        <v/>
      </c>
      <c r="D441" s="40" t="str">
        <f aca="false">IF($C441="","",IFERROR(INDEX(Ativos!$B$3:$B$42,MATCH($C441,Ativos!$A$3:$A$42,0)),""))</f>
        <v/>
      </c>
      <c r="E441" s="40" t="str">
        <f aca="false">IF($C441="","",INDEX(Planos!$C$3:$C$27,19))</f>
        <v/>
      </c>
      <c r="F441" s="40" t="str">
        <f aca="false">IF($C441="","",INDEX(Planos!$D$3:$D$27,19))</f>
        <v/>
      </c>
      <c r="G441" s="41" t="n">
        <f aca="false">IF($C441="",0,INDEX(Planos!$F$3:$F$27,19)+(7-1)*INDEX(Planos!$E$3:$E$27,19))</f>
        <v>0</v>
      </c>
      <c r="H441" s="40" t="str">
        <f aca="false">IF($C441="","",INDEX(Planos!$H$3:$H$27,19))</f>
        <v/>
      </c>
      <c r="I441" s="41" t="str">
        <f aca="false">IF($C441="","",IF(INDEX(Planos!$J$3:$AG$27,$A441,$B441)=0,"",INDEX(Planos!$J$3:$AG$27,$A441,$B441)))</f>
        <v/>
      </c>
      <c r="J441" s="26" t="str">
        <f aca="false">IF($C441="","",IF($I441&lt;&gt;"","Realizada",IF($G441&lt;INT(Parâmetros!$C$4),"Atrasada","Agendada")))</f>
        <v/>
      </c>
      <c r="K441" s="42" t="str">
        <f aca="false">IF($C441="","",IF($I441&lt;&gt;"",$I441-$G441,IF($J441="Atrasada",INT(Parâmetros!$C$4)-$G441,"")))</f>
        <v/>
      </c>
      <c r="L441" s="26" t="str">
        <f aca="false">IF($J441&lt;&gt;"Realizada","",IF($K441&lt;=0,"No prazo",IF($K441&lt;=7,"Até 7 dias",IF($K441&lt;=30,"Até 30 dias","Acima de 30"))))</f>
        <v/>
      </c>
      <c r="M441" s="26" t="str">
        <f aca="false">IF($C441="","",COUNTIFS($G$3:$G441,$G441))</f>
        <v/>
      </c>
      <c r="N441" s="26" t="str">
        <f aca="false">IF($C441="","",$G441&amp;"|"&amp;$M441)</f>
        <v/>
      </c>
    </row>
    <row r="442" customFormat="false" ht="18" hidden="false" customHeight="true" outlineLevel="0" collapsed="false">
      <c r="A442" s="26" t="n">
        <v>19</v>
      </c>
      <c r="B442" s="26" t="n">
        <v>8</v>
      </c>
      <c r="C442" s="26" t="str">
        <f aca="false">IF(INDEX(Planos!$B$3:$B$27,19)="","",IF(8&gt;INDEX(Planos!$G$3:$G$27,19),"",INDEX(Planos!$B$3:$B$27,19)))</f>
        <v/>
      </c>
      <c r="D442" s="40" t="str">
        <f aca="false">IF($C442="","",IFERROR(INDEX(Ativos!$B$3:$B$42,MATCH($C442,Ativos!$A$3:$A$42,0)),""))</f>
        <v/>
      </c>
      <c r="E442" s="40" t="str">
        <f aca="false">IF($C442="","",INDEX(Planos!$C$3:$C$27,19))</f>
        <v/>
      </c>
      <c r="F442" s="40" t="str">
        <f aca="false">IF($C442="","",INDEX(Planos!$D$3:$D$27,19))</f>
        <v/>
      </c>
      <c r="G442" s="41" t="n">
        <f aca="false">IF($C442="",0,INDEX(Planos!$F$3:$F$27,19)+(8-1)*INDEX(Planos!$E$3:$E$27,19))</f>
        <v>0</v>
      </c>
      <c r="H442" s="40" t="str">
        <f aca="false">IF($C442="","",INDEX(Planos!$H$3:$H$27,19))</f>
        <v/>
      </c>
      <c r="I442" s="41" t="str">
        <f aca="false">IF($C442="","",IF(INDEX(Planos!$J$3:$AG$27,$A442,$B442)=0,"",INDEX(Planos!$J$3:$AG$27,$A442,$B442)))</f>
        <v/>
      </c>
      <c r="J442" s="26" t="str">
        <f aca="false">IF($C442="","",IF($I442&lt;&gt;"","Realizada",IF($G442&lt;INT(Parâmetros!$C$4),"Atrasada","Agendada")))</f>
        <v/>
      </c>
      <c r="K442" s="42" t="str">
        <f aca="false">IF($C442="","",IF($I442&lt;&gt;"",$I442-$G442,IF($J442="Atrasada",INT(Parâmetros!$C$4)-$G442,"")))</f>
        <v/>
      </c>
      <c r="L442" s="26" t="str">
        <f aca="false">IF($J442&lt;&gt;"Realizada","",IF($K442&lt;=0,"No prazo",IF($K442&lt;=7,"Até 7 dias",IF($K442&lt;=30,"Até 30 dias","Acima de 30"))))</f>
        <v/>
      </c>
      <c r="M442" s="26" t="str">
        <f aca="false">IF($C442="","",COUNTIFS($G$3:$G442,$G442))</f>
        <v/>
      </c>
      <c r="N442" s="26" t="str">
        <f aca="false">IF($C442="","",$G442&amp;"|"&amp;$M442)</f>
        <v/>
      </c>
    </row>
    <row r="443" customFormat="false" ht="18" hidden="false" customHeight="true" outlineLevel="0" collapsed="false">
      <c r="A443" s="26" t="n">
        <v>19</v>
      </c>
      <c r="B443" s="26" t="n">
        <v>9</v>
      </c>
      <c r="C443" s="26" t="str">
        <f aca="false">IF(INDEX(Planos!$B$3:$B$27,19)="","",IF(9&gt;INDEX(Planos!$G$3:$G$27,19),"",INDEX(Planos!$B$3:$B$27,19)))</f>
        <v/>
      </c>
      <c r="D443" s="40" t="str">
        <f aca="false">IF($C443="","",IFERROR(INDEX(Ativos!$B$3:$B$42,MATCH($C443,Ativos!$A$3:$A$42,0)),""))</f>
        <v/>
      </c>
      <c r="E443" s="40" t="str">
        <f aca="false">IF($C443="","",INDEX(Planos!$C$3:$C$27,19))</f>
        <v/>
      </c>
      <c r="F443" s="40" t="str">
        <f aca="false">IF($C443="","",INDEX(Planos!$D$3:$D$27,19))</f>
        <v/>
      </c>
      <c r="G443" s="41" t="n">
        <f aca="false">IF($C443="",0,INDEX(Planos!$F$3:$F$27,19)+(9-1)*INDEX(Planos!$E$3:$E$27,19))</f>
        <v>0</v>
      </c>
      <c r="H443" s="40" t="str">
        <f aca="false">IF($C443="","",INDEX(Planos!$H$3:$H$27,19))</f>
        <v/>
      </c>
      <c r="I443" s="41" t="str">
        <f aca="false">IF($C443="","",IF(INDEX(Planos!$J$3:$AG$27,$A443,$B443)=0,"",INDEX(Planos!$J$3:$AG$27,$A443,$B443)))</f>
        <v/>
      </c>
      <c r="J443" s="26" t="str">
        <f aca="false">IF($C443="","",IF($I443&lt;&gt;"","Realizada",IF($G443&lt;INT(Parâmetros!$C$4),"Atrasada","Agendada")))</f>
        <v/>
      </c>
      <c r="K443" s="42" t="str">
        <f aca="false">IF($C443="","",IF($I443&lt;&gt;"",$I443-$G443,IF($J443="Atrasada",INT(Parâmetros!$C$4)-$G443,"")))</f>
        <v/>
      </c>
      <c r="L443" s="26" t="str">
        <f aca="false">IF($J443&lt;&gt;"Realizada","",IF($K443&lt;=0,"No prazo",IF($K443&lt;=7,"Até 7 dias",IF($K443&lt;=30,"Até 30 dias","Acima de 30"))))</f>
        <v/>
      </c>
      <c r="M443" s="26" t="str">
        <f aca="false">IF($C443="","",COUNTIFS($G$3:$G443,$G443))</f>
        <v/>
      </c>
      <c r="N443" s="26" t="str">
        <f aca="false">IF($C443="","",$G443&amp;"|"&amp;$M443)</f>
        <v/>
      </c>
    </row>
    <row r="444" customFormat="false" ht="18" hidden="false" customHeight="true" outlineLevel="0" collapsed="false">
      <c r="A444" s="26" t="n">
        <v>19</v>
      </c>
      <c r="B444" s="26" t="n">
        <v>10</v>
      </c>
      <c r="C444" s="26" t="str">
        <f aca="false">IF(INDEX(Planos!$B$3:$B$27,19)="","",IF(10&gt;INDEX(Planos!$G$3:$G$27,19),"",INDEX(Planos!$B$3:$B$27,19)))</f>
        <v/>
      </c>
      <c r="D444" s="40" t="str">
        <f aca="false">IF($C444="","",IFERROR(INDEX(Ativos!$B$3:$B$42,MATCH($C444,Ativos!$A$3:$A$42,0)),""))</f>
        <v/>
      </c>
      <c r="E444" s="40" t="str">
        <f aca="false">IF($C444="","",INDEX(Planos!$C$3:$C$27,19))</f>
        <v/>
      </c>
      <c r="F444" s="40" t="str">
        <f aca="false">IF($C444="","",INDEX(Planos!$D$3:$D$27,19))</f>
        <v/>
      </c>
      <c r="G444" s="41" t="n">
        <f aca="false">IF($C444="",0,INDEX(Planos!$F$3:$F$27,19)+(10-1)*INDEX(Planos!$E$3:$E$27,19))</f>
        <v>0</v>
      </c>
      <c r="H444" s="40" t="str">
        <f aca="false">IF($C444="","",INDEX(Planos!$H$3:$H$27,19))</f>
        <v/>
      </c>
      <c r="I444" s="41" t="str">
        <f aca="false">IF($C444="","",IF(INDEX(Planos!$J$3:$AG$27,$A444,$B444)=0,"",INDEX(Planos!$J$3:$AG$27,$A444,$B444)))</f>
        <v/>
      </c>
      <c r="J444" s="26" t="str">
        <f aca="false">IF($C444="","",IF($I444&lt;&gt;"","Realizada",IF($G444&lt;INT(Parâmetros!$C$4),"Atrasada","Agendada")))</f>
        <v/>
      </c>
      <c r="K444" s="42" t="str">
        <f aca="false">IF($C444="","",IF($I444&lt;&gt;"",$I444-$G444,IF($J444="Atrasada",INT(Parâmetros!$C$4)-$G444,"")))</f>
        <v/>
      </c>
      <c r="L444" s="26" t="str">
        <f aca="false">IF($J444&lt;&gt;"Realizada","",IF($K444&lt;=0,"No prazo",IF($K444&lt;=7,"Até 7 dias",IF($K444&lt;=30,"Até 30 dias","Acima de 30"))))</f>
        <v/>
      </c>
      <c r="M444" s="26" t="str">
        <f aca="false">IF($C444="","",COUNTIFS($G$3:$G444,$G444))</f>
        <v/>
      </c>
      <c r="N444" s="26" t="str">
        <f aca="false">IF($C444="","",$G444&amp;"|"&amp;$M444)</f>
        <v/>
      </c>
    </row>
    <row r="445" customFormat="false" ht="18" hidden="false" customHeight="true" outlineLevel="0" collapsed="false">
      <c r="A445" s="26" t="n">
        <v>19</v>
      </c>
      <c r="B445" s="26" t="n">
        <v>11</v>
      </c>
      <c r="C445" s="26" t="str">
        <f aca="false">IF(INDEX(Planos!$B$3:$B$27,19)="","",IF(11&gt;INDEX(Planos!$G$3:$G$27,19),"",INDEX(Planos!$B$3:$B$27,19)))</f>
        <v/>
      </c>
      <c r="D445" s="40" t="str">
        <f aca="false">IF($C445="","",IFERROR(INDEX(Ativos!$B$3:$B$42,MATCH($C445,Ativos!$A$3:$A$42,0)),""))</f>
        <v/>
      </c>
      <c r="E445" s="40" t="str">
        <f aca="false">IF($C445="","",INDEX(Planos!$C$3:$C$27,19))</f>
        <v/>
      </c>
      <c r="F445" s="40" t="str">
        <f aca="false">IF($C445="","",INDEX(Planos!$D$3:$D$27,19))</f>
        <v/>
      </c>
      <c r="G445" s="41" t="n">
        <f aca="false">IF($C445="",0,INDEX(Planos!$F$3:$F$27,19)+(11-1)*INDEX(Planos!$E$3:$E$27,19))</f>
        <v>0</v>
      </c>
      <c r="H445" s="40" t="str">
        <f aca="false">IF($C445="","",INDEX(Planos!$H$3:$H$27,19))</f>
        <v/>
      </c>
      <c r="I445" s="41" t="str">
        <f aca="false">IF($C445="","",IF(INDEX(Planos!$J$3:$AG$27,$A445,$B445)=0,"",INDEX(Planos!$J$3:$AG$27,$A445,$B445)))</f>
        <v/>
      </c>
      <c r="J445" s="26" t="str">
        <f aca="false">IF($C445="","",IF($I445&lt;&gt;"","Realizada",IF($G445&lt;INT(Parâmetros!$C$4),"Atrasada","Agendada")))</f>
        <v/>
      </c>
      <c r="K445" s="42" t="str">
        <f aca="false">IF($C445="","",IF($I445&lt;&gt;"",$I445-$G445,IF($J445="Atrasada",INT(Parâmetros!$C$4)-$G445,"")))</f>
        <v/>
      </c>
      <c r="L445" s="26" t="str">
        <f aca="false">IF($J445&lt;&gt;"Realizada","",IF($K445&lt;=0,"No prazo",IF($K445&lt;=7,"Até 7 dias",IF($K445&lt;=30,"Até 30 dias","Acima de 30"))))</f>
        <v/>
      </c>
      <c r="M445" s="26" t="str">
        <f aca="false">IF($C445="","",COUNTIFS($G$3:$G445,$G445))</f>
        <v/>
      </c>
      <c r="N445" s="26" t="str">
        <f aca="false">IF($C445="","",$G445&amp;"|"&amp;$M445)</f>
        <v/>
      </c>
    </row>
    <row r="446" customFormat="false" ht="18" hidden="false" customHeight="true" outlineLevel="0" collapsed="false">
      <c r="A446" s="26" t="n">
        <v>19</v>
      </c>
      <c r="B446" s="26" t="n">
        <v>12</v>
      </c>
      <c r="C446" s="26" t="str">
        <f aca="false">IF(INDEX(Planos!$B$3:$B$27,19)="","",IF(12&gt;INDEX(Planos!$G$3:$G$27,19),"",INDEX(Planos!$B$3:$B$27,19)))</f>
        <v/>
      </c>
      <c r="D446" s="40" t="str">
        <f aca="false">IF($C446="","",IFERROR(INDEX(Ativos!$B$3:$B$42,MATCH($C446,Ativos!$A$3:$A$42,0)),""))</f>
        <v/>
      </c>
      <c r="E446" s="40" t="str">
        <f aca="false">IF($C446="","",INDEX(Planos!$C$3:$C$27,19))</f>
        <v/>
      </c>
      <c r="F446" s="40" t="str">
        <f aca="false">IF($C446="","",INDEX(Planos!$D$3:$D$27,19))</f>
        <v/>
      </c>
      <c r="G446" s="41" t="n">
        <f aca="false">IF($C446="",0,INDEX(Planos!$F$3:$F$27,19)+(12-1)*INDEX(Planos!$E$3:$E$27,19))</f>
        <v>0</v>
      </c>
      <c r="H446" s="40" t="str">
        <f aca="false">IF($C446="","",INDEX(Planos!$H$3:$H$27,19))</f>
        <v/>
      </c>
      <c r="I446" s="41" t="str">
        <f aca="false">IF($C446="","",IF(INDEX(Planos!$J$3:$AG$27,$A446,$B446)=0,"",INDEX(Planos!$J$3:$AG$27,$A446,$B446)))</f>
        <v/>
      </c>
      <c r="J446" s="26" t="str">
        <f aca="false">IF($C446="","",IF($I446&lt;&gt;"","Realizada",IF($G446&lt;INT(Parâmetros!$C$4),"Atrasada","Agendada")))</f>
        <v/>
      </c>
      <c r="K446" s="42" t="str">
        <f aca="false">IF($C446="","",IF($I446&lt;&gt;"",$I446-$G446,IF($J446="Atrasada",INT(Parâmetros!$C$4)-$G446,"")))</f>
        <v/>
      </c>
      <c r="L446" s="26" t="str">
        <f aca="false">IF($J446&lt;&gt;"Realizada","",IF($K446&lt;=0,"No prazo",IF($K446&lt;=7,"Até 7 dias",IF($K446&lt;=30,"Até 30 dias","Acima de 30"))))</f>
        <v/>
      </c>
      <c r="M446" s="26" t="str">
        <f aca="false">IF($C446="","",COUNTIFS($G$3:$G446,$G446))</f>
        <v/>
      </c>
      <c r="N446" s="26" t="str">
        <f aca="false">IF($C446="","",$G446&amp;"|"&amp;$M446)</f>
        <v/>
      </c>
    </row>
    <row r="447" customFormat="false" ht="18" hidden="false" customHeight="true" outlineLevel="0" collapsed="false">
      <c r="A447" s="26" t="n">
        <v>19</v>
      </c>
      <c r="B447" s="26" t="n">
        <v>13</v>
      </c>
      <c r="C447" s="26" t="str">
        <f aca="false">IF(INDEX(Planos!$B$3:$B$27,19)="","",IF(13&gt;INDEX(Planos!$G$3:$G$27,19),"",INDEX(Planos!$B$3:$B$27,19)))</f>
        <v/>
      </c>
      <c r="D447" s="40" t="str">
        <f aca="false">IF($C447="","",IFERROR(INDEX(Ativos!$B$3:$B$42,MATCH($C447,Ativos!$A$3:$A$42,0)),""))</f>
        <v/>
      </c>
      <c r="E447" s="40" t="str">
        <f aca="false">IF($C447="","",INDEX(Planos!$C$3:$C$27,19))</f>
        <v/>
      </c>
      <c r="F447" s="40" t="str">
        <f aca="false">IF($C447="","",INDEX(Planos!$D$3:$D$27,19))</f>
        <v/>
      </c>
      <c r="G447" s="41" t="n">
        <f aca="false">IF($C447="",0,INDEX(Planos!$F$3:$F$27,19)+(13-1)*INDEX(Planos!$E$3:$E$27,19))</f>
        <v>0</v>
      </c>
      <c r="H447" s="40" t="str">
        <f aca="false">IF($C447="","",INDEX(Planos!$H$3:$H$27,19))</f>
        <v/>
      </c>
      <c r="I447" s="41" t="str">
        <f aca="false">IF($C447="","",IF(INDEX(Planos!$J$3:$AG$27,$A447,$B447)=0,"",INDEX(Planos!$J$3:$AG$27,$A447,$B447)))</f>
        <v/>
      </c>
      <c r="J447" s="26" t="str">
        <f aca="false">IF($C447="","",IF($I447&lt;&gt;"","Realizada",IF($G447&lt;INT(Parâmetros!$C$4),"Atrasada","Agendada")))</f>
        <v/>
      </c>
      <c r="K447" s="42" t="str">
        <f aca="false">IF($C447="","",IF($I447&lt;&gt;"",$I447-$G447,IF($J447="Atrasada",INT(Parâmetros!$C$4)-$G447,"")))</f>
        <v/>
      </c>
      <c r="L447" s="26" t="str">
        <f aca="false">IF($J447&lt;&gt;"Realizada","",IF($K447&lt;=0,"No prazo",IF($K447&lt;=7,"Até 7 dias",IF($K447&lt;=30,"Até 30 dias","Acima de 30"))))</f>
        <v/>
      </c>
      <c r="M447" s="26" t="str">
        <f aca="false">IF($C447="","",COUNTIFS($G$3:$G447,$G447))</f>
        <v/>
      </c>
      <c r="N447" s="26" t="str">
        <f aca="false">IF($C447="","",$G447&amp;"|"&amp;$M447)</f>
        <v/>
      </c>
    </row>
    <row r="448" customFormat="false" ht="18" hidden="false" customHeight="true" outlineLevel="0" collapsed="false">
      <c r="A448" s="26" t="n">
        <v>19</v>
      </c>
      <c r="B448" s="26" t="n">
        <v>14</v>
      </c>
      <c r="C448" s="26" t="str">
        <f aca="false">IF(INDEX(Planos!$B$3:$B$27,19)="","",IF(14&gt;INDEX(Planos!$G$3:$G$27,19),"",INDEX(Planos!$B$3:$B$27,19)))</f>
        <v/>
      </c>
      <c r="D448" s="40" t="str">
        <f aca="false">IF($C448="","",IFERROR(INDEX(Ativos!$B$3:$B$42,MATCH($C448,Ativos!$A$3:$A$42,0)),""))</f>
        <v/>
      </c>
      <c r="E448" s="40" t="str">
        <f aca="false">IF($C448="","",INDEX(Planos!$C$3:$C$27,19))</f>
        <v/>
      </c>
      <c r="F448" s="40" t="str">
        <f aca="false">IF($C448="","",INDEX(Planos!$D$3:$D$27,19))</f>
        <v/>
      </c>
      <c r="G448" s="41" t="n">
        <f aca="false">IF($C448="",0,INDEX(Planos!$F$3:$F$27,19)+(14-1)*INDEX(Planos!$E$3:$E$27,19))</f>
        <v>0</v>
      </c>
      <c r="H448" s="40" t="str">
        <f aca="false">IF($C448="","",INDEX(Planos!$H$3:$H$27,19))</f>
        <v/>
      </c>
      <c r="I448" s="41" t="str">
        <f aca="false">IF($C448="","",IF(INDEX(Planos!$J$3:$AG$27,$A448,$B448)=0,"",INDEX(Planos!$J$3:$AG$27,$A448,$B448)))</f>
        <v/>
      </c>
      <c r="J448" s="26" t="str">
        <f aca="false">IF($C448="","",IF($I448&lt;&gt;"","Realizada",IF($G448&lt;INT(Parâmetros!$C$4),"Atrasada","Agendada")))</f>
        <v/>
      </c>
      <c r="K448" s="42" t="str">
        <f aca="false">IF($C448="","",IF($I448&lt;&gt;"",$I448-$G448,IF($J448="Atrasada",INT(Parâmetros!$C$4)-$G448,"")))</f>
        <v/>
      </c>
      <c r="L448" s="26" t="str">
        <f aca="false">IF($J448&lt;&gt;"Realizada","",IF($K448&lt;=0,"No prazo",IF($K448&lt;=7,"Até 7 dias",IF($K448&lt;=30,"Até 30 dias","Acima de 30"))))</f>
        <v/>
      </c>
      <c r="M448" s="26" t="str">
        <f aca="false">IF($C448="","",COUNTIFS($G$3:$G448,$G448))</f>
        <v/>
      </c>
      <c r="N448" s="26" t="str">
        <f aca="false">IF($C448="","",$G448&amp;"|"&amp;$M448)</f>
        <v/>
      </c>
    </row>
    <row r="449" customFormat="false" ht="18" hidden="false" customHeight="true" outlineLevel="0" collapsed="false">
      <c r="A449" s="26" t="n">
        <v>19</v>
      </c>
      <c r="B449" s="26" t="n">
        <v>15</v>
      </c>
      <c r="C449" s="26" t="str">
        <f aca="false">IF(INDEX(Planos!$B$3:$B$27,19)="","",IF(15&gt;INDEX(Planos!$G$3:$G$27,19),"",INDEX(Planos!$B$3:$B$27,19)))</f>
        <v/>
      </c>
      <c r="D449" s="40" t="str">
        <f aca="false">IF($C449="","",IFERROR(INDEX(Ativos!$B$3:$B$42,MATCH($C449,Ativos!$A$3:$A$42,0)),""))</f>
        <v/>
      </c>
      <c r="E449" s="40" t="str">
        <f aca="false">IF($C449="","",INDEX(Planos!$C$3:$C$27,19))</f>
        <v/>
      </c>
      <c r="F449" s="40" t="str">
        <f aca="false">IF($C449="","",INDEX(Planos!$D$3:$D$27,19))</f>
        <v/>
      </c>
      <c r="G449" s="41" t="n">
        <f aca="false">IF($C449="",0,INDEX(Planos!$F$3:$F$27,19)+(15-1)*INDEX(Planos!$E$3:$E$27,19))</f>
        <v>0</v>
      </c>
      <c r="H449" s="40" t="str">
        <f aca="false">IF($C449="","",INDEX(Planos!$H$3:$H$27,19))</f>
        <v/>
      </c>
      <c r="I449" s="41" t="str">
        <f aca="false">IF($C449="","",IF(INDEX(Planos!$J$3:$AG$27,$A449,$B449)=0,"",INDEX(Planos!$J$3:$AG$27,$A449,$B449)))</f>
        <v/>
      </c>
      <c r="J449" s="26" t="str">
        <f aca="false">IF($C449="","",IF($I449&lt;&gt;"","Realizada",IF($G449&lt;INT(Parâmetros!$C$4),"Atrasada","Agendada")))</f>
        <v/>
      </c>
      <c r="K449" s="42" t="str">
        <f aca="false">IF($C449="","",IF($I449&lt;&gt;"",$I449-$G449,IF($J449="Atrasada",INT(Parâmetros!$C$4)-$G449,"")))</f>
        <v/>
      </c>
      <c r="L449" s="26" t="str">
        <f aca="false">IF($J449&lt;&gt;"Realizada","",IF($K449&lt;=0,"No prazo",IF($K449&lt;=7,"Até 7 dias",IF($K449&lt;=30,"Até 30 dias","Acima de 30"))))</f>
        <v/>
      </c>
      <c r="M449" s="26" t="str">
        <f aca="false">IF($C449="","",COUNTIFS($G$3:$G449,$G449))</f>
        <v/>
      </c>
      <c r="N449" s="26" t="str">
        <f aca="false">IF($C449="","",$G449&amp;"|"&amp;$M449)</f>
        <v/>
      </c>
    </row>
    <row r="450" customFormat="false" ht="18" hidden="false" customHeight="true" outlineLevel="0" collapsed="false">
      <c r="A450" s="26" t="n">
        <v>19</v>
      </c>
      <c r="B450" s="26" t="n">
        <v>16</v>
      </c>
      <c r="C450" s="26" t="str">
        <f aca="false">IF(INDEX(Planos!$B$3:$B$27,19)="","",IF(16&gt;INDEX(Planos!$G$3:$G$27,19),"",INDEX(Planos!$B$3:$B$27,19)))</f>
        <v/>
      </c>
      <c r="D450" s="40" t="str">
        <f aca="false">IF($C450="","",IFERROR(INDEX(Ativos!$B$3:$B$42,MATCH($C450,Ativos!$A$3:$A$42,0)),""))</f>
        <v/>
      </c>
      <c r="E450" s="40" t="str">
        <f aca="false">IF($C450="","",INDEX(Planos!$C$3:$C$27,19))</f>
        <v/>
      </c>
      <c r="F450" s="40" t="str">
        <f aca="false">IF($C450="","",INDEX(Planos!$D$3:$D$27,19))</f>
        <v/>
      </c>
      <c r="G450" s="41" t="n">
        <f aca="false">IF($C450="",0,INDEX(Planos!$F$3:$F$27,19)+(16-1)*INDEX(Planos!$E$3:$E$27,19))</f>
        <v>0</v>
      </c>
      <c r="H450" s="40" t="str">
        <f aca="false">IF($C450="","",INDEX(Planos!$H$3:$H$27,19))</f>
        <v/>
      </c>
      <c r="I450" s="41" t="str">
        <f aca="false">IF($C450="","",IF(INDEX(Planos!$J$3:$AG$27,$A450,$B450)=0,"",INDEX(Planos!$J$3:$AG$27,$A450,$B450)))</f>
        <v/>
      </c>
      <c r="J450" s="26" t="str">
        <f aca="false">IF($C450="","",IF($I450&lt;&gt;"","Realizada",IF($G450&lt;INT(Parâmetros!$C$4),"Atrasada","Agendada")))</f>
        <v/>
      </c>
      <c r="K450" s="42" t="str">
        <f aca="false">IF($C450="","",IF($I450&lt;&gt;"",$I450-$G450,IF($J450="Atrasada",INT(Parâmetros!$C$4)-$G450,"")))</f>
        <v/>
      </c>
      <c r="L450" s="26" t="str">
        <f aca="false">IF($J450&lt;&gt;"Realizada","",IF($K450&lt;=0,"No prazo",IF($K450&lt;=7,"Até 7 dias",IF($K450&lt;=30,"Até 30 dias","Acima de 30"))))</f>
        <v/>
      </c>
      <c r="M450" s="26" t="str">
        <f aca="false">IF($C450="","",COUNTIFS($G$3:$G450,$G450))</f>
        <v/>
      </c>
      <c r="N450" s="26" t="str">
        <f aca="false">IF($C450="","",$G450&amp;"|"&amp;$M450)</f>
        <v/>
      </c>
    </row>
    <row r="451" customFormat="false" ht="18" hidden="false" customHeight="true" outlineLevel="0" collapsed="false">
      <c r="A451" s="26" t="n">
        <v>19</v>
      </c>
      <c r="B451" s="26" t="n">
        <v>17</v>
      </c>
      <c r="C451" s="26" t="str">
        <f aca="false">IF(INDEX(Planos!$B$3:$B$27,19)="","",IF(17&gt;INDEX(Planos!$G$3:$G$27,19),"",INDEX(Planos!$B$3:$B$27,19)))</f>
        <v/>
      </c>
      <c r="D451" s="40" t="str">
        <f aca="false">IF($C451="","",IFERROR(INDEX(Ativos!$B$3:$B$42,MATCH($C451,Ativos!$A$3:$A$42,0)),""))</f>
        <v/>
      </c>
      <c r="E451" s="40" t="str">
        <f aca="false">IF($C451="","",INDEX(Planos!$C$3:$C$27,19))</f>
        <v/>
      </c>
      <c r="F451" s="40" t="str">
        <f aca="false">IF($C451="","",INDEX(Planos!$D$3:$D$27,19))</f>
        <v/>
      </c>
      <c r="G451" s="41" t="n">
        <f aca="false">IF($C451="",0,INDEX(Planos!$F$3:$F$27,19)+(17-1)*INDEX(Planos!$E$3:$E$27,19))</f>
        <v>0</v>
      </c>
      <c r="H451" s="40" t="str">
        <f aca="false">IF($C451="","",INDEX(Planos!$H$3:$H$27,19))</f>
        <v/>
      </c>
      <c r="I451" s="41" t="str">
        <f aca="false">IF($C451="","",IF(INDEX(Planos!$J$3:$AG$27,$A451,$B451)=0,"",INDEX(Planos!$J$3:$AG$27,$A451,$B451)))</f>
        <v/>
      </c>
      <c r="J451" s="26" t="str">
        <f aca="false">IF($C451="","",IF($I451&lt;&gt;"","Realizada",IF($G451&lt;INT(Parâmetros!$C$4),"Atrasada","Agendada")))</f>
        <v/>
      </c>
      <c r="K451" s="42" t="str">
        <f aca="false">IF($C451="","",IF($I451&lt;&gt;"",$I451-$G451,IF($J451="Atrasada",INT(Parâmetros!$C$4)-$G451,"")))</f>
        <v/>
      </c>
      <c r="L451" s="26" t="str">
        <f aca="false">IF($J451&lt;&gt;"Realizada","",IF($K451&lt;=0,"No prazo",IF($K451&lt;=7,"Até 7 dias",IF($K451&lt;=30,"Até 30 dias","Acima de 30"))))</f>
        <v/>
      </c>
      <c r="M451" s="26" t="str">
        <f aca="false">IF($C451="","",COUNTIFS($G$3:$G451,$G451))</f>
        <v/>
      </c>
      <c r="N451" s="26" t="str">
        <f aca="false">IF($C451="","",$G451&amp;"|"&amp;$M451)</f>
        <v/>
      </c>
    </row>
    <row r="452" customFormat="false" ht="18" hidden="false" customHeight="true" outlineLevel="0" collapsed="false">
      <c r="A452" s="26" t="n">
        <v>19</v>
      </c>
      <c r="B452" s="26" t="n">
        <v>18</v>
      </c>
      <c r="C452" s="26" t="str">
        <f aca="false">IF(INDEX(Planos!$B$3:$B$27,19)="","",IF(18&gt;INDEX(Planos!$G$3:$G$27,19),"",INDEX(Planos!$B$3:$B$27,19)))</f>
        <v/>
      </c>
      <c r="D452" s="40" t="str">
        <f aca="false">IF($C452="","",IFERROR(INDEX(Ativos!$B$3:$B$42,MATCH($C452,Ativos!$A$3:$A$42,0)),""))</f>
        <v/>
      </c>
      <c r="E452" s="40" t="str">
        <f aca="false">IF($C452="","",INDEX(Planos!$C$3:$C$27,19))</f>
        <v/>
      </c>
      <c r="F452" s="40" t="str">
        <f aca="false">IF($C452="","",INDEX(Planos!$D$3:$D$27,19))</f>
        <v/>
      </c>
      <c r="G452" s="41" t="n">
        <f aca="false">IF($C452="",0,INDEX(Planos!$F$3:$F$27,19)+(18-1)*INDEX(Planos!$E$3:$E$27,19))</f>
        <v>0</v>
      </c>
      <c r="H452" s="40" t="str">
        <f aca="false">IF($C452="","",INDEX(Planos!$H$3:$H$27,19))</f>
        <v/>
      </c>
      <c r="I452" s="41" t="str">
        <f aca="false">IF($C452="","",IF(INDEX(Planos!$J$3:$AG$27,$A452,$B452)=0,"",INDEX(Planos!$J$3:$AG$27,$A452,$B452)))</f>
        <v/>
      </c>
      <c r="J452" s="26" t="str">
        <f aca="false">IF($C452="","",IF($I452&lt;&gt;"","Realizada",IF($G452&lt;INT(Parâmetros!$C$4),"Atrasada","Agendada")))</f>
        <v/>
      </c>
      <c r="K452" s="42" t="str">
        <f aca="false">IF($C452="","",IF($I452&lt;&gt;"",$I452-$G452,IF($J452="Atrasada",INT(Parâmetros!$C$4)-$G452,"")))</f>
        <v/>
      </c>
      <c r="L452" s="26" t="str">
        <f aca="false">IF($J452&lt;&gt;"Realizada","",IF($K452&lt;=0,"No prazo",IF($K452&lt;=7,"Até 7 dias",IF($K452&lt;=30,"Até 30 dias","Acima de 30"))))</f>
        <v/>
      </c>
      <c r="M452" s="26" t="str">
        <f aca="false">IF($C452="","",COUNTIFS($G$3:$G452,$G452))</f>
        <v/>
      </c>
      <c r="N452" s="26" t="str">
        <f aca="false">IF($C452="","",$G452&amp;"|"&amp;$M452)</f>
        <v/>
      </c>
    </row>
    <row r="453" customFormat="false" ht="18" hidden="false" customHeight="true" outlineLevel="0" collapsed="false">
      <c r="A453" s="26" t="n">
        <v>19</v>
      </c>
      <c r="B453" s="26" t="n">
        <v>19</v>
      </c>
      <c r="C453" s="26" t="str">
        <f aca="false">IF(INDEX(Planos!$B$3:$B$27,19)="","",IF(19&gt;INDEX(Planos!$G$3:$G$27,19),"",INDEX(Planos!$B$3:$B$27,19)))</f>
        <v/>
      </c>
      <c r="D453" s="40" t="str">
        <f aca="false">IF($C453="","",IFERROR(INDEX(Ativos!$B$3:$B$42,MATCH($C453,Ativos!$A$3:$A$42,0)),""))</f>
        <v/>
      </c>
      <c r="E453" s="40" t="str">
        <f aca="false">IF($C453="","",INDEX(Planos!$C$3:$C$27,19))</f>
        <v/>
      </c>
      <c r="F453" s="40" t="str">
        <f aca="false">IF($C453="","",INDEX(Planos!$D$3:$D$27,19))</f>
        <v/>
      </c>
      <c r="G453" s="41" t="n">
        <f aca="false">IF($C453="",0,INDEX(Planos!$F$3:$F$27,19)+(19-1)*INDEX(Planos!$E$3:$E$27,19))</f>
        <v>0</v>
      </c>
      <c r="H453" s="40" t="str">
        <f aca="false">IF($C453="","",INDEX(Planos!$H$3:$H$27,19))</f>
        <v/>
      </c>
      <c r="I453" s="41" t="str">
        <f aca="false">IF($C453="","",IF(INDEX(Planos!$J$3:$AG$27,$A453,$B453)=0,"",INDEX(Planos!$J$3:$AG$27,$A453,$B453)))</f>
        <v/>
      </c>
      <c r="J453" s="26" t="str">
        <f aca="false">IF($C453="","",IF($I453&lt;&gt;"","Realizada",IF($G453&lt;INT(Parâmetros!$C$4),"Atrasada","Agendada")))</f>
        <v/>
      </c>
      <c r="K453" s="42" t="str">
        <f aca="false">IF($C453="","",IF($I453&lt;&gt;"",$I453-$G453,IF($J453="Atrasada",INT(Parâmetros!$C$4)-$G453,"")))</f>
        <v/>
      </c>
      <c r="L453" s="26" t="str">
        <f aca="false">IF($J453&lt;&gt;"Realizada","",IF($K453&lt;=0,"No prazo",IF($K453&lt;=7,"Até 7 dias",IF($K453&lt;=30,"Até 30 dias","Acima de 30"))))</f>
        <v/>
      </c>
      <c r="M453" s="26" t="str">
        <f aca="false">IF($C453="","",COUNTIFS($G$3:$G453,$G453))</f>
        <v/>
      </c>
      <c r="N453" s="26" t="str">
        <f aca="false">IF($C453="","",$G453&amp;"|"&amp;$M453)</f>
        <v/>
      </c>
    </row>
    <row r="454" customFormat="false" ht="18" hidden="false" customHeight="true" outlineLevel="0" collapsed="false">
      <c r="A454" s="26" t="n">
        <v>19</v>
      </c>
      <c r="B454" s="26" t="n">
        <v>20</v>
      </c>
      <c r="C454" s="26" t="str">
        <f aca="false">IF(INDEX(Planos!$B$3:$B$27,19)="","",IF(20&gt;INDEX(Planos!$G$3:$G$27,19),"",INDEX(Planos!$B$3:$B$27,19)))</f>
        <v/>
      </c>
      <c r="D454" s="40" t="str">
        <f aca="false">IF($C454="","",IFERROR(INDEX(Ativos!$B$3:$B$42,MATCH($C454,Ativos!$A$3:$A$42,0)),""))</f>
        <v/>
      </c>
      <c r="E454" s="40" t="str">
        <f aca="false">IF($C454="","",INDEX(Planos!$C$3:$C$27,19))</f>
        <v/>
      </c>
      <c r="F454" s="40" t="str">
        <f aca="false">IF($C454="","",INDEX(Planos!$D$3:$D$27,19))</f>
        <v/>
      </c>
      <c r="G454" s="41" t="n">
        <f aca="false">IF($C454="",0,INDEX(Planos!$F$3:$F$27,19)+(20-1)*INDEX(Planos!$E$3:$E$27,19))</f>
        <v>0</v>
      </c>
      <c r="H454" s="40" t="str">
        <f aca="false">IF($C454="","",INDEX(Planos!$H$3:$H$27,19))</f>
        <v/>
      </c>
      <c r="I454" s="41" t="str">
        <f aca="false">IF($C454="","",IF(INDEX(Planos!$J$3:$AG$27,$A454,$B454)=0,"",INDEX(Planos!$J$3:$AG$27,$A454,$B454)))</f>
        <v/>
      </c>
      <c r="J454" s="26" t="str">
        <f aca="false">IF($C454="","",IF($I454&lt;&gt;"","Realizada",IF($G454&lt;INT(Parâmetros!$C$4),"Atrasada","Agendada")))</f>
        <v/>
      </c>
      <c r="K454" s="42" t="str">
        <f aca="false">IF($C454="","",IF($I454&lt;&gt;"",$I454-$G454,IF($J454="Atrasada",INT(Parâmetros!$C$4)-$G454,"")))</f>
        <v/>
      </c>
      <c r="L454" s="26" t="str">
        <f aca="false">IF($J454&lt;&gt;"Realizada","",IF($K454&lt;=0,"No prazo",IF($K454&lt;=7,"Até 7 dias",IF($K454&lt;=30,"Até 30 dias","Acima de 30"))))</f>
        <v/>
      </c>
      <c r="M454" s="26" t="str">
        <f aca="false">IF($C454="","",COUNTIFS($G$3:$G454,$G454))</f>
        <v/>
      </c>
      <c r="N454" s="26" t="str">
        <f aca="false">IF($C454="","",$G454&amp;"|"&amp;$M454)</f>
        <v/>
      </c>
    </row>
    <row r="455" customFormat="false" ht="18" hidden="false" customHeight="true" outlineLevel="0" collapsed="false">
      <c r="A455" s="26" t="n">
        <v>19</v>
      </c>
      <c r="B455" s="26" t="n">
        <v>21</v>
      </c>
      <c r="C455" s="26" t="str">
        <f aca="false">IF(INDEX(Planos!$B$3:$B$27,19)="","",IF(21&gt;INDEX(Planos!$G$3:$G$27,19),"",INDEX(Planos!$B$3:$B$27,19)))</f>
        <v/>
      </c>
      <c r="D455" s="40" t="str">
        <f aca="false">IF($C455="","",IFERROR(INDEX(Ativos!$B$3:$B$42,MATCH($C455,Ativos!$A$3:$A$42,0)),""))</f>
        <v/>
      </c>
      <c r="E455" s="40" t="str">
        <f aca="false">IF($C455="","",INDEX(Planos!$C$3:$C$27,19))</f>
        <v/>
      </c>
      <c r="F455" s="40" t="str">
        <f aca="false">IF($C455="","",INDEX(Planos!$D$3:$D$27,19))</f>
        <v/>
      </c>
      <c r="G455" s="41" t="n">
        <f aca="false">IF($C455="",0,INDEX(Planos!$F$3:$F$27,19)+(21-1)*INDEX(Planos!$E$3:$E$27,19))</f>
        <v>0</v>
      </c>
      <c r="H455" s="40" t="str">
        <f aca="false">IF($C455="","",INDEX(Planos!$H$3:$H$27,19))</f>
        <v/>
      </c>
      <c r="I455" s="41" t="str">
        <f aca="false">IF($C455="","",IF(INDEX(Planos!$J$3:$AG$27,$A455,$B455)=0,"",INDEX(Planos!$J$3:$AG$27,$A455,$B455)))</f>
        <v/>
      </c>
      <c r="J455" s="26" t="str">
        <f aca="false">IF($C455="","",IF($I455&lt;&gt;"","Realizada",IF($G455&lt;INT(Parâmetros!$C$4),"Atrasada","Agendada")))</f>
        <v/>
      </c>
      <c r="K455" s="42" t="str">
        <f aca="false">IF($C455="","",IF($I455&lt;&gt;"",$I455-$G455,IF($J455="Atrasada",INT(Parâmetros!$C$4)-$G455,"")))</f>
        <v/>
      </c>
      <c r="L455" s="26" t="str">
        <f aca="false">IF($J455&lt;&gt;"Realizada","",IF($K455&lt;=0,"No prazo",IF($K455&lt;=7,"Até 7 dias",IF($K455&lt;=30,"Até 30 dias","Acima de 30"))))</f>
        <v/>
      </c>
      <c r="M455" s="26" t="str">
        <f aca="false">IF($C455="","",COUNTIFS($G$3:$G455,$G455))</f>
        <v/>
      </c>
      <c r="N455" s="26" t="str">
        <f aca="false">IF($C455="","",$G455&amp;"|"&amp;$M455)</f>
        <v/>
      </c>
    </row>
    <row r="456" customFormat="false" ht="18" hidden="false" customHeight="true" outlineLevel="0" collapsed="false">
      <c r="A456" s="26" t="n">
        <v>19</v>
      </c>
      <c r="B456" s="26" t="n">
        <v>22</v>
      </c>
      <c r="C456" s="26" t="str">
        <f aca="false">IF(INDEX(Planos!$B$3:$B$27,19)="","",IF(22&gt;INDEX(Planos!$G$3:$G$27,19),"",INDEX(Planos!$B$3:$B$27,19)))</f>
        <v/>
      </c>
      <c r="D456" s="40" t="str">
        <f aca="false">IF($C456="","",IFERROR(INDEX(Ativos!$B$3:$B$42,MATCH($C456,Ativos!$A$3:$A$42,0)),""))</f>
        <v/>
      </c>
      <c r="E456" s="40" t="str">
        <f aca="false">IF($C456="","",INDEX(Planos!$C$3:$C$27,19))</f>
        <v/>
      </c>
      <c r="F456" s="40" t="str">
        <f aca="false">IF($C456="","",INDEX(Planos!$D$3:$D$27,19))</f>
        <v/>
      </c>
      <c r="G456" s="41" t="n">
        <f aca="false">IF($C456="",0,INDEX(Planos!$F$3:$F$27,19)+(22-1)*INDEX(Planos!$E$3:$E$27,19))</f>
        <v>0</v>
      </c>
      <c r="H456" s="40" t="str">
        <f aca="false">IF($C456="","",INDEX(Planos!$H$3:$H$27,19))</f>
        <v/>
      </c>
      <c r="I456" s="41" t="str">
        <f aca="false">IF($C456="","",IF(INDEX(Planos!$J$3:$AG$27,$A456,$B456)=0,"",INDEX(Planos!$J$3:$AG$27,$A456,$B456)))</f>
        <v/>
      </c>
      <c r="J456" s="26" t="str">
        <f aca="false">IF($C456="","",IF($I456&lt;&gt;"","Realizada",IF($G456&lt;INT(Parâmetros!$C$4),"Atrasada","Agendada")))</f>
        <v/>
      </c>
      <c r="K456" s="42" t="str">
        <f aca="false">IF($C456="","",IF($I456&lt;&gt;"",$I456-$G456,IF($J456="Atrasada",INT(Parâmetros!$C$4)-$G456,"")))</f>
        <v/>
      </c>
      <c r="L456" s="26" t="str">
        <f aca="false">IF($J456&lt;&gt;"Realizada","",IF($K456&lt;=0,"No prazo",IF($K456&lt;=7,"Até 7 dias",IF($K456&lt;=30,"Até 30 dias","Acima de 30"))))</f>
        <v/>
      </c>
      <c r="M456" s="26" t="str">
        <f aca="false">IF($C456="","",COUNTIFS($G$3:$G456,$G456))</f>
        <v/>
      </c>
      <c r="N456" s="26" t="str">
        <f aca="false">IF($C456="","",$G456&amp;"|"&amp;$M456)</f>
        <v/>
      </c>
    </row>
    <row r="457" customFormat="false" ht="18" hidden="false" customHeight="true" outlineLevel="0" collapsed="false">
      <c r="A457" s="26" t="n">
        <v>19</v>
      </c>
      <c r="B457" s="26" t="n">
        <v>23</v>
      </c>
      <c r="C457" s="26" t="str">
        <f aca="false">IF(INDEX(Planos!$B$3:$B$27,19)="","",IF(23&gt;INDEX(Planos!$G$3:$G$27,19),"",INDEX(Planos!$B$3:$B$27,19)))</f>
        <v/>
      </c>
      <c r="D457" s="40" t="str">
        <f aca="false">IF($C457="","",IFERROR(INDEX(Ativos!$B$3:$B$42,MATCH($C457,Ativos!$A$3:$A$42,0)),""))</f>
        <v/>
      </c>
      <c r="E457" s="40" t="str">
        <f aca="false">IF($C457="","",INDEX(Planos!$C$3:$C$27,19))</f>
        <v/>
      </c>
      <c r="F457" s="40" t="str">
        <f aca="false">IF($C457="","",INDEX(Planos!$D$3:$D$27,19))</f>
        <v/>
      </c>
      <c r="G457" s="41" t="n">
        <f aca="false">IF($C457="",0,INDEX(Planos!$F$3:$F$27,19)+(23-1)*INDEX(Planos!$E$3:$E$27,19))</f>
        <v>0</v>
      </c>
      <c r="H457" s="40" t="str">
        <f aca="false">IF($C457="","",INDEX(Planos!$H$3:$H$27,19))</f>
        <v/>
      </c>
      <c r="I457" s="41" t="str">
        <f aca="false">IF($C457="","",IF(INDEX(Planos!$J$3:$AG$27,$A457,$B457)=0,"",INDEX(Planos!$J$3:$AG$27,$A457,$B457)))</f>
        <v/>
      </c>
      <c r="J457" s="26" t="str">
        <f aca="false">IF($C457="","",IF($I457&lt;&gt;"","Realizada",IF($G457&lt;INT(Parâmetros!$C$4),"Atrasada","Agendada")))</f>
        <v/>
      </c>
      <c r="K457" s="42" t="str">
        <f aca="false">IF($C457="","",IF($I457&lt;&gt;"",$I457-$G457,IF($J457="Atrasada",INT(Parâmetros!$C$4)-$G457,"")))</f>
        <v/>
      </c>
      <c r="L457" s="26" t="str">
        <f aca="false">IF($J457&lt;&gt;"Realizada","",IF($K457&lt;=0,"No prazo",IF($K457&lt;=7,"Até 7 dias",IF($K457&lt;=30,"Até 30 dias","Acima de 30"))))</f>
        <v/>
      </c>
      <c r="M457" s="26" t="str">
        <f aca="false">IF($C457="","",COUNTIFS($G$3:$G457,$G457))</f>
        <v/>
      </c>
      <c r="N457" s="26" t="str">
        <f aca="false">IF($C457="","",$G457&amp;"|"&amp;$M457)</f>
        <v/>
      </c>
    </row>
    <row r="458" customFormat="false" ht="18" hidden="false" customHeight="true" outlineLevel="0" collapsed="false">
      <c r="A458" s="26" t="n">
        <v>19</v>
      </c>
      <c r="B458" s="26" t="n">
        <v>24</v>
      </c>
      <c r="C458" s="26" t="str">
        <f aca="false">IF(INDEX(Planos!$B$3:$B$27,19)="","",IF(24&gt;INDEX(Planos!$G$3:$G$27,19),"",INDEX(Planos!$B$3:$B$27,19)))</f>
        <v/>
      </c>
      <c r="D458" s="40" t="str">
        <f aca="false">IF($C458="","",IFERROR(INDEX(Ativos!$B$3:$B$42,MATCH($C458,Ativos!$A$3:$A$42,0)),""))</f>
        <v/>
      </c>
      <c r="E458" s="40" t="str">
        <f aca="false">IF($C458="","",INDEX(Planos!$C$3:$C$27,19))</f>
        <v/>
      </c>
      <c r="F458" s="40" t="str">
        <f aca="false">IF($C458="","",INDEX(Planos!$D$3:$D$27,19))</f>
        <v/>
      </c>
      <c r="G458" s="41" t="n">
        <f aca="false">IF($C458="",0,INDEX(Planos!$F$3:$F$27,19)+(24-1)*INDEX(Planos!$E$3:$E$27,19))</f>
        <v>0</v>
      </c>
      <c r="H458" s="40" t="str">
        <f aca="false">IF($C458="","",INDEX(Planos!$H$3:$H$27,19))</f>
        <v/>
      </c>
      <c r="I458" s="41" t="str">
        <f aca="false">IF($C458="","",IF(INDEX(Planos!$J$3:$AG$27,$A458,$B458)=0,"",INDEX(Planos!$J$3:$AG$27,$A458,$B458)))</f>
        <v/>
      </c>
      <c r="J458" s="26" t="str">
        <f aca="false">IF($C458="","",IF($I458&lt;&gt;"","Realizada",IF($G458&lt;INT(Parâmetros!$C$4),"Atrasada","Agendada")))</f>
        <v/>
      </c>
      <c r="K458" s="42" t="str">
        <f aca="false">IF($C458="","",IF($I458&lt;&gt;"",$I458-$G458,IF($J458="Atrasada",INT(Parâmetros!$C$4)-$G458,"")))</f>
        <v/>
      </c>
      <c r="L458" s="26" t="str">
        <f aca="false">IF($J458&lt;&gt;"Realizada","",IF($K458&lt;=0,"No prazo",IF($K458&lt;=7,"Até 7 dias",IF($K458&lt;=30,"Até 30 dias","Acima de 30"))))</f>
        <v/>
      </c>
      <c r="M458" s="26" t="str">
        <f aca="false">IF($C458="","",COUNTIFS($G$3:$G458,$G458))</f>
        <v/>
      </c>
      <c r="N458" s="26" t="str">
        <f aca="false">IF($C458="","",$G458&amp;"|"&amp;$M458)</f>
        <v/>
      </c>
    </row>
    <row r="459" customFormat="false" ht="18" hidden="false" customHeight="true" outlineLevel="0" collapsed="false">
      <c r="A459" s="26" t="n">
        <v>20</v>
      </c>
      <c r="B459" s="26" t="n">
        <v>1</v>
      </c>
      <c r="C459" s="26" t="str">
        <f aca="false">IF(INDEX(Planos!$B$3:$B$27,20)="","",IF(1&gt;INDEX(Planos!$G$3:$G$27,20),"",INDEX(Planos!$B$3:$B$27,20)))</f>
        <v/>
      </c>
      <c r="D459" s="40" t="str">
        <f aca="false">IF($C459="","",IFERROR(INDEX(Ativos!$B$3:$B$42,MATCH($C459,Ativos!$A$3:$A$42,0)),""))</f>
        <v/>
      </c>
      <c r="E459" s="40" t="str">
        <f aca="false">IF($C459="","",INDEX(Planos!$C$3:$C$27,20))</f>
        <v/>
      </c>
      <c r="F459" s="40" t="str">
        <f aca="false">IF($C459="","",INDEX(Planos!$D$3:$D$27,20))</f>
        <v/>
      </c>
      <c r="G459" s="41" t="n">
        <f aca="false">IF($C459="",0,INDEX(Planos!$F$3:$F$27,20)+(1-1)*INDEX(Planos!$E$3:$E$27,20))</f>
        <v>0</v>
      </c>
      <c r="H459" s="40" t="str">
        <f aca="false">IF($C459="","",INDEX(Planos!$H$3:$H$27,20))</f>
        <v/>
      </c>
      <c r="I459" s="41" t="str">
        <f aca="false">IF($C459="","",IF(INDEX(Planos!$J$3:$AG$27,$A459,$B459)=0,"",INDEX(Planos!$J$3:$AG$27,$A459,$B459)))</f>
        <v/>
      </c>
      <c r="J459" s="26" t="str">
        <f aca="false">IF($C459="","",IF($I459&lt;&gt;"","Realizada",IF($G459&lt;INT(Parâmetros!$C$4),"Atrasada","Agendada")))</f>
        <v/>
      </c>
      <c r="K459" s="42" t="str">
        <f aca="false">IF($C459="","",IF($I459&lt;&gt;"",$I459-$G459,IF($J459="Atrasada",INT(Parâmetros!$C$4)-$G459,"")))</f>
        <v/>
      </c>
      <c r="L459" s="26" t="str">
        <f aca="false">IF($J459&lt;&gt;"Realizada","",IF($K459&lt;=0,"No prazo",IF($K459&lt;=7,"Até 7 dias",IF($K459&lt;=30,"Até 30 dias","Acima de 30"))))</f>
        <v/>
      </c>
      <c r="M459" s="26" t="str">
        <f aca="false">IF($C459="","",COUNTIFS($G$3:$G459,$G459))</f>
        <v/>
      </c>
      <c r="N459" s="26" t="str">
        <f aca="false">IF($C459="","",$G459&amp;"|"&amp;$M459)</f>
        <v/>
      </c>
    </row>
    <row r="460" customFormat="false" ht="18" hidden="false" customHeight="true" outlineLevel="0" collapsed="false">
      <c r="A460" s="26" t="n">
        <v>20</v>
      </c>
      <c r="B460" s="26" t="n">
        <v>2</v>
      </c>
      <c r="C460" s="26" t="str">
        <f aca="false">IF(INDEX(Planos!$B$3:$B$27,20)="","",IF(2&gt;INDEX(Planos!$G$3:$G$27,20),"",INDEX(Planos!$B$3:$B$27,20)))</f>
        <v/>
      </c>
      <c r="D460" s="40" t="str">
        <f aca="false">IF($C460="","",IFERROR(INDEX(Ativos!$B$3:$B$42,MATCH($C460,Ativos!$A$3:$A$42,0)),""))</f>
        <v/>
      </c>
      <c r="E460" s="40" t="str">
        <f aca="false">IF($C460="","",INDEX(Planos!$C$3:$C$27,20))</f>
        <v/>
      </c>
      <c r="F460" s="40" t="str">
        <f aca="false">IF($C460="","",INDEX(Planos!$D$3:$D$27,20))</f>
        <v/>
      </c>
      <c r="G460" s="41" t="n">
        <f aca="false">IF($C460="",0,INDEX(Planos!$F$3:$F$27,20)+(2-1)*INDEX(Planos!$E$3:$E$27,20))</f>
        <v>0</v>
      </c>
      <c r="H460" s="40" t="str">
        <f aca="false">IF($C460="","",INDEX(Planos!$H$3:$H$27,20))</f>
        <v/>
      </c>
      <c r="I460" s="41" t="str">
        <f aca="false">IF($C460="","",IF(INDEX(Planos!$J$3:$AG$27,$A460,$B460)=0,"",INDEX(Planos!$J$3:$AG$27,$A460,$B460)))</f>
        <v/>
      </c>
      <c r="J460" s="26" t="str">
        <f aca="false">IF($C460="","",IF($I460&lt;&gt;"","Realizada",IF($G460&lt;INT(Parâmetros!$C$4),"Atrasada","Agendada")))</f>
        <v/>
      </c>
      <c r="K460" s="42" t="str">
        <f aca="false">IF($C460="","",IF($I460&lt;&gt;"",$I460-$G460,IF($J460="Atrasada",INT(Parâmetros!$C$4)-$G460,"")))</f>
        <v/>
      </c>
      <c r="L460" s="26" t="str">
        <f aca="false">IF($J460&lt;&gt;"Realizada","",IF($K460&lt;=0,"No prazo",IF($K460&lt;=7,"Até 7 dias",IF($K460&lt;=30,"Até 30 dias","Acima de 30"))))</f>
        <v/>
      </c>
      <c r="M460" s="26" t="str">
        <f aca="false">IF($C460="","",COUNTIFS($G$3:$G460,$G460))</f>
        <v/>
      </c>
      <c r="N460" s="26" t="str">
        <f aca="false">IF($C460="","",$G460&amp;"|"&amp;$M460)</f>
        <v/>
      </c>
    </row>
    <row r="461" customFormat="false" ht="18" hidden="false" customHeight="true" outlineLevel="0" collapsed="false">
      <c r="A461" s="26" t="n">
        <v>20</v>
      </c>
      <c r="B461" s="26" t="n">
        <v>3</v>
      </c>
      <c r="C461" s="26" t="str">
        <f aca="false">IF(INDEX(Planos!$B$3:$B$27,20)="","",IF(3&gt;INDEX(Planos!$G$3:$G$27,20),"",INDEX(Planos!$B$3:$B$27,20)))</f>
        <v/>
      </c>
      <c r="D461" s="40" t="str">
        <f aca="false">IF($C461="","",IFERROR(INDEX(Ativos!$B$3:$B$42,MATCH($C461,Ativos!$A$3:$A$42,0)),""))</f>
        <v/>
      </c>
      <c r="E461" s="40" t="str">
        <f aca="false">IF($C461="","",INDEX(Planos!$C$3:$C$27,20))</f>
        <v/>
      </c>
      <c r="F461" s="40" t="str">
        <f aca="false">IF($C461="","",INDEX(Planos!$D$3:$D$27,20))</f>
        <v/>
      </c>
      <c r="G461" s="41" t="n">
        <f aca="false">IF($C461="",0,INDEX(Planos!$F$3:$F$27,20)+(3-1)*INDEX(Planos!$E$3:$E$27,20))</f>
        <v>0</v>
      </c>
      <c r="H461" s="40" t="str">
        <f aca="false">IF($C461="","",INDEX(Planos!$H$3:$H$27,20))</f>
        <v/>
      </c>
      <c r="I461" s="41" t="str">
        <f aca="false">IF($C461="","",IF(INDEX(Planos!$J$3:$AG$27,$A461,$B461)=0,"",INDEX(Planos!$J$3:$AG$27,$A461,$B461)))</f>
        <v/>
      </c>
      <c r="J461" s="26" t="str">
        <f aca="false">IF($C461="","",IF($I461&lt;&gt;"","Realizada",IF($G461&lt;INT(Parâmetros!$C$4),"Atrasada","Agendada")))</f>
        <v/>
      </c>
      <c r="K461" s="42" t="str">
        <f aca="false">IF($C461="","",IF($I461&lt;&gt;"",$I461-$G461,IF($J461="Atrasada",INT(Parâmetros!$C$4)-$G461,"")))</f>
        <v/>
      </c>
      <c r="L461" s="26" t="str">
        <f aca="false">IF($J461&lt;&gt;"Realizada","",IF($K461&lt;=0,"No prazo",IF($K461&lt;=7,"Até 7 dias",IF($K461&lt;=30,"Até 30 dias","Acima de 30"))))</f>
        <v/>
      </c>
      <c r="M461" s="26" t="str">
        <f aca="false">IF($C461="","",COUNTIFS($G$3:$G461,$G461))</f>
        <v/>
      </c>
      <c r="N461" s="26" t="str">
        <f aca="false">IF($C461="","",$G461&amp;"|"&amp;$M461)</f>
        <v/>
      </c>
    </row>
    <row r="462" customFormat="false" ht="18" hidden="false" customHeight="true" outlineLevel="0" collapsed="false">
      <c r="A462" s="26" t="n">
        <v>20</v>
      </c>
      <c r="B462" s="26" t="n">
        <v>4</v>
      </c>
      <c r="C462" s="26" t="str">
        <f aca="false">IF(INDEX(Planos!$B$3:$B$27,20)="","",IF(4&gt;INDEX(Planos!$G$3:$G$27,20),"",INDEX(Planos!$B$3:$B$27,20)))</f>
        <v/>
      </c>
      <c r="D462" s="40" t="str">
        <f aca="false">IF($C462="","",IFERROR(INDEX(Ativos!$B$3:$B$42,MATCH($C462,Ativos!$A$3:$A$42,0)),""))</f>
        <v/>
      </c>
      <c r="E462" s="40" t="str">
        <f aca="false">IF($C462="","",INDEX(Planos!$C$3:$C$27,20))</f>
        <v/>
      </c>
      <c r="F462" s="40" t="str">
        <f aca="false">IF($C462="","",INDEX(Planos!$D$3:$D$27,20))</f>
        <v/>
      </c>
      <c r="G462" s="41" t="n">
        <f aca="false">IF($C462="",0,INDEX(Planos!$F$3:$F$27,20)+(4-1)*INDEX(Planos!$E$3:$E$27,20))</f>
        <v>0</v>
      </c>
      <c r="H462" s="40" t="str">
        <f aca="false">IF($C462="","",INDEX(Planos!$H$3:$H$27,20))</f>
        <v/>
      </c>
      <c r="I462" s="41" t="str">
        <f aca="false">IF($C462="","",IF(INDEX(Planos!$J$3:$AG$27,$A462,$B462)=0,"",INDEX(Planos!$J$3:$AG$27,$A462,$B462)))</f>
        <v/>
      </c>
      <c r="J462" s="26" t="str">
        <f aca="false">IF($C462="","",IF($I462&lt;&gt;"","Realizada",IF($G462&lt;INT(Parâmetros!$C$4),"Atrasada","Agendada")))</f>
        <v/>
      </c>
      <c r="K462" s="42" t="str">
        <f aca="false">IF($C462="","",IF($I462&lt;&gt;"",$I462-$G462,IF($J462="Atrasada",INT(Parâmetros!$C$4)-$G462,"")))</f>
        <v/>
      </c>
      <c r="L462" s="26" t="str">
        <f aca="false">IF($J462&lt;&gt;"Realizada","",IF($K462&lt;=0,"No prazo",IF($K462&lt;=7,"Até 7 dias",IF($K462&lt;=30,"Até 30 dias","Acima de 30"))))</f>
        <v/>
      </c>
      <c r="M462" s="26" t="str">
        <f aca="false">IF($C462="","",COUNTIFS($G$3:$G462,$G462))</f>
        <v/>
      </c>
      <c r="N462" s="26" t="str">
        <f aca="false">IF($C462="","",$G462&amp;"|"&amp;$M462)</f>
        <v/>
      </c>
    </row>
    <row r="463" customFormat="false" ht="18" hidden="false" customHeight="true" outlineLevel="0" collapsed="false">
      <c r="A463" s="26" t="n">
        <v>20</v>
      </c>
      <c r="B463" s="26" t="n">
        <v>5</v>
      </c>
      <c r="C463" s="26" t="str">
        <f aca="false">IF(INDEX(Planos!$B$3:$B$27,20)="","",IF(5&gt;INDEX(Planos!$G$3:$G$27,20),"",INDEX(Planos!$B$3:$B$27,20)))</f>
        <v/>
      </c>
      <c r="D463" s="40" t="str">
        <f aca="false">IF($C463="","",IFERROR(INDEX(Ativos!$B$3:$B$42,MATCH($C463,Ativos!$A$3:$A$42,0)),""))</f>
        <v/>
      </c>
      <c r="E463" s="40" t="str">
        <f aca="false">IF($C463="","",INDEX(Planos!$C$3:$C$27,20))</f>
        <v/>
      </c>
      <c r="F463" s="40" t="str">
        <f aca="false">IF($C463="","",INDEX(Planos!$D$3:$D$27,20))</f>
        <v/>
      </c>
      <c r="G463" s="41" t="n">
        <f aca="false">IF($C463="",0,INDEX(Planos!$F$3:$F$27,20)+(5-1)*INDEX(Planos!$E$3:$E$27,20))</f>
        <v>0</v>
      </c>
      <c r="H463" s="40" t="str">
        <f aca="false">IF($C463="","",INDEX(Planos!$H$3:$H$27,20))</f>
        <v/>
      </c>
      <c r="I463" s="41" t="str">
        <f aca="false">IF($C463="","",IF(INDEX(Planos!$J$3:$AG$27,$A463,$B463)=0,"",INDEX(Planos!$J$3:$AG$27,$A463,$B463)))</f>
        <v/>
      </c>
      <c r="J463" s="26" t="str">
        <f aca="false">IF($C463="","",IF($I463&lt;&gt;"","Realizada",IF($G463&lt;INT(Parâmetros!$C$4),"Atrasada","Agendada")))</f>
        <v/>
      </c>
      <c r="K463" s="42" t="str">
        <f aca="false">IF($C463="","",IF($I463&lt;&gt;"",$I463-$G463,IF($J463="Atrasada",INT(Parâmetros!$C$4)-$G463,"")))</f>
        <v/>
      </c>
      <c r="L463" s="26" t="str">
        <f aca="false">IF($J463&lt;&gt;"Realizada","",IF($K463&lt;=0,"No prazo",IF($K463&lt;=7,"Até 7 dias",IF($K463&lt;=30,"Até 30 dias","Acima de 30"))))</f>
        <v/>
      </c>
      <c r="M463" s="26" t="str">
        <f aca="false">IF($C463="","",COUNTIFS($G$3:$G463,$G463))</f>
        <v/>
      </c>
      <c r="N463" s="26" t="str">
        <f aca="false">IF($C463="","",$G463&amp;"|"&amp;$M463)</f>
        <v/>
      </c>
    </row>
    <row r="464" customFormat="false" ht="18" hidden="false" customHeight="true" outlineLevel="0" collapsed="false">
      <c r="A464" s="26" t="n">
        <v>20</v>
      </c>
      <c r="B464" s="26" t="n">
        <v>6</v>
      </c>
      <c r="C464" s="26" t="str">
        <f aca="false">IF(INDEX(Planos!$B$3:$B$27,20)="","",IF(6&gt;INDEX(Planos!$G$3:$G$27,20),"",INDEX(Planos!$B$3:$B$27,20)))</f>
        <v/>
      </c>
      <c r="D464" s="40" t="str">
        <f aca="false">IF($C464="","",IFERROR(INDEX(Ativos!$B$3:$B$42,MATCH($C464,Ativos!$A$3:$A$42,0)),""))</f>
        <v/>
      </c>
      <c r="E464" s="40" t="str">
        <f aca="false">IF($C464="","",INDEX(Planos!$C$3:$C$27,20))</f>
        <v/>
      </c>
      <c r="F464" s="40" t="str">
        <f aca="false">IF($C464="","",INDEX(Planos!$D$3:$D$27,20))</f>
        <v/>
      </c>
      <c r="G464" s="41" t="n">
        <f aca="false">IF($C464="",0,INDEX(Planos!$F$3:$F$27,20)+(6-1)*INDEX(Planos!$E$3:$E$27,20))</f>
        <v>0</v>
      </c>
      <c r="H464" s="40" t="str">
        <f aca="false">IF($C464="","",INDEX(Planos!$H$3:$H$27,20))</f>
        <v/>
      </c>
      <c r="I464" s="41" t="str">
        <f aca="false">IF($C464="","",IF(INDEX(Planos!$J$3:$AG$27,$A464,$B464)=0,"",INDEX(Planos!$J$3:$AG$27,$A464,$B464)))</f>
        <v/>
      </c>
      <c r="J464" s="26" t="str">
        <f aca="false">IF($C464="","",IF($I464&lt;&gt;"","Realizada",IF($G464&lt;INT(Parâmetros!$C$4),"Atrasada","Agendada")))</f>
        <v/>
      </c>
      <c r="K464" s="42" t="str">
        <f aca="false">IF($C464="","",IF($I464&lt;&gt;"",$I464-$G464,IF($J464="Atrasada",INT(Parâmetros!$C$4)-$G464,"")))</f>
        <v/>
      </c>
      <c r="L464" s="26" t="str">
        <f aca="false">IF($J464&lt;&gt;"Realizada","",IF($K464&lt;=0,"No prazo",IF($K464&lt;=7,"Até 7 dias",IF($K464&lt;=30,"Até 30 dias","Acima de 30"))))</f>
        <v/>
      </c>
      <c r="M464" s="26" t="str">
        <f aca="false">IF($C464="","",COUNTIFS($G$3:$G464,$G464))</f>
        <v/>
      </c>
      <c r="N464" s="26" t="str">
        <f aca="false">IF($C464="","",$G464&amp;"|"&amp;$M464)</f>
        <v/>
      </c>
    </row>
    <row r="465" customFormat="false" ht="18" hidden="false" customHeight="true" outlineLevel="0" collapsed="false">
      <c r="A465" s="26" t="n">
        <v>20</v>
      </c>
      <c r="B465" s="26" t="n">
        <v>7</v>
      </c>
      <c r="C465" s="26" t="str">
        <f aca="false">IF(INDEX(Planos!$B$3:$B$27,20)="","",IF(7&gt;INDEX(Planos!$G$3:$G$27,20),"",INDEX(Planos!$B$3:$B$27,20)))</f>
        <v/>
      </c>
      <c r="D465" s="40" t="str">
        <f aca="false">IF($C465="","",IFERROR(INDEX(Ativos!$B$3:$B$42,MATCH($C465,Ativos!$A$3:$A$42,0)),""))</f>
        <v/>
      </c>
      <c r="E465" s="40" t="str">
        <f aca="false">IF($C465="","",INDEX(Planos!$C$3:$C$27,20))</f>
        <v/>
      </c>
      <c r="F465" s="40" t="str">
        <f aca="false">IF($C465="","",INDEX(Planos!$D$3:$D$27,20))</f>
        <v/>
      </c>
      <c r="G465" s="41" t="n">
        <f aca="false">IF($C465="",0,INDEX(Planos!$F$3:$F$27,20)+(7-1)*INDEX(Planos!$E$3:$E$27,20))</f>
        <v>0</v>
      </c>
      <c r="H465" s="40" t="str">
        <f aca="false">IF($C465="","",INDEX(Planos!$H$3:$H$27,20))</f>
        <v/>
      </c>
      <c r="I465" s="41" t="str">
        <f aca="false">IF($C465="","",IF(INDEX(Planos!$J$3:$AG$27,$A465,$B465)=0,"",INDEX(Planos!$J$3:$AG$27,$A465,$B465)))</f>
        <v/>
      </c>
      <c r="J465" s="26" t="str">
        <f aca="false">IF($C465="","",IF($I465&lt;&gt;"","Realizada",IF($G465&lt;INT(Parâmetros!$C$4),"Atrasada","Agendada")))</f>
        <v/>
      </c>
      <c r="K465" s="42" t="str">
        <f aca="false">IF($C465="","",IF($I465&lt;&gt;"",$I465-$G465,IF($J465="Atrasada",INT(Parâmetros!$C$4)-$G465,"")))</f>
        <v/>
      </c>
      <c r="L465" s="26" t="str">
        <f aca="false">IF($J465&lt;&gt;"Realizada","",IF($K465&lt;=0,"No prazo",IF($K465&lt;=7,"Até 7 dias",IF($K465&lt;=30,"Até 30 dias","Acima de 30"))))</f>
        <v/>
      </c>
      <c r="M465" s="26" t="str">
        <f aca="false">IF($C465="","",COUNTIFS($G$3:$G465,$G465))</f>
        <v/>
      </c>
      <c r="N465" s="26" t="str">
        <f aca="false">IF($C465="","",$G465&amp;"|"&amp;$M465)</f>
        <v/>
      </c>
    </row>
    <row r="466" customFormat="false" ht="18" hidden="false" customHeight="true" outlineLevel="0" collapsed="false">
      <c r="A466" s="26" t="n">
        <v>20</v>
      </c>
      <c r="B466" s="26" t="n">
        <v>8</v>
      </c>
      <c r="C466" s="26" t="str">
        <f aca="false">IF(INDEX(Planos!$B$3:$B$27,20)="","",IF(8&gt;INDEX(Planos!$G$3:$G$27,20),"",INDEX(Planos!$B$3:$B$27,20)))</f>
        <v/>
      </c>
      <c r="D466" s="40" t="str">
        <f aca="false">IF($C466="","",IFERROR(INDEX(Ativos!$B$3:$B$42,MATCH($C466,Ativos!$A$3:$A$42,0)),""))</f>
        <v/>
      </c>
      <c r="E466" s="40" t="str">
        <f aca="false">IF($C466="","",INDEX(Planos!$C$3:$C$27,20))</f>
        <v/>
      </c>
      <c r="F466" s="40" t="str">
        <f aca="false">IF($C466="","",INDEX(Planos!$D$3:$D$27,20))</f>
        <v/>
      </c>
      <c r="G466" s="41" t="n">
        <f aca="false">IF($C466="",0,INDEX(Planos!$F$3:$F$27,20)+(8-1)*INDEX(Planos!$E$3:$E$27,20))</f>
        <v>0</v>
      </c>
      <c r="H466" s="40" t="str">
        <f aca="false">IF($C466="","",INDEX(Planos!$H$3:$H$27,20))</f>
        <v/>
      </c>
      <c r="I466" s="41" t="str">
        <f aca="false">IF($C466="","",IF(INDEX(Planos!$J$3:$AG$27,$A466,$B466)=0,"",INDEX(Planos!$J$3:$AG$27,$A466,$B466)))</f>
        <v/>
      </c>
      <c r="J466" s="26" t="str">
        <f aca="false">IF($C466="","",IF($I466&lt;&gt;"","Realizada",IF($G466&lt;INT(Parâmetros!$C$4),"Atrasada","Agendada")))</f>
        <v/>
      </c>
      <c r="K466" s="42" t="str">
        <f aca="false">IF($C466="","",IF($I466&lt;&gt;"",$I466-$G466,IF($J466="Atrasada",INT(Parâmetros!$C$4)-$G466,"")))</f>
        <v/>
      </c>
      <c r="L466" s="26" t="str">
        <f aca="false">IF($J466&lt;&gt;"Realizada","",IF($K466&lt;=0,"No prazo",IF($K466&lt;=7,"Até 7 dias",IF($K466&lt;=30,"Até 30 dias","Acima de 30"))))</f>
        <v/>
      </c>
      <c r="M466" s="26" t="str">
        <f aca="false">IF($C466="","",COUNTIFS($G$3:$G466,$G466))</f>
        <v/>
      </c>
      <c r="N466" s="26" t="str">
        <f aca="false">IF($C466="","",$G466&amp;"|"&amp;$M466)</f>
        <v/>
      </c>
    </row>
    <row r="467" customFormat="false" ht="18" hidden="false" customHeight="true" outlineLevel="0" collapsed="false">
      <c r="A467" s="26" t="n">
        <v>20</v>
      </c>
      <c r="B467" s="26" t="n">
        <v>9</v>
      </c>
      <c r="C467" s="26" t="str">
        <f aca="false">IF(INDEX(Planos!$B$3:$B$27,20)="","",IF(9&gt;INDEX(Planos!$G$3:$G$27,20),"",INDEX(Planos!$B$3:$B$27,20)))</f>
        <v/>
      </c>
      <c r="D467" s="40" t="str">
        <f aca="false">IF($C467="","",IFERROR(INDEX(Ativos!$B$3:$B$42,MATCH($C467,Ativos!$A$3:$A$42,0)),""))</f>
        <v/>
      </c>
      <c r="E467" s="40" t="str">
        <f aca="false">IF($C467="","",INDEX(Planos!$C$3:$C$27,20))</f>
        <v/>
      </c>
      <c r="F467" s="40" t="str">
        <f aca="false">IF($C467="","",INDEX(Planos!$D$3:$D$27,20))</f>
        <v/>
      </c>
      <c r="G467" s="41" t="n">
        <f aca="false">IF($C467="",0,INDEX(Planos!$F$3:$F$27,20)+(9-1)*INDEX(Planos!$E$3:$E$27,20))</f>
        <v>0</v>
      </c>
      <c r="H467" s="40" t="str">
        <f aca="false">IF($C467="","",INDEX(Planos!$H$3:$H$27,20))</f>
        <v/>
      </c>
      <c r="I467" s="41" t="str">
        <f aca="false">IF($C467="","",IF(INDEX(Planos!$J$3:$AG$27,$A467,$B467)=0,"",INDEX(Planos!$J$3:$AG$27,$A467,$B467)))</f>
        <v/>
      </c>
      <c r="J467" s="26" t="str">
        <f aca="false">IF($C467="","",IF($I467&lt;&gt;"","Realizada",IF($G467&lt;INT(Parâmetros!$C$4),"Atrasada","Agendada")))</f>
        <v/>
      </c>
      <c r="K467" s="42" t="str">
        <f aca="false">IF($C467="","",IF($I467&lt;&gt;"",$I467-$G467,IF($J467="Atrasada",INT(Parâmetros!$C$4)-$G467,"")))</f>
        <v/>
      </c>
      <c r="L467" s="26" t="str">
        <f aca="false">IF($J467&lt;&gt;"Realizada","",IF($K467&lt;=0,"No prazo",IF($K467&lt;=7,"Até 7 dias",IF($K467&lt;=30,"Até 30 dias","Acima de 30"))))</f>
        <v/>
      </c>
      <c r="M467" s="26" t="str">
        <f aca="false">IF($C467="","",COUNTIFS($G$3:$G467,$G467))</f>
        <v/>
      </c>
      <c r="N467" s="26" t="str">
        <f aca="false">IF($C467="","",$G467&amp;"|"&amp;$M467)</f>
        <v/>
      </c>
    </row>
    <row r="468" customFormat="false" ht="18" hidden="false" customHeight="true" outlineLevel="0" collapsed="false">
      <c r="A468" s="26" t="n">
        <v>20</v>
      </c>
      <c r="B468" s="26" t="n">
        <v>10</v>
      </c>
      <c r="C468" s="26" t="str">
        <f aca="false">IF(INDEX(Planos!$B$3:$B$27,20)="","",IF(10&gt;INDEX(Planos!$G$3:$G$27,20),"",INDEX(Planos!$B$3:$B$27,20)))</f>
        <v/>
      </c>
      <c r="D468" s="40" t="str">
        <f aca="false">IF($C468="","",IFERROR(INDEX(Ativos!$B$3:$B$42,MATCH($C468,Ativos!$A$3:$A$42,0)),""))</f>
        <v/>
      </c>
      <c r="E468" s="40" t="str">
        <f aca="false">IF($C468="","",INDEX(Planos!$C$3:$C$27,20))</f>
        <v/>
      </c>
      <c r="F468" s="40" t="str">
        <f aca="false">IF($C468="","",INDEX(Planos!$D$3:$D$27,20))</f>
        <v/>
      </c>
      <c r="G468" s="41" t="n">
        <f aca="false">IF($C468="",0,INDEX(Planos!$F$3:$F$27,20)+(10-1)*INDEX(Planos!$E$3:$E$27,20))</f>
        <v>0</v>
      </c>
      <c r="H468" s="40" t="str">
        <f aca="false">IF($C468="","",INDEX(Planos!$H$3:$H$27,20))</f>
        <v/>
      </c>
      <c r="I468" s="41" t="str">
        <f aca="false">IF($C468="","",IF(INDEX(Planos!$J$3:$AG$27,$A468,$B468)=0,"",INDEX(Planos!$J$3:$AG$27,$A468,$B468)))</f>
        <v/>
      </c>
      <c r="J468" s="26" t="str">
        <f aca="false">IF($C468="","",IF($I468&lt;&gt;"","Realizada",IF($G468&lt;INT(Parâmetros!$C$4),"Atrasada","Agendada")))</f>
        <v/>
      </c>
      <c r="K468" s="42" t="str">
        <f aca="false">IF($C468="","",IF($I468&lt;&gt;"",$I468-$G468,IF($J468="Atrasada",INT(Parâmetros!$C$4)-$G468,"")))</f>
        <v/>
      </c>
      <c r="L468" s="26" t="str">
        <f aca="false">IF($J468&lt;&gt;"Realizada","",IF($K468&lt;=0,"No prazo",IF($K468&lt;=7,"Até 7 dias",IF($K468&lt;=30,"Até 30 dias","Acima de 30"))))</f>
        <v/>
      </c>
      <c r="M468" s="26" t="str">
        <f aca="false">IF($C468="","",COUNTIFS($G$3:$G468,$G468))</f>
        <v/>
      </c>
      <c r="N468" s="26" t="str">
        <f aca="false">IF($C468="","",$G468&amp;"|"&amp;$M468)</f>
        <v/>
      </c>
    </row>
    <row r="469" customFormat="false" ht="18" hidden="false" customHeight="true" outlineLevel="0" collapsed="false">
      <c r="A469" s="26" t="n">
        <v>20</v>
      </c>
      <c r="B469" s="26" t="n">
        <v>11</v>
      </c>
      <c r="C469" s="26" t="str">
        <f aca="false">IF(INDEX(Planos!$B$3:$B$27,20)="","",IF(11&gt;INDEX(Planos!$G$3:$G$27,20),"",INDEX(Planos!$B$3:$B$27,20)))</f>
        <v/>
      </c>
      <c r="D469" s="40" t="str">
        <f aca="false">IF($C469="","",IFERROR(INDEX(Ativos!$B$3:$B$42,MATCH($C469,Ativos!$A$3:$A$42,0)),""))</f>
        <v/>
      </c>
      <c r="E469" s="40" t="str">
        <f aca="false">IF($C469="","",INDEX(Planos!$C$3:$C$27,20))</f>
        <v/>
      </c>
      <c r="F469" s="40" t="str">
        <f aca="false">IF($C469="","",INDEX(Planos!$D$3:$D$27,20))</f>
        <v/>
      </c>
      <c r="G469" s="41" t="n">
        <f aca="false">IF($C469="",0,INDEX(Planos!$F$3:$F$27,20)+(11-1)*INDEX(Planos!$E$3:$E$27,20))</f>
        <v>0</v>
      </c>
      <c r="H469" s="40" t="str">
        <f aca="false">IF($C469="","",INDEX(Planos!$H$3:$H$27,20))</f>
        <v/>
      </c>
      <c r="I469" s="41" t="str">
        <f aca="false">IF($C469="","",IF(INDEX(Planos!$J$3:$AG$27,$A469,$B469)=0,"",INDEX(Planos!$J$3:$AG$27,$A469,$B469)))</f>
        <v/>
      </c>
      <c r="J469" s="26" t="str">
        <f aca="false">IF($C469="","",IF($I469&lt;&gt;"","Realizada",IF($G469&lt;INT(Parâmetros!$C$4),"Atrasada","Agendada")))</f>
        <v/>
      </c>
      <c r="K469" s="42" t="str">
        <f aca="false">IF($C469="","",IF($I469&lt;&gt;"",$I469-$G469,IF($J469="Atrasada",INT(Parâmetros!$C$4)-$G469,"")))</f>
        <v/>
      </c>
      <c r="L469" s="26" t="str">
        <f aca="false">IF($J469&lt;&gt;"Realizada","",IF($K469&lt;=0,"No prazo",IF($K469&lt;=7,"Até 7 dias",IF($K469&lt;=30,"Até 30 dias","Acima de 30"))))</f>
        <v/>
      </c>
      <c r="M469" s="26" t="str">
        <f aca="false">IF($C469="","",COUNTIFS($G$3:$G469,$G469))</f>
        <v/>
      </c>
      <c r="N469" s="26" t="str">
        <f aca="false">IF($C469="","",$G469&amp;"|"&amp;$M469)</f>
        <v/>
      </c>
    </row>
    <row r="470" customFormat="false" ht="18" hidden="false" customHeight="true" outlineLevel="0" collapsed="false">
      <c r="A470" s="26" t="n">
        <v>20</v>
      </c>
      <c r="B470" s="26" t="n">
        <v>12</v>
      </c>
      <c r="C470" s="26" t="str">
        <f aca="false">IF(INDEX(Planos!$B$3:$B$27,20)="","",IF(12&gt;INDEX(Planos!$G$3:$G$27,20),"",INDEX(Planos!$B$3:$B$27,20)))</f>
        <v/>
      </c>
      <c r="D470" s="40" t="str">
        <f aca="false">IF($C470="","",IFERROR(INDEX(Ativos!$B$3:$B$42,MATCH($C470,Ativos!$A$3:$A$42,0)),""))</f>
        <v/>
      </c>
      <c r="E470" s="40" t="str">
        <f aca="false">IF($C470="","",INDEX(Planos!$C$3:$C$27,20))</f>
        <v/>
      </c>
      <c r="F470" s="40" t="str">
        <f aca="false">IF($C470="","",INDEX(Planos!$D$3:$D$27,20))</f>
        <v/>
      </c>
      <c r="G470" s="41" t="n">
        <f aca="false">IF($C470="",0,INDEX(Planos!$F$3:$F$27,20)+(12-1)*INDEX(Planos!$E$3:$E$27,20))</f>
        <v>0</v>
      </c>
      <c r="H470" s="40" t="str">
        <f aca="false">IF($C470="","",INDEX(Planos!$H$3:$H$27,20))</f>
        <v/>
      </c>
      <c r="I470" s="41" t="str">
        <f aca="false">IF($C470="","",IF(INDEX(Planos!$J$3:$AG$27,$A470,$B470)=0,"",INDEX(Planos!$J$3:$AG$27,$A470,$B470)))</f>
        <v/>
      </c>
      <c r="J470" s="26" t="str">
        <f aca="false">IF($C470="","",IF($I470&lt;&gt;"","Realizada",IF($G470&lt;INT(Parâmetros!$C$4),"Atrasada","Agendada")))</f>
        <v/>
      </c>
      <c r="K470" s="42" t="str">
        <f aca="false">IF($C470="","",IF($I470&lt;&gt;"",$I470-$G470,IF($J470="Atrasada",INT(Parâmetros!$C$4)-$G470,"")))</f>
        <v/>
      </c>
      <c r="L470" s="26" t="str">
        <f aca="false">IF($J470&lt;&gt;"Realizada","",IF($K470&lt;=0,"No prazo",IF($K470&lt;=7,"Até 7 dias",IF($K470&lt;=30,"Até 30 dias","Acima de 30"))))</f>
        <v/>
      </c>
      <c r="M470" s="26" t="str">
        <f aca="false">IF($C470="","",COUNTIFS($G$3:$G470,$G470))</f>
        <v/>
      </c>
      <c r="N470" s="26" t="str">
        <f aca="false">IF($C470="","",$G470&amp;"|"&amp;$M470)</f>
        <v/>
      </c>
    </row>
    <row r="471" customFormat="false" ht="18" hidden="false" customHeight="true" outlineLevel="0" collapsed="false">
      <c r="A471" s="26" t="n">
        <v>20</v>
      </c>
      <c r="B471" s="26" t="n">
        <v>13</v>
      </c>
      <c r="C471" s="26" t="str">
        <f aca="false">IF(INDEX(Planos!$B$3:$B$27,20)="","",IF(13&gt;INDEX(Planos!$G$3:$G$27,20),"",INDEX(Planos!$B$3:$B$27,20)))</f>
        <v/>
      </c>
      <c r="D471" s="40" t="str">
        <f aca="false">IF($C471="","",IFERROR(INDEX(Ativos!$B$3:$B$42,MATCH($C471,Ativos!$A$3:$A$42,0)),""))</f>
        <v/>
      </c>
      <c r="E471" s="40" t="str">
        <f aca="false">IF($C471="","",INDEX(Planos!$C$3:$C$27,20))</f>
        <v/>
      </c>
      <c r="F471" s="40" t="str">
        <f aca="false">IF($C471="","",INDEX(Planos!$D$3:$D$27,20))</f>
        <v/>
      </c>
      <c r="G471" s="41" t="n">
        <f aca="false">IF($C471="",0,INDEX(Planos!$F$3:$F$27,20)+(13-1)*INDEX(Planos!$E$3:$E$27,20))</f>
        <v>0</v>
      </c>
      <c r="H471" s="40" t="str">
        <f aca="false">IF($C471="","",INDEX(Planos!$H$3:$H$27,20))</f>
        <v/>
      </c>
      <c r="I471" s="41" t="str">
        <f aca="false">IF($C471="","",IF(INDEX(Planos!$J$3:$AG$27,$A471,$B471)=0,"",INDEX(Planos!$J$3:$AG$27,$A471,$B471)))</f>
        <v/>
      </c>
      <c r="J471" s="26" t="str">
        <f aca="false">IF($C471="","",IF($I471&lt;&gt;"","Realizada",IF($G471&lt;INT(Parâmetros!$C$4),"Atrasada","Agendada")))</f>
        <v/>
      </c>
      <c r="K471" s="42" t="str">
        <f aca="false">IF($C471="","",IF($I471&lt;&gt;"",$I471-$G471,IF($J471="Atrasada",INT(Parâmetros!$C$4)-$G471,"")))</f>
        <v/>
      </c>
      <c r="L471" s="26" t="str">
        <f aca="false">IF($J471&lt;&gt;"Realizada","",IF($K471&lt;=0,"No prazo",IF($K471&lt;=7,"Até 7 dias",IF($K471&lt;=30,"Até 30 dias","Acima de 30"))))</f>
        <v/>
      </c>
      <c r="M471" s="26" t="str">
        <f aca="false">IF($C471="","",COUNTIFS($G$3:$G471,$G471))</f>
        <v/>
      </c>
      <c r="N471" s="26" t="str">
        <f aca="false">IF($C471="","",$G471&amp;"|"&amp;$M471)</f>
        <v/>
      </c>
    </row>
    <row r="472" customFormat="false" ht="18" hidden="false" customHeight="true" outlineLevel="0" collapsed="false">
      <c r="A472" s="26" t="n">
        <v>20</v>
      </c>
      <c r="B472" s="26" t="n">
        <v>14</v>
      </c>
      <c r="C472" s="26" t="str">
        <f aca="false">IF(INDEX(Planos!$B$3:$B$27,20)="","",IF(14&gt;INDEX(Planos!$G$3:$G$27,20),"",INDEX(Planos!$B$3:$B$27,20)))</f>
        <v/>
      </c>
      <c r="D472" s="40" t="str">
        <f aca="false">IF($C472="","",IFERROR(INDEX(Ativos!$B$3:$B$42,MATCH($C472,Ativos!$A$3:$A$42,0)),""))</f>
        <v/>
      </c>
      <c r="E472" s="40" t="str">
        <f aca="false">IF($C472="","",INDEX(Planos!$C$3:$C$27,20))</f>
        <v/>
      </c>
      <c r="F472" s="40" t="str">
        <f aca="false">IF($C472="","",INDEX(Planos!$D$3:$D$27,20))</f>
        <v/>
      </c>
      <c r="G472" s="41" t="n">
        <f aca="false">IF($C472="",0,INDEX(Planos!$F$3:$F$27,20)+(14-1)*INDEX(Planos!$E$3:$E$27,20))</f>
        <v>0</v>
      </c>
      <c r="H472" s="40" t="str">
        <f aca="false">IF($C472="","",INDEX(Planos!$H$3:$H$27,20))</f>
        <v/>
      </c>
      <c r="I472" s="41" t="str">
        <f aca="false">IF($C472="","",IF(INDEX(Planos!$J$3:$AG$27,$A472,$B472)=0,"",INDEX(Planos!$J$3:$AG$27,$A472,$B472)))</f>
        <v/>
      </c>
      <c r="J472" s="26" t="str">
        <f aca="false">IF($C472="","",IF($I472&lt;&gt;"","Realizada",IF($G472&lt;INT(Parâmetros!$C$4),"Atrasada","Agendada")))</f>
        <v/>
      </c>
      <c r="K472" s="42" t="str">
        <f aca="false">IF($C472="","",IF($I472&lt;&gt;"",$I472-$G472,IF($J472="Atrasada",INT(Parâmetros!$C$4)-$G472,"")))</f>
        <v/>
      </c>
      <c r="L472" s="26" t="str">
        <f aca="false">IF($J472&lt;&gt;"Realizada","",IF($K472&lt;=0,"No prazo",IF($K472&lt;=7,"Até 7 dias",IF($K472&lt;=30,"Até 30 dias","Acima de 30"))))</f>
        <v/>
      </c>
      <c r="M472" s="26" t="str">
        <f aca="false">IF($C472="","",COUNTIFS($G$3:$G472,$G472))</f>
        <v/>
      </c>
      <c r="N472" s="26" t="str">
        <f aca="false">IF($C472="","",$G472&amp;"|"&amp;$M472)</f>
        <v/>
      </c>
    </row>
    <row r="473" customFormat="false" ht="18" hidden="false" customHeight="true" outlineLevel="0" collapsed="false">
      <c r="A473" s="26" t="n">
        <v>20</v>
      </c>
      <c r="B473" s="26" t="n">
        <v>15</v>
      </c>
      <c r="C473" s="26" t="str">
        <f aca="false">IF(INDEX(Planos!$B$3:$B$27,20)="","",IF(15&gt;INDEX(Planos!$G$3:$G$27,20),"",INDEX(Planos!$B$3:$B$27,20)))</f>
        <v/>
      </c>
      <c r="D473" s="40" t="str">
        <f aca="false">IF($C473="","",IFERROR(INDEX(Ativos!$B$3:$B$42,MATCH($C473,Ativos!$A$3:$A$42,0)),""))</f>
        <v/>
      </c>
      <c r="E473" s="40" t="str">
        <f aca="false">IF($C473="","",INDEX(Planos!$C$3:$C$27,20))</f>
        <v/>
      </c>
      <c r="F473" s="40" t="str">
        <f aca="false">IF($C473="","",INDEX(Planos!$D$3:$D$27,20))</f>
        <v/>
      </c>
      <c r="G473" s="41" t="n">
        <f aca="false">IF($C473="",0,INDEX(Planos!$F$3:$F$27,20)+(15-1)*INDEX(Planos!$E$3:$E$27,20))</f>
        <v>0</v>
      </c>
      <c r="H473" s="40" t="str">
        <f aca="false">IF($C473="","",INDEX(Planos!$H$3:$H$27,20))</f>
        <v/>
      </c>
      <c r="I473" s="41" t="str">
        <f aca="false">IF($C473="","",IF(INDEX(Planos!$J$3:$AG$27,$A473,$B473)=0,"",INDEX(Planos!$J$3:$AG$27,$A473,$B473)))</f>
        <v/>
      </c>
      <c r="J473" s="26" t="str">
        <f aca="false">IF($C473="","",IF($I473&lt;&gt;"","Realizada",IF($G473&lt;INT(Parâmetros!$C$4),"Atrasada","Agendada")))</f>
        <v/>
      </c>
      <c r="K473" s="42" t="str">
        <f aca="false">IF($C473="","",IF($I473&lt;&gt;"",$I473-$G473,IF($J473="Atrasada",INT(Parâmetros!$C$4)-$G473,"")))</f>
        <v/>
      </c>
      <c r="L473" s="26" t="str">
        <f aca="false">IF($J473&lt;&gt;"Realizada","",IF($K473&lt;=0,"No prazo",IF($K473&lt;=7,"Até 7 dias",IF($K473&lt;=30,"Até 30 dias","Acima de 30"))))</f>
        <v/>
      </c>
      <c r="M473" s="26" t="str">
        <f aca="false">IF($C473="","",COUNTIFS($G$3:$G473,$G473))</f>
        <v/>
      </c>
      <c r="N473" s="26" t="str">
        <f aca="false">IF($C473="","",$G473&amp;"|"&amp;$M473)</f>
        <v/>
      </c>
    </row>
    <row r="474" customFormat="false" ht="18" hidden="false" customHeight="true" outlineLevel="0" collapsed="false">
      <c r="A474" s="26" t="n">
        <v>20</v>
      </c>
      <c r="B474" s="26" t="n">
        <v>16</v>
      </c>
      <c r="C474" s="26" t="str">
        <f aca="false">IF(INDEX(Planos!$B$3:$B$27,20)="","",IF(16&gt;INDEX(Planos!$G$3:$G$27,20),"",INDEX(Planos!$B$3:$B$27,20)))</f>
        <v/>
      </c>
      <c r="D474" s="40" t="str">
        <f aca="false">IF($C474="","",IFERROR(INDEX(Ativos!$B$3:$B$42,MATCH($C474,Ativos!$A$3:$A$42,0)),""))</f>
        <v/>
      </c>
      <c r="E474" s="40" t="str">
        <f aca="false">IF($C474="","",INDEX(Planos!$C$3:$C$27,20))</f>
        <v/>
      </c>
      <c r="F474" s="40" t="str">
        <f aca="false">IF($C474="","",INDEX(Planos!$D$3:$D$27,20))</f>
        <v/>
      </c>
      <c r="G474" s="41" t="n">
        <f aca="false">IF($C474="",0,INDEX(Planos!$F$3:$F$27,20)+(16-1)*INDEX(Planos!$E$3:$E$27,20))</f>
        <v>0</v>
      </c>
      <c r="H474" s="40" t="str">
        <f aca="false">IF($C474="","",INDEX(Planos!$H$3:$H$27,20))</f>
        <v/>
      </c>
      <c r="I474" s="41" t="str">
        <f aca="false">IF($C474="","",IF(INDEX(Planos!$J$3:$AG$27,$A474,$B474)=0,"",INDEX(Planos!$J$3:$AG$27,$A474,$B474)))</f>
        <v/>
      </c>
      <c r="J474" s="26" t="str">
        <f aca="false">IF($C474="","",IF($I474&lt;&gt;"","Realizada",IF($G474&lt;INT(Parâmetros!$C$4),"Atrasada","Agendada")))</f>
        <v/>
      </c>
      <c r="K474" s="42" t="str">
        <f aca="false">IF($C474="","",IF($I474&lt;&gt;"",$I474-$G474,IF($J474="Atrasada",INT(Parâmetros!$C$4)-$G474,"")))</f>
        <v/>
      </c>
      <c r="L474" s="26" t="str">
        <f aca="false">IF($J474&lt;&gt;"Realizada","",IF($K474&lt;=0,"No prazo",IF($K474&lt;=7,"Até 7 dias",IF($K474&lt;=30,"Até 30 dias","Acima de 30"))))</f>
        <v/>
      </c>
      <c r="M474" s="26" t="str">
        <f aca="false">IF($C474="","",COUNTIFS($G$3:$G474,$G474))</f>
        <v/>
      </c>
      <c r="N474" s="26" t="str">
        <f aca="false">IF($C474="","",$G474&amp;"|"&amp;$M474)</f>
        <v/>
      </c>
    </row>
    <row r="475" customFormat="false" ht="18" hidden="false" customHeight="true" outlineLevel="0" collapsed="false">
      <c r="A475" s="26" t="n">
        <v>20</v>
      </c>
      <c r="B475" s="26" t="n">
        <v>17</v>
      </c>
      <c r="C475" s="26" t="str">
        <f aca="false">IF(INDEX(Planos!$B$3:$B$27,20)="","",IF(17&gt;INDEX(Planos!$G$3:$G$27,20),"",INDEX(Planos!$B$3:$B$27,20)))</f>
        <v/>
      </c>
      <c r="D475" s="40" t="str">
        <f aca="false">IF($C475="","",IFERROR(INDEX(Ativos!$B$3:$B$42,MATCH($C475,Ativos!$A$3:$A$42,0)),""))</f>
        <v/>
      </c>
      <c r="E475" s="40" t="str">
        <f aca="false">IF($C475="","",INDEX(Planos!$C$3:$C$27,20))</f>
        <v/>
      </c>
      <c r="F475" s="40" t="str">
        <f aca="false">IF($C475="","",INDEX(Planos!$D$3:$D$27,20))</f>
        <v/>
      </c>
      <c r="G475" s="41" t="n">
        <f aca="false">IF($C475="",0,INDEX(Planos!$F$3:$F$27,20)+(17-1)*INDEX(Planos!$E$3:$E$27,20))</f>
        <v>0</v>
      </c>
      <c r="H475" s="40" t="str">
        <f aca="false">IF($C475="","",INDEX(Planos!$H$3:$H$27,20))</f>
        <v/>
      </c>
      <c r="I475" s="41" t="str">
        <f aca="false">IF($C475="","",IF(INDEX(Planos!$J$3:$AG$27,$A475,$B475)=0,"",INDEX(Planos!$J$3:$AG$27,$A475,$B475)))</f>
        <v/>
      </c>
      <c r="J475" s="26" t="str">
        <f aca="false">IF($C475="","",IF($I475&lt;&gt;"","Realizada",IF($G475&lt;INT(Parâmetros!$C$4),"Atrasada","Agendada")))</f>
        <v/>
      </c>
      <c r="K475" s="42" t="str">
        <f aca="false">IF($C475="","",IF($I475&lt;&gt;"",$I475-$G475,IF($J475="Atrasada",INT(Parâmetros!$C$4)-$G475,"")))</f>
        <v/>
      </c>
      <c r="L475" s="26" t="str">
        <f aca="false">IF($J475&lt;&gt;"Realizada","",IF($K475&lt;=0,"No prazo",IF($K475&lt;=7,"Até 7 dias",IF($K475&lt;=30,"Até 30 dias","Acima de 30"))))</f>
        <v/>
      </c>
      <c r="M475" s="26" t="str">
        <f aca="false">IF($C475="","",COUNTIFS($G$3:$G475,$G475))</f>
        <v/>
      </c>
      <c r="N475" s="26" t="str">
        <f aca="false">IF($C475="","",$G475&amp;"|"&amp;$M475)</f>
        <v/>
      </c>
    </row>
    <row r="476" customFormat="false" ht="18" hidden="false" customHeight="true" outlineLevel="0" collapsed="false">
      <c r="A476" s="26" t="n">
        <v>20</v>
      </c>
      <c r="B476" s="26" t="n">
        <v>18</v>
      </c>
      <c r="C476" s="26" t="str">
        <f aca="false">IF(INDEX(Planos!$B$3:$B$27,20)="","",IF(18&gt;INDEX(Planos!$G$3:$G$27,20),"",INDEX(Planos!$B$3:$B$27,20)))</f>
        <v/>
      </c>
      <c r="D476" s="40" t="str">
        <f aca="false">IF($C476="","",IFERROR(INDEX(Ativos!$B$3:$B$42,MATCH($C476,Ativos!$A$3:$A$42,0)),""))</f>
        <v/>
      </c>
      <c r="E476" s="40" t="str">
        <f aca="false">IF($C476="","",INDEX(Planos!$C$3:$C$27,20))</f>
        <v/>
      </c>
      <c r="F476" s="40" t="str">
        <f aca="false">IF($C476="","",INDEX(Planos!$D$3:$D$27,20))</f>
        <v/>
      </c>
      <c r="G476" s="41" t="n">
        <f aca="false">IF($C476="",0,INDEX(Planos!$F$3:$F$27,20)+(18-1)*INDEX(Planos!$E$3:$E$27,20))</f>
        <v>0</v>
      </c>
      <c r="H476" s="40" t="str">
        <f aca="false">IF($C476="","",INDEX(Planos!$H$3:$H$27,20))</f>
        <v/>
      </c>
      <c r="I476" s="41" t="str">
        <f aca="false">IF($C476="","",IF(INDEX(Planos!$J$3:$AG$27,$A476,$B476)=0,"",INDEX(Planos!$J$3:$AG$27,$A476,$B476)))</f>
        <v/>
      </c>
      <c r="J476" s="26" t="str">
        <f aca="false">IF($C476="","",IF($I476&lt;&gt;"","Realizada",IF($G476&lt;INT(Parâmetros!$C$4),"Atrasada","Agendada")))</f>
        <v/>
      </c>
      <c r="K476" s="42" t="str">
        <f aca="false">IF($C476="","",IF($I476&lt;&gt;"",$I476-$G476,IF($J476="Atrasada",INT(Parâmetros!$C$4)-$G476,"")))</f>
        <v/>
      </c>
      <c r="L476" s="26" t="str">
        <f aca="false">IF($J476&lt;&gt;"Realizada","",IF($K476&lt;=0,"No prazo",IF($K476&lt;=7,"Até 7 dias",IF($K476&lt;=30,"Até 30 dias","Acima de 30"))))</f>
        <v/>
      </c>
      <c r="M476" s="26" t="str">
        <f aca="false">IF($C476="","",COUNTIFS($G$3:$G476,$G476))</f>
        <v/>
      </c>
      <c r="N476" s="26" t="str">
        <f aca="false">IF($C476="","",$G476&amp;"|"&amp;$M476)</f>
        <v/>
      </c>
    </row>
    <row r="477" customFormat="false" ht="18" hidden="false" customHeight="true" outlineLevel="0" collapsed="false">
      <c r="A477" s="26" t="n">
        <v>20</v>
      </c>
      <c r="B477" s="26" t="n">
        <v>19</v>
      </c>
      <c r="C477" s="26" t="str">
        <f aca="false">IF(INDEX(Planos!$B$3:$B$27,20)="","",IF(19&gt;INDEX(Planos!$G$3:$G$27,20),"",INDEX(Planos!$B$3:$B$27,20)))</f>
        <v/>
      </c>
      <c r="D477" s="40" t="str">
        <f aca="false">IF($C477="","",IFERROR(INDEX(Ativos!$B$3:$B$42,MATCH($C477,Ativos!$A$3:$A$42,0)),""))</f>
        <v/>
      </c>
      <c r="E477" s="40" t="str">
        <f aca="false">IF($C477="","",INDEX(Planos!$C$3:$C$27,20))</f>
        <v/>
      </c>
      <c r="F477" s="40" t="str">
        <f aca="false">IF($C477="","",INDEX(Planos!$D$3:$D$27,20))</f>
        <v/>
      </c>
      <c r="G477" s="41" t="n">
        <f aca="false">IF($C477="",0,INDEX(Planos!$F$3:$F$27,20)+(19-1)*INDEX(Planos!$E$3:$E$27,20))</f>
        <v>0</v>
      </c>
      <c r="H477" s="40" t="str">
        <f aca="false">IF($C477="","",INDEX(Planos!$H$3:$H$27,20))</f>
        <v/>
      </c>
      <c r="I477" s="41" t="str">
        <f aca="false">IF($C477="","",IF(INDEX(Planos!$J$3:$AG$27,$A477,$B477)=0,"",INDEX(Planos!$J$3:$AG$27,$A477,$B477)))</f>
        <v/>
      </c>
      <c r="J477" s="26" t="str">
        <f aca="false">IF($C477="","",IF($I477&lt;&gt;"","Realizada",IF($G477&lt;INT(Parâmetros!$C$4),"Atrasada","Agendada")))</f>
        <v/>
      </c>
      <c r="K477" s="42" t="str">
        <f aca="false">IF($C477="","",IF($I477&lt;&gt;"",$I477-$G477,IF($J477="Atrasada",INT(Parâmetros!$C$4)-$G477,"")))</f>
        <v/>
      </c>
      <c r="L477" s="26" t="str">
        <f aca="false">IF($J477&lt;&gt;"Realizada","",IF($K477&lt;=0,"No prazo",IF($K477&lt;=7,"Até 7 dias",IF($K477&lt;=30,"Até 30 dias","Acima de 30"))))</f>
        <v/>
      </c>
      <c r="M477" s="26" t="str">
        <f aca="false">IF($C477="","",COUNTIFS($G$3:$G477,$G477))</f>
        <v/>
      </c>
      <c r="N477" s="26" t="str">
        <f aca="false">IF($C477="","",$G477&amp;"|"&amp;$M477)</f>
        <v/>
      </c>
    </row>
    <row r="478" customFormat="false" ht="18" hidden="false" customHeight="true" outlineLevel="0" collapsed="false">
      <c r="A478" s="26" t="n">
        <v>20</v>
      </c>
      <c r="B478" s="26" t="n">
        <v>20</v>
      </c>
      <c r="C478" s="26" t="str">
        <f aca="false">IF(INDEX(Planos!$B$3:$B$27,20)="","",IF(20&gt;INDEX(Planos!$G$3:$G$27,20),"",INDEX(Planos!$B$3:$B$27,20)))</f>
        <v/>
      </c>
      <c r="D478" s="40" t="str">
        <f aca="false">IF($C478="","",IFERROR(INDEX(Ativos!$B$3:$B$42,MATCH($C478,Ativos!$A$3:$A$42,0)),""))</f>
        <v/>
      </c>
      <c r="E478" s="40" t="str">
        <f aca="false">IF($C478="","",INDEX(Planos!$C$3:$C$27,20))</f>
        <v/>
      </c>
      <c r="F478" s="40" t="str">
        <f aca="false">IF($C478="","",INDEX(Planos!$D$3:$D$27,20))</f>
        <v/>
      </c>
      <c r="G478" s="41" t="n">
        <f aca="false">IF($C478="",0,INDEX(Planos!$F$3:$F$27,20)+(20-1)*INDEX(Planos!$E$3:$E$27,20))</f>
        <v>0</v>
      </c>
      <c r="H478" s="40" t="str">
        <f aca="false">IF($C478="","",INDEX(Planos!$H$3:$H$27,20))</f>
        <v/>
      </c>
      <c r="I478" s="41" t="str">
        <f aca="false">IF($C478="","",IF(INDEX(Planos!$J$3:$AG$27,$A478,$B478)=0,"",INDEX(Planos!$J$3:$AG$27,$A478,$B478)))</f>
        <v/>
      </c>
      <c r="J478" s="26" t="str">
        <f aca="false">IF($C478="","",IF($I478&lt;&gt;"","Realizada",IF($G478&lt;INT(Parâmetros!$C$4),"Atrasada","Agendada")))</f>
        <v/>
      </c>
      <c r="K478" s="42" t="str">
        <f aca="false">IF($C478="","",IF($I478&lt;&gt;"",$I478-$G478,IF($J478="Atrasada",INT(Parâmetros!$C$4)-$G478,"")))</f>
        <v/>
      </c>
      <c r="L478" s="26" t="str">
        <f aca="false">IF($J478&lt;&gt;"Realizada","",IF($K478&lt;=0,"No prazo",IF($K478&lt;=7,"Até 7 dias",IF($K478&lt;=30,"Até 30 dias","Acima de 30"))))</f>
        <v/>
      </c>
      <c r="M478" s="26" t="str">
        <f aca="false">IF($C478="","",COUNTIFS($G$3:$G478,$G478))</f>
        <v/>
      </c>
      <c r="N478" s="26" t="str">
        <f aca="false">IF($C478="","",$G478&amp;"|"&amp;$M478)</f>
        <v/>
      </c>
    </row>
    <row r="479" customFormat="false" ht="18" hidden="false" customHeight="true" outlineLevel="0" collapsed="false">
      <c r="A479" s="26" t="n">
        <v>20</v>
      </c>
      <c r="B479" s="26" t="n">
        <v>21</v>
      </c>
      <c r="C479" s="26" t="str">
        <f aca="false">IF(INDEX(Planos!$B$3:$B$27,20)="","",IF(21&gt;INDEX(Planos!$G$3:$G$27,20),"",INDEX(Planos!$B$3:$B$27,20)))</f>
        <v/>
      </c>
      <c r="D479" s="40" t="str">
        <f aca="false">IF($C479="","",IFERROR(INDEX(Ativos!$B$3:$B$42,MATCH($C479,Ativos!$A$3:$A$42,0)),""))</f>
        <v/>
      </c>
      <c r="E479" s="40" t="str">
        <f aca="false">IF($C479="","",INDEX(Planos!$C$3:$C$27,20))</f>
        <v/>
      </c>
      <c r="F479" s="40" t="str">
        <f aca="false">IF($C479="","",INDEX(Planos!$D$3:$D$27,20))</f>
        <v/>
      </c>
      <c r="G479" s="41" t="n">
        <f aca="false">IF($C479="",0,INDEX(Planos!$F$3:$F$27,20)+(21-1)*INDEX(Planos!$E$3:$E$27,20))</f>
        <v>0</v>
      </c>
      <c r="H479" s="40" t="str">
        <f aca="false">IF($C479="","",INDEX(Planos!$H$3:$H$27,20))</f>
        <v/>
      </c>
      <c r="I479" s="41" t="str">
        <f aca="false">IF($C479="","",IF(INDEX(Planos!$J$3:$AG$27,$A479,$B479)=0,"",INDEX(Planos!$J$3:$AG$27,$A479,$B479)))</f>
        <v/>
      </c>
      <c r="J479" s="26" t="str">
        <f aca="false">IF($C479="","",IF($I479&lt;&gt;"","Realizada",IF($G479&lt;INT(Parâmetros!$C$4),"Atrasada","Agendada")))</f>
        <v/>
      </c>
      <c r="K479" s="42" t="str">
        <f aca="false">IF($C479="","",IF($I479&lt;&gt;"",$I479-$G479,IF($J479="Atrasada",INT(Parâmetros!$C$4)-$G479,"")))</f>
        <v/>
      </c>
      <c r="L479" s="26" t="str">
        <f aca="false">IF($J479&lt;&gt;"Realizada","",IF($K479&lt;=0,"No prazo",IF($K479&lt;=7,"Até 7 dias",IF($K479&lt;=30,"Até 30 dias","Acima de 30"))))</f>
        <v/>
      </c>
      <c r="M479" s="26" t="str">
        <f aca="false">IF($C479="","",COUNTIFS($G$3:$G479,$G479))</f>
        <v/>
      </c>
      <c r="N479" s="26" t="str">
        <f aca="false">IF($C479="","",$G479&amp;"|"&amp;$M479)</f>
        <v/>
      </c>
    </row>
    <row r="480" customFormat="false" ht="18" hidden="false" customHeight="true" outlineLevel="0" collapsed="false">
      <c r="A480" s="26" t="n">
        <v>20</v>
      </c>
      <c r="B480" s="26" t="n">
        <v>22</v>
      </c>
      <c r="C480" s="26" t="str">
        <f aca="false">IF(INDEX(Planos!$B$3:$B$27,20)="","",IF(22&gt;INDEX(Planos!$G$3:$G$27,20),"",INDEX(Planos!$B$3:$B$27,20)))</f>
        <v/>
      </c>
      <c r="D480" s="40" t="str">
        <f aca="false">IF($C480="","",IFERROR(INDEX(Ativos!$B$3:$B$42,MATCH($C480,Ativos!$A$3:$A$42,0)),""))</f>
        <v/>
      </c>
      <c r="E480" s="40" t="str">
        <f aca="false">IF($C480="","",INDEX(Planos!$C$3:$C$27,20))</f>
        <v/>
      </c>
      <c r="F480" s="40" t="str">
        <f aca="false">IF($C480="","",INDEX(Planos!$D$3:$D$27,20))</f>
        <v/>
      </c>
      <c r="G480" s="41" t="n">
        <f aca="false">IF($C480="",0,INDEX(Planos!$F$3:$F$27,20)+(22-1)*INDEX(Planos!$E$3:$E$27,20))</f>
        <v>0</v>
      </c>
      <c r="H480" s="40" t="str">
        <f aca="false">IF($C480="","",INDEX(Planos!$H$3:$H$27,20))</f>
        <v/>
      </c>
      <c r="I480" s="41" t="str">
        <f aca="false">IF($C480="","",IF(INDEX(Planos!$J$3:$AG$27,$A480,$B480)=0,"",INDEX(Planos!$J$3:$AG$27,$A480,$B480)))</f>
        <v/>
      </c>
      <c r="J480" s="26" t="str">
        <f aca="false">IF($C480="","",IF($I480&lt;&gt;"","Realizada",IF($G480&lt;INT(Parâmetros!$C$4),"Atrasada","Agendada")))</f>
        <v/>
      </c>
      <c r="K480" s="42" t="str">
        <f aca="false">IF($C480="","",IF($I480&lt;&gt;"",$I480-$G480,IF($J480="Atrasada",INT(Parâmetros!$C$4)-$G480,"")))</f>
        <v/>
      </c>
      <c r="L480" s="26" t="str">
        <f aca="false">IF($J480&lt;&gt;"Realizada","",IF($K480&lt;=0,"No prazo",IF($K480&lt;=7,"Até 7 dias",IF($K480&lt;=30,"Até 30 dias","Acima de 30"))))</f>
        <v/>
      </c>
      <c r="M480" s="26" t="str">
        <f aca="false">IF($C480="","",COUNTIFS($G$3:$G480,$G480))</f>
        <v/>
      </c>
      <c r="N480" s="26" t="str">
        <f aca="false">IF($C480="","",$G480&amp;"|"&amp;$M480)</f>
        <v/>
      </c>
    </row>
    <row r="481" customFormat="false" ht="18" hidden="false" customHeight="true" outlineLevel="0" collapsed="false">
      <c r="A481" s="26" t="n">
        <v>20</v>
      </c>
      <c r="B481" s="26" t="n">
        <v>23</v>
      </c>
      <c r="C481" s="26" t="str">
        <f aca="false">IF(INDEX(Planos!$B$3:$B$27,20)="","",IF(23&gt;INDEX(Planos!$G$3:$G$27,20),"",INDEX(Planos!$B$3:$B$27,20)))</f>
        <v/>
      </c>
      <c r="D481" s="40" t="str">
        <f aca="false">IF($C481="","",IFERROR(INDEX(Ativos!$B$3:$B$42,MATCH($C481,Ativos!$A$3:$A$42,0)),""))</f>
        <v/>
      </c>
      <c r="E481" s="40" t="str">
        <f aca="false">IF($C481="","",INDEX(Planos!$C$3:$C$27,20))</f>
        <v/>
      </c>
      <c r="F481" s="40" t="str">
        <f aca="false">IF($C481="","",INDEX(Planos!$D$3:$D$27,20))</f>
        <v/>
      </c>
      <c r="G481" s="41" t="n">
        <f aca="false">IF($C481="",0,INDEX(Planos!$F$3:$F$27,20)+(23-1)*INDEX(Planos!$E$3:$E$27,20))</f>
        <v>0</v>
      </c>
      <c r="H481" s="40" t="str">
        <f aca="false">IF($C481="","",INDEX(Planos!$H$3:$H$27,20))</f>
        <v/>
      </c>
      <c r="I481" s="41" t="str">
        <f aca="false">IF($C481="","",IF(INDEX(Planos!$J$3:$AG$27,$A481,$B481)=0,"",INDEX(Planos!$J$3:$AG$27,$A481,$B481)))</f>
        <v/>
      </c>
      <c r="J481" s="26" t="str">
        <f aca="false">IF($C481="","",IF($I481&lt;&gt;"","Realizada",IF($G481&lt;INT(Parâmetros!$C$4),"Atrasada","Agendada")))</f>
        <v/>
      </c>
      <c r="K481" s="42" t="str">
        <f aca="false">IF($C481="","",IF($I481&lt;&gt;"",$I481-$G481,IF($J481="Atrasada",INT(Parâmetros!$C$4)-$G481,"")))</f>
        <v/>
      </c>
      <c r="L481" s="26" t="str">
        <f aca="false">IF($J481&lt;&gt;"Realizada","",IF($K481&lt;=0,"No prazo",IF($K481&lt;=7,"Até 7 dias",IF($K481&lt;=30,"Até 30 dias","Acima de 30"))))</f>
        <v/>
      </c>
      <c r="M481" s="26" t="str">
        <f aca="false">IF($C481="","",COUNTIFS($G$3:$G481,$G481))</f>
        <v/>
      </c>
      <c r="N481" s="26" t="str">
        <f aca="false">IF($C481="","",$G481&amp;"|"&amp;$M481)</f>
        <v/>
      </c>
    </row>
    <row r="482" customFormat="false" ht="18" hidden="false" customHeight="true" outlineLevel="0" collapsed="false">
      <c r="A482" s="26" t="n">
        <v>20</v>
      </c>
      <c r="B482" s="26" t="n">
        <v>24</v>
      </c>
      <c r="C482" s="26" t="str">
        <f aca="false">IF(INDEX(Planos!$B$3:$B$27,20)="","",IF(24&gt;INDEX(Planos!$G$3:$G$27,20),"",INDEX(Planos!$B$3:$B$27,20)))</f>
        <v/>
      </c>
      <c r="D482" s="40" t="str">
        <f aca="false">IF($C482="","",IFERROR(INDEX(Ativos!$B$3:$B$42,MATCH($C482,Ativos!$A$3:$A$42,0)),""))</f>
        <v/>
      </c>
      <c r="E482" s="40" t="str">
        <f aca="false">IF($C482="","",INDEX(Planos!$C$3:$C$27,20))</f>
        <v/>
      </c>
      <c r="F482" s="40" t="str">
        <f aca="false">IF($C482="","",INDEX(Planos!$D$3:$D$27,20))</f>
        <v/>
      </c>
      <c r="G482" s="41" t="n">
        <f aca="false">IF($C482="",0,INDEX(Planos!$F$3:$F$27,20)+(24-1)*INDEX(Planos!$E$3:$E$27,20))</f>
        <v>0</v>
      </c>
      <c r="H482" s="40" t="str">
        <f aca="false">IF($C482="","",INDEX(Planos!$H$3:$H$27,20))</f>
        <v/>
      </c>
      <c r="I482" s="41" t="str">
        <f aca="false">IF($C482="","",IF(INDEX(Planos!$J$3:$AG$27,$A482,$B482)=0,"",INDEX(Planos!$J$3:$AG$27,$A482,$B482)))</f>
        <v/>
      </c>
      <c r="J482" s="26" t="str">
        <f aca="false">IF($C482="","",IF($I482&lt;&gt;"","Realizada",IF($G482&lt;INT(Parâmetros!$C$4),"Atrasada","Agendada")))</f>
        <v/>
      </c>
      <c r="K482" s="42" t="str">
        <f aca="false">IF($C482="","",IF($I482&lt;&gt;"",$I482-$G482,IF($J482="Atrasada",INT(Parâmetros!$C$4)-$G482,"")))</f>
        <v/>
      </c>
      <c r="L482" s="26" t="str">
        <f aca="false">IF($J482&lt;&gt;"Realizada","",IF($K482&lt;=0,"No prazo",IF($K482&lt;=7,"Até 7 dias",IF($K482&lt;=30,"Até 30 dias","Acima de 30"))))</f>
        <v/>
      </c>
      <c r="M482" s="26" t="str">
        <f aca="false">IF($C482="","",COUNTIFS($G$3:$G482,$G482))</f>
        <v/>
      </c>
      <c r="N482" s="26" t="str">
        <f aca="false">IF($C482="","",$G482&amp;"|"&amp;$M482)</f>
        <v/>
      </c>
    </row>
    <row r="483" customFormat="false" ht="18" hidden="false" customHeight="true" outlineLevel="0" collapsed="false">
      <c r="A483" s="26" t="n">
        <v>21</v>
      </c>
      <c r="B483" s="26" t="n">
        <v>1</v>
      </c>
      <c r="C483" s="26" t="str">
        <f aca="false">IF(INDEX(Planos!$B$3:$B$27,21)="","",IF(1&gt;INDEX(Planos!$G$3:$G$27,21),"",INDEX(Planos!$B$3:$B$27,21)))</f>
        <v/>
      </c>
      <c r="D483" s="40" t="str">
        <f aca="false">IF($C483="","",IFERROR(INDEX(Ativos!$B$3:$B$42,MATCH($C483,Ativos!$A$3:$A$42,0)),""))</f>
        <v/>
      </c>
      <c r="E483" s="40" t="str">
        <f aca="false">IF($C483="","",INDEX(Planos!$C$3:$C$27,21))</f>
        <v/>
      </c>
      <c r="F483" s="40" t="str">
        <f aca="false">IF($C483="","",INDEX(Planos!$D$3:$D$27,21))</f>
        <v/>
      </c>
      <c r="G483" s="41" t="n">
        <f aca="false">IF($C483="",0,INDEX(Planos!$F$3:$F$27,21)+(1-1)*INDEX(Planos!$E$3:$E$27,21))</f>
        <v>0</v>
      </c>
      <c r="H483" s="40" t="str">
        <f aca="false">IF($C483="","",INDEX(Planos!$H$3:$H$27,21))</f>
        <v/>
      </c>
      <c r="I483" s="41" t="str">
        <f aca="false">IF($C483="","",IF(INDEX(Planos!$J$3:$AG$27,$A483,$B483)=0,"",INDEX(Planos!$J$3:$AG$27,$A483,$B483)))</f>
        <v/>
      </c>
      <c r="J483" s="26" t="str">
        <f aca="false">IF($C483="","",IF($I483&lt;&gt;"","Realizada",IF($G483&lt;INT(Parâmetros!$C$4),"Atrasada","Agendada")))</f>
        <v/>
      </c>
      <c r="K483" s="42" t="str">
        <f aca="false">IF($C483="","",IF($I483&lt;&gt;"",$I483-$G483,IF($J483="Atrasada",INT(Parâmetros!$C$4)-$G483,"")))</f>
        <v/>
      </c>
      <c r="L483" s="26" t="str">
        <f aca="false">IF($J483&lt;&gt;"Realizada","",IF($K483&lt;=0,"No prazo",IF($K483&lt;=7,"Até 7 dias",IF($K483&lt;=30,"Até 30 dias","Acima de 30"))))</f>
        <v/>
      </c>
      <c r="M483" s="26" t="str">
        <f aca="false">IF($C483="","",COUNTIFS($G$3:$G483,$G483))</f>
        <v/>
      </c>
      <c r="N483" s="26" t="str">
        <f aca="false">IF($C483="","",$G483&amp;"|"&amp;$M483)</f>
        <v/>
      </c>
    </row>
    <row r="484" customFormat="false" ht="18" hidden="false" customHeight="true" outlineLevel="0" collapsed="false">
      <c r="A484" s="26" t="n">
        <v>21</v>
      </c>
      <c r="B484" s="26" t="n">
        <v>2</v>
      </c>
      <c r="C484" s="26" t="str">
        <f aca="false">IF(INDEX(Planos!$B$3:$B$27,21)="","",IF(2&gt;INDEX(Planos!$G$3:$G$27,21),"",INDEX(Planos!$B$3:$B$27,21)))</f>
        <v/>
      </c>
      <c r="D484" s="40" t="str">
        <f aca="false">IF($C484="","",IFERROR(INDEX(Ativos!$B$3:$B$42,MATCH($C484,Ativos!$A$3:$A$42,0)),""))</f>
        <v/>
      </c>
      <c r="E484" s="40" t="str">
        <f aca="false">IF($C484="","",INDEX(Planos!$C$3:$C$27,21))</f>
        <v/>
      </c>
      <c r="F484" s="40" t="str">
        <f aca="false">IF($C484="","",INDEX(Planos!$D$3:$D$27,21))</f>
        <v/>
      </c>
      <c r="G484" s="41" t="n">
        <f aca="false">IF($C484="",0,INDEX(Planos!$F$3:$F$27,21)+(2-1)*INDEX(Planos!$E$3:$E$27,21))</f>
        <v>0</v>
      </c>
      <c r="H484" s="40" t="str">
        <f aca="false">IF($C484="","",INDEX(Planos!$H$3:$H$27,21))</f>
        <v/>
      </c>
      <c r="I484" s="41" t="str">
        <f aca="false">IF($C484="","",IF(INDEX(Planos!$J$3:$AG$27,$A484,$B484)=0,"",INDEX(Planos!$J$3:$AG$27,$A484,$B484)))</f>
        <v/>
      </c>
      <c r="J484" s="26" t="str">
        <f aca="false">IF($C484="","",IF($I484&lt;&gt;"","Realizada",IF($G484&lt;INT(Parâmetros!$C$4),"Atrasada","Agendada")))</f>
        <v/>
      </c>
      <c r="K484" s="42" t="str">
        <f aca="false">IF($C484="","",IF($I484&lt;&gt;"",$I484-$G484,IF($J484="Atrasada",INT(Parâmetros!$C$4)-$G484,"")))</f>
        <v/>
      </c>
      <c r="L484" s="26" t="str">
        <f aca="false">IF($J484&lt;&gt;"Realizada","",IF($K484&lt;=0,"No prazo",IF($K484&lt;=7,"Até 7 dias",IF($K484&lt;=30,"Até 30 dias","Acima de 30"))))</f>
        <v/>
      </c>
      <c r="M484" s="26" t="str">
        <f aca="false">IF($C484="","",COUNTIFS($G$3:$G484,$G484))</f>
        <v/>
      </c>
      <c r="N484" s="26" t="str">
        <f aca="false">IF($C484="","",$G484&amp;"|"&amp;$M484)</f>
        <v/>
      </c>
    </row>
    <row r="485" customFormat="false" ht="18" hidden="false" customHeight="true" outlineLevel="0" collapsed="false">
      <c r="A485" s="26" t="n">
        <v>21</v>
      </c>
      <c r="B485" s="26" t="n">
        <v>3</v>
      </c>
      <c r="C485" s="26" t="str">
        <f aca="false">IF(INDEX(Planos!$B$3:$B$27,21)="","",IF(3&gt;INDEX(Planos!$G$3:$G$27,21),"",INDEX(Planos!$B$3:$B$27,21)))</f>
        <v/>
      </c>
      <c r="D485" s="40" t="str">
        <f aca="false">IF($C485="","",IFERROR(INDEX(Ativos!$B$3:$B$42,MATCH($C485,Ativos!$A$3:$A$42,0)),""))</f>
        <v/>
      </c>
      <c r="E485" s="40" t="str">
        <f aca="false">IF($C485="","",INDEX(Planos!$C$3:$C$27,21))</f>
        <v/>
      </c>
      <c r="F485" s="40" t="str">
        <f aca="false">IF($C485="","",INDEX(Planos!$D$3:$D$27,21))</f>
        <v/>
      </c>
      <c r="G485" s="41" t="n">
        <f aca="false">IF($C485="",0,INDEX(Planos!$F$3:$F$27,21)+(3-1)*INDEX(Planos!$E$3:$E$27,21))</f>
        <v>0</v>
      </c>
      <c r="H485" s="40" t="str">
        <f aca="false">IF($C485="","",INDEX(Planos!$H$3:$H$27,21))</f>
        <v/>
      </c>
      <c r="I485" s="41" t="str">
        <f aca="false">IF($C485="","",IF(INDEX(Planos!$J$3:$AG$27,$A485,$B485)=0,"",INDEX(Planos!$J$3:$AG$27,$A485,$B485)))</f>
        <v/>
      </c>
      <c r="J485" s="26" t="str">
        <f aca="false">IF($C485="","",IF($I485&lt;&gt;"","Realizada",IF($G485&lt;INT(Parâmetros!$C$4),"Atrasada","Agendada")))</f>
        <v/>
      </c>
      <c r="K485" s="42" t="str">
        <f aca="false">IF($C485="","",IF($I485&lt;&gt;"",$I485-$G485,IF($J485="Atrasada",INT(Parâmetros!$C$4)-$G485,"")))</f>
        <v/>
      </c>
      <c r="L485" s="26" t="str">
        <f aca="false">IF($J485&lt;&gt;"Realizada","",IF($K485&lt;=0,"No prazo",IF($K485&lt;=7,"Até 7 dias",IF($K485&lt;=30,"Até 30 dias","Acima de 30"))))</f>
        <v/>
      </c>
      <c r="M485" s="26" t="str">
        <f aca="false">IF($C485="","",COUNTIFS($G$3:$G485,$G485))</f>
        <v/>
      </c>
      <c r="N485" s="26" t="str">
        <f aca="false">IF($C485="","",$G485&amp;"|"&amp;$M485)</f>
        <v/>
      </c>
    </row>
    <row r="486" customFormat="false" ht="18" hidden="false" customHeight="true" outlineLevel="0" collapsed="false">
      <c r="A486" s="26" t="n">
        <v>21</v>
      </c>
      <c r="B486" s="26" t="n">
        <v>4</v>
      </c>
      <c r="C486" s="26" t="str">
        <f aca="false">IF(INDEX(Planos!$B$3:$B$27,21)="","",IF(4&gt;INDEX(Planos!$G$3:$G$27,21),"",INDEX(Planos!$B$3:$B$27,21)))</f>
        <v/>
      </c>
      <c r="D486" s="40" t="str">
        <f aca="false">IF($C486="","",IFERROR(INDEX(Ativos!$B$3:$B$42,MATCH($C486,Ativos!$A$3:$A$42,0)),""))</f>
        <v/>
      </c>
      <c r="E486" s="40" t="str">
        <f aca="false">IF($C486="","",INDEX(Planos!$C$3:$C$27,21))</f>
        <v/>
      </c>
      <c r="F486" s="40" t="str">
        <f aca="false">IF($C486="","",INDEX(Planos!$D$3:$D$27,21))</f>
        <v/>
      </c>
      <c r="G486" s="41" t="n">
        <f aca="false">IF($C486="",0,INDEX(Planos!$F$3:$F$27,21)+(4-1)*INDEX(Planos!$E$3:$E$27,21))</f>
        <v>0</v>
      </c>
      <c r="H486" s="40" t="str">
        <f aca="false">IF($C486="","",INDEX(Planos!$H$3:$H$27,21))</f>
        <v/>
      </c>
      <c r="I486" s="41" t="str">
        <f aca="false">IF($C486="","",IF(INDEX(Planos!$J$3:$AG$27,$A486,$B486)=0,"",INDEX(Planos!$J$3:$AG$27,$A486,$B486)))</f>
        <v/>
      </c>
      <c r="J486" s="26" t="str">
        <f aca="false">IF($C486="","",IF($I486&lt;&gt;"","Realizada",IF($G486&lt;INT(Parâmetros!$C$4),"Atrasada","Agendada")))</f>
        <v/>
      </c>
      <c r="K486" s="42" t="str">
        <f aca="false">IF($C486="","",IF($I486&lt;&gt;"",$I486-$G486,IF($J486="Atrasada",INT(Parâmetros!$C$4)-$G486,"")))</f>
        <v/>
      </c>
      <c r="L486" s="26" t="str">
        <f aca="false">IF($J486&lt;&gt;"Realizada","",IF($K486&lt;=0,"No prazo",IF($K486&lt;=7,"Até 7 dias",IF($K486&lt;=30,"Até 30 dias","Acima de 30"))))</f>
        <v/>
      </c>
      <c r="M486" s="26" t="str">
        <f aca="false">IF($C486="","",COUNTIFS($G$3:$G486,$G486))</f>
        <v/>
      </c>
      <c r="N486" s="26" t="str">
        <f aca="false">IF($C486="","",$G486&amp;"|"&amp;$M486)</f>
        <v/>
      </c>
    </row>
    <row r="487" customFormat="false" ht="18" hidden="false" customHeight="true" outlineLevel="0" collapsed="false">
      <c r="A487" s="26" t="n">
        <v>21</v>
      </c>
      <c r="B487" s="26" t="n">
        <v>5</v>
      </c>
      <c r="C487" s="26" t="str">
        <f aca="false">IF(INDEX(Planos!$B$3:$B$27,21)="","",IF(5&gt;INDEX(Planos!$G$3:$G$27,21),"",INDEX(Planos!$B$3:$B$27,21)))</f>
        <v/>
      </c>
      <c r="D487" s="40" t="str">
        <f aca="false">IF($C487="","",IFERROR(INDEX(Ativos!$B$3:$B$42,MATCH($C487,Ativos!$A$3:$A$42,0)),""))</f>
        <v/>
      </c>
      <c r="E487" s="40" t="str">
        <f aca="false">IF($C487="","",INDEX(Planos!$C$3:$C$27,21))</f>
        <v/>
      </c>
      <c r="F487" s="40" t="str">
        <f aca="false">IF($C487="","",INDEX(Planos!$D$3:$D$27,21))</f>
        <v/>
      </c>
      <c r="G487" s="41" t="n">
        <f aca="false">IF($C487="",0,INDEX(Planos!$F$3:$F$27,21)+(5-1)*INDEX(Planos!$E$3:$E$27,21))</f>
        <v>0</v>
      </c>
      <c r="H487" s="40" t="str">
        <f aca="false">IF($C487="","",INDEX(Planos!$H$3:$H$27,21))</f>
        <v/>
      </c>
      <c r="I487" s="41" t="str">
        <f aca="false">IF($C487="","",IF(INDEX(Planos!$J$3:$AG$27,$A487,$B487)=0,"",INDEX(Planos!$J$3:$AG$27,$A487,$B487)))</f>
        <v/>
      </c>
      <c r="J487" s="26" t="str">
        <f aca="false">IF($C487="","",IF($I487&lt;&gt;"","Realizada",IF($G487&lt;INT(Parâmetros!$C$4),"Atrasada","Agendada")))</f>
        <v/>
      </c>
      <c r="K487" s="42" t="str">
        <f aca="false">IF($C487="","",IF($I487&lt;&gt;"",$I487-$G487,IF($J487="Atrasada",INT(Parâmetros!$C$4)-$G487,"")))</f>
        <v/>
      </c>
      <c r="L487" s="26" t="str">
        <f aca="false">IF($J487&lt;&gt;"Realizada","",IF($K487&lt;=0,"No prazo",IF($K487&lt;=7,"Até 7 dias",IF($K487&lt;=30,"Até 30 dias","Acima de 30"))))</f>
        <v/>
      </c>
      <c r="M487" s="26" t="str">
        <f aca="false">IF($C487="","",COUNTIFS($G$3:$G487,$G487))</f>
        <v/>
      </c>
      <c r="N487" s="26" t="str">
        <f aca="false">IF($C487="","",$G487&amp;"|"&amp;$M487)</f>
        <v/>
      </c>
    </row>
    <row r="488" customFormat="false" ht="18" hidden="false" customHeight="true" outlineLevel="0" collapsed="false">
      <c r="A488" s="26" t="n">
        <v>21</v>
      </c>
      <c r="B488" s="26" t="n">
        <v>6</v>
      </c>
      <c r="C488" s="26" t="str">
        <f aca="false">IF(INDEX(Planos!$B$3:$B$27,21)="","",IF(6&gt;INDEX(Planos!$G$3:$G$27,21),"",INDEX(Planos!$B$3:$B$27,21)))</f>
        <v/>
      </c>
      <c r="D488" s="40" t="str">
        <f aca="false">IF($C488="","",IFERROR(INDEX(Ativos!$B$3:$B$42,MATCH($C488,Ativos!$A$3:$A$42,0)),""))</f>
        <v/>
      </c>
      <c r="E488" s="40" t="str">
        <f aca="false">IF($C488="","",INDEX(Planos!$C$3:$C$27,21))</f>
        <v/>
      </c>
      <c r="F488" s="40" t="str">
        <f aca="false">IF($C488="","",INDEX(Planos!$D$3:$D$27,21))</f>
        <v/>
      </c>
      <c r="G488" s="41" t="n">
        <f aca="false">IF($C488="",0,INDEX(Planos!$F$3:$F$27,21)+(6-1)*INDEX(Planos!$E$3:$E$27,21))</f>
        <v>0</v>
      </c>
      <c r="H488" s="40" t="str">
        <f aca="false">IF($C488="","",INDEX(Planos!$H$3:$H$27,21))</f>
        <v/>
      </c>
      <c r="I488" s="41" t="str">
        <f aca="false">IF($C488="","",IF(INDEX(Planos!$J$3:$AG$27,$A488,$B488)=0,"",INDEX(Planos!$J$3:$AG$27,$A488,$B488)))</f>
        <v/>
      </c>
      <c r="J488" s="26" t="str">
        <f aca="false">IF($C488="","",IF($I488&lt;&gt;"","Realizada",IF($G488&lt;INT(Parâmetros!$C$4),"Atrasada","Agendada")))</f>
        <v/>
      </c>
      <c r="K488" s="42" t="str">
        <f aca="false">IF($C488="","",IF($I488&lt;&gt;"",$I488-$G488,IF($J488="Atrasada",INT(Parâmetros!$C$4)-$G488,"")))</f>
        <v/>
      </c>
      <c r="L488" s="26" t="str">
        <f aca="false">IF($J488&lt;&gt;"Realizada","",IF($K488&lt;=0,"No prazo",IF($K488&lt;=7,"Até 7 dias",IF($K488&lt;=30,"Até 30 dias","Acima de 30"))))</f>
        <v/>
      </c>
      <c r="M488" s="26" t="str">
        <f aca="false">IF($C488="","",COUNTIFS($G$3:$G488,$G488))</f>
        <v/>
      </c>
      <c r="N488" s="26" t="str">
        <f aca="false">IF($C488="","",$G488&amp;"|"&amp;$M488)</f>
        <v/>
      </c>
    </row>
    <row r="489" customFormat="false" ht="18" hidden="false" customHeight="true" outlineLevel="0" collapsed="false">
      <c r="A489" s="26" t="n">
        <v>21</v>
      </c>
      <c r="B489" s="26" t="n">
        <v>7</v>
      </c>
      <c r="C489" s="26" t="str">
        <f aca="false">IF(INDEX(Planos!$B$3:$B$27,21)="","",IF(7&gt;INDEX(Planos!$G$3:$G$27,21),"",INDEX(Planos!$B$3:$B$27,21)))</f>
        <v/>
      </c>
      <c r="D489" s="40" t="str">
        <f aca="false">IF($C489="","",IFERROR(INDEX(Ativos!$B$3:$B$42,MATCH($C489,Ativos!$A$3:$A$42,0)),""))</f>
        <v/>
      </c>
      <c r="E489" s="40" t="str">
        <f aca="false">IF($C489="","",INDEX(Planos!$C$3:$C$27,21))</f>
        <v/>
      </c>
      <c r="F489" s="40" t="str">
        <f aca="false">IF($C489="","",INDEX(Planos!$D$3:$D$27,21))</f>
        <v/>
      </c>
      <c r="G489" s="41" t="n">
        <f aca="false">IF($C489="",0,INDEX(Planos!$F$3:$F$27,21)+(7-1)*INDEX(Planos!$E$3:$E$27,21))</f>
        <v>0</v>
      </c>
      <c r="H489" s="40" t="str">
        <f aca="false">IF($C489="","",INDEX(Planos!$H$3:$H$27,21))</f>
        <v/>
      </c>
      <c r="I489" s="41" t="str">
        <f aca="false">IF($C489="","",IF(INDEX(Planos!$J$3:$AG$27,$A489,$B489)=0,"",INDEX(Planos!$J$3:$AG$27,$A489,$B489)))</f>
        <v/>
      </c>
      <c r="J489" s="26" t="str">
        <f aca="false">IF($C489="","",IF($I489&lt;&gt;"","Realizada",IF($G489&lt;INT(Parâmetros!$C$4),"Atrasada","Agendada")))</f>
        <v/>
      </c>
      <c r="K489" s="42" t="str">
        <f aca="false">IF($C489="","",IF($I489&lt;&gt;"",$I489-$G489,IF($J489="Atrasada",INT(Parâmetros!$C$4)-$G489,"")))</f>
        <v/>
      </c>
      <c r="L489" s="26" t="str">
        <f aca="false">IF($J489&lt;&gt;"Realizada","",IF($K489&lt;=0,"No prazo",IF($K489&lt;=7,"Até 7 dias",IF($K489&lt;=30,"Até 30 dias","Acima de 30"))))</f>
        <v/>
      </c>
      <c r="M489" s="26" t="str">
        <f aca="false">IF($C489="","",COUNTIFS($G$3:$G489,$G489))</f>
        <v/>
      </c>
      <c r="N489" s="26" t="str">
        <f aca="false">IF($C489="","",$G489&amp;"|"&amp;$M489)</f>
        <v/>
      </c>
    </row>
    <row r="490" customFormat="false" ht="18" hidden="false" customHeight="true" outlineLevel="0" collapsed="false">
      <c r="A490" s="26" t="n">
        <v>21</v>
      </c>
      <c r="B490" s="26" t="n">
        <v>8</v>
      </c>
      <c r="C490" s="26" t="str">
        <f aca="false">IF(INDEX(Planos!$B$3:$B$27,21)="","",IF(8&gt;INDEX(Planos!$G$3:$G$27,21),"",INDEX(Planos!$B$3:$B$27,21)))</f>
        <v/>
      </c>
      <c r="D490" s="40" t="str">
        <f aca="false">IF($C490="","",IFERROR(INDEX(Ativos!$B$3:$B$42,MATCH($C490,Ativos!$A$3:$A$42,0)),""))</f>
        <v/>
      </c>
      <c r="E490" s="40" t="str">
        <f aca="false">IF($C490="","",INDEX(Planos!$C$3:$C$27,21))</f>
        <v/>
      </c>
      <c r="F490" s="40" t="str">
        <f aca="false">IF($C490="","",INDEX(Planos!$D$3:$D$27,21))</f>
        <v/>
      </c>
      <c r="G490" s="41" t="n">
        <f aca="false">IF($C490="",0,INDEX(Planos!$F$3:$F$27,21)+(8-1)*INDEX(Planos!$E$3:$E$27,21))</f>
        <v>0</v>
      </c>
      <c r="H490" s="40" t="str">
        <f aca="false">IF($C490="","",INDEX(Planos!$H$3:$H$27,21))</f>
        <v/>
      </c>
      <c r="I490" s="41" t="str">
        <f aca="false">IF($C490="","",IF(INDEX(Planos!$J$3:$AG$27,$A490,$B490)=0,"",INDEX(Planos!$J$3:$AG$27,$A490,$B490)))</f>
        <v/>
      </c>
      <c r="J490" s="26" t="str">
        <f aca="false">IF($C490="","",IF($I490&lt;&gt;"","Realizada",IF($G490&lt;INT(Parâmetros!$C$4),"Atrasada","Agendada")))</f>
        <v/>
      </c>
      <c r="K490" s="42" t="str">
        <f aca="false">IF($C490="","",IF($I490&lt;&gt;"",$I490-$G490,IF($J490="Atrasada",INT(Parâmetros!$C$4)-$G490,"")))</f>
        <v/>
      </c>
      <c r="L490" s="26" t="str">
        <f aca="false">IF($J490&lt;&gt;"Realizada","",IF($K490&lt;=0,"No prazo",IF($K490&lt;=7,"Até 7 dias",IF($K490&lt;=30,"Até 30 dias","Acima de 30"))))</f>
        <v/>
      </c>
      <c r="M490" s="26" t="str">
        <f aca="false">IF($C490="","",COUNTIFS($G$3:$G490,$G490))</f>
        <v/>
      </c>
      <c r="N490" s="26" t="str">
        <f aca="false">IF($C490="","",$G490&amp;"|"&amp;$M490)</f>
        <v/>
      </c>
    </row>
    <row r="491" customFormat="false" ht="18" hidden="false" customHeight="true" outlineLevel="0" collapsed="false">
      <c r="A491" s="26" t="n">
        <v>21</v>
      </c>
      <c r="B491" s="26" t="n">
        <v>9</v>
      </c>
      <c r="C491" s="26" t="str">
        <f aca="false">IF(INDEX(Planos!$B$3:$B$27,21)="","",IF(9&gt;INDEX(Planos!$G$3:$G$27,21),"",INDEX(Planos!$B$3:$B$27,21)))</f>
        <v/>
      </c>
      <c r="D491" s="40" t="str">
        <f aca="false">IF($C491="","",IFERROR(INDEX(Ativos!$B$3:$B$42,MATCH($C491,Ativos!$A$3:$A$42,0)),""))</f>
        <v/>
      </c>
      <c r="E491" s="40" t="str">
        <f aca="false">IF($C491="","",INDEX(Planos!$C$3:$C$27,21))</f>
        <v/>
      </c>
      <c r="F491" s="40" t="str">
        <f aca="false">IF($C491="","",INDEX(Planos!$D$3:$D$27,21))</f>
        <v/>
      </c>
      <c r="G491" s="41" t="n">
        <f aca="false">IF($C491="",0,INDEX(Planos!$F$3:$F$27,21)+(9-1)*INDEX(Planos!$E$3:$E$27,21))</f>
        <v>0</v>
      </c>
      <c r="H491" s="40" t="str">
        <f aca="false">IF($C491="","",INDEX(Planos!$H$3:$H$27,21))</f>
        <v/>
      </c>
      <c r="I491" s="41" t="str">
        <f aca="false">IF($C491="","",IF(INDEX(Planos!$J$3:$AG$27,$A491,$B491)=0,"",INDEX(Planos!$J$3:$AG$27,$A491,$B491)))</f>
        <v/>
      </c>
      <c r="J491" s="26" t="str">
        <f aca="false">IF($C491="","",IF($I491&lt;&gt;"","Realizada",IF($G491&lt;INT(Parâmetros!$C$4),"Atrasada","Agendada")))</f>
        <v/>
      </c>
      <c r="K491" s="42" t="str">
        <f aca="false">IF($C491="","",IF($I491&lt;&gt;"",$I491-$G491,IF($J491="Atrasada",INT(Parâmetros!$C$4)-$G491,"")))</f>
        <v/>
      </c>
      <c r="L491" s="26" t="str">
        <f aca="false">IF($J491&lt;&gt;"Realizada","",IF($K491&lt;=0,"No prazo",IF($K491&lt;=7,"Até 7 dias",IF($K491&lt;=30,"Até 30 dias","Acima de 30"))))</f>
        <v/>
      </c>
      <c r="M491" s="26" t="str">
        <f aca="false">IF($C491="","",COUNTIFS($G$3:$G491,$G491))</f>
        <v/>
      </c>
      <c r="N491" s="26" t="str">
        <f aca="false">IF($C491="","",$G491&amp;"|"&amp;$M491)</f>
        <v/>
      </c>
    </row>
    <row r="492" customFormat="false" ht="18" hidden="false" customHeight="true" outlineLevel="0" collapsed="false">
      <c r="A492" s="26" t="n">
        <v>21</v>
      </c>
      <c r="B492" s="26" t="n">
        <v>10</v>
      </c>
      <c r="C492" s="26" t="str">
        <f aca="false">IF(INDEX(Planos!$B$3:$B$27,21)="","",IF(10&gt;INDEX(Planos!$G$3:$G$27,21),"",INDEX(Planos!$B$3:$B$27,21)))</f>
        <v/>
      </c>
      <c r="D492" s="40" t="str">
        <f aca="false">IF($C492="","",IFERROR(INDEX(Ativos!$B$3:$B$42,MATCH($C492,Ativos!$A$3:$A$42,0)),""))</f>
        <v/>
      </c>
      <c r="E492" s="40" t="str">
        <f aca="false">IF($C492="","",INDEX(Planos!$C$3:$C$27,21))</f>
        <v/>
      </c>
      <c r="F492" s="40" t="str">
        <f aca="false">IF($C492="","",INDEX(Planos!$D$3:$D$27,21))</f>
        <v/>
      </c>
      <c r="G492" s="41" t="n">
        <f aca="false">IF($C492="",0,INDEX(Planos!$F$3:$F$27,21)+(10-1)*INDEX(Planos!$E$3:$E$27,21))</f>
        <v>0</v>
      </c>
      <c r="H492" s="40" t="str">
        <f aca="false">IF($C492="","",INDEX(Planos!$H$3:$H$27,21))</f>
        <v/>
      </c>
      <c r="I492" s="41" t="str">
        <f aca="false">IF($C492="","",IF(INDEX(Planos!$J$3:$AG$27,$A492,$B492)=0,"",INDEX(Planos!$J$3:$AG$27,$A492,$B492)))</f>
        <v/>
      </c>
      <c r="J492" s="26" t="str">
        <f aca="false">IF($C492="","",IF($I492&lt;&gt;"","Realizada",IF($G492&lt;INT(Parâmetros!$C$4),"Atrasada","Agendada")))</f>
        <v/>
      </c>
      <c r="K492" s="42" t="str">
        <f aca="false">IF($C492="","",IF($I492&lt;&gt;"",$I492-$G492,IF($J492="Atrasada",INT(Parâmetros!$C$4)-$G492,"")))</f>
        <v/>
      </c>
      <c r="L492" s="26" t="str">
        <f aca="false">IF($J492&lt;&gt;"Realizada","",IF($K492&lt;=0,"No prazo",IF($K492&lt;=7,"Até 7 dias",IF($K492&lt;=30,"Até 30 dias","Acima de 30"))))</f>
        <v/>
      </c>
      <c r="M492" s="26" t="str">
        <f aca="false">IF($C492="","",COUNTIFS($G$3:$G492,$G492))</f>
        <v/>
      </c>
      <c r="N492" s="26" t="str">
        <f aca="false">IF($C492="","",$G492&amp;"|"&amp;$M492)</f>
        <v/>
      </c>
    </row>
    <row r="493" customFormat="false" ht="18" hidden="false" customHeight="true" outlineLevel="0" collapsed="false">
      <c r="A493" s="26" t="n">
        <v>21</v>
      </c>
      <c r="B493" s="26" t="n">
        <v>11</v>
      </c>
      <c r="C493" s="26" t="str">
        <f aca="false">IF(INDEX(Planos!$B$3:$B$27,21)="","",IF(11&gt;INDEX(Planos!$G$3:$G$27,21),"",INDEX(Planos!$B$3:$B$27,21)))</f>
        <v/>
      </c>
      <c r="D493" s="40" t="str">
        <f aca="false">IF($C493="","",IFERROR(INDEX(Ativos!$B$3:$B$42,MATCH($C493,Ativos!$A$3:$A$42,0)),""))</f>
        <v/>
      </c>
      <c r="E493" s="40" t="str">
        <f aca="false">IF($C493="","",INDEX(Planos!$C$3:$C$27,21))</f>
        <v/>
      </c>
      <c r="F493" s="40" t="str">
        <f aca="false">IF($C493="","",INDEX(Planos!$D$3:$D$27,21))</f>
        <v/>
      </c>
      <c r="G493" s="41" t="n">
        <f aca="false">IF($C493="",0,INDEX(Planos!$F$3:$F$27,21)+(11-1)*INDEX(Planos!$E$3:$E$27,21))</f>
        <v>0</v>
      </c>
      <c r="H493" s="40" t="str">
        <f aca="false">IF($C493="","",INDEX(Planos!$H$3:$H$27,21))</f>
        <v/>
      </c>
      <c r="I493" s="41" t="str">
        <f aca="false">IF($C493="","",IF(INDEX(Planos!$J$3:$AG$27,$A493,$B493)=0,"",INDEX(Planos!$J$3:$AG$27,$A493,$B493)))</f>
        <v/>
      </c>
      <c r="J493" s="26" t="str">
        <f aca="false">IF($C493="","",IF($I493&lt;&gt;"","Realizada",IF($G493&lt;INT(Parâmetros!$C$4),"Atrasada","Agendada")))</f>
        <v/>
      </c>
      <c r="K493" s="42" t="str">
        <f aca="false">IF($C493="","",IF($I493&lt;&gt;"",$I493-$G493,IF($J493="Atrasada",INT(Parâmetros!$C$4)-$G493,"")))</f>
        <v/>
      </c>
      <c r="L493" s="26" t="str">
        <f aca="false">IF($J493&lt;&gt;"Realizada","",IF($K493&lt;=0,"No prazo",IF($K493&lt;=7,"Até 7 dias",IF($K493&lt;=30,"Até 30 dias","Acima de 30"))))</f>
        <v/>
      </c>
      <c r="M493" s="26" t="str">
        <f aca="false">IF($C493="","",COUNTIFS($G$3:$G493,$G493))</f>
        <v/>
      </c>
      <c r="N493" s="26" t="str">
        <f aca="false">IF($C493="","",$G493&amp;"|"&amp;$M493)</f>
        <v/>
      </c>
    </row>
    <row r="494" customFormat="false" ht="18" hidden="false" customHeight="true" outlineLevel="0" collapsed="false">
      <c r="A494" s="26" t="n">
        <v>21</v>
      </c>
      <c r="B494" s="26" t="n">
        <v>12</v>
      </c>
      <c r="C494" s="26" t="str">
        <f aca="false">IF(INDEX(Planos!$B$3:$B$27,21)="","",IF(12&gt;INDEX(Planos!$G$3:$G$27,21),"",INDEX(Planos!$B$3:$B$27,21)))</f>
        <v/>
      </c>
      <c r="D494" s="40" t="str">
        <f aca="false">IF($C494="","",IFERROR(INDEX(Ativos!$B$3:$B$42,MATCH($C494,Ativos!$A$3:$A$42,0)),""))</f>
        <v/>
      </c>
      <c r="E494" s="40" t="str">
        <f aca="false">IF($C494="","",INDEX(Planos!$C$3:$C$27,21))</f>
        <v/>
      </c>
      <c r="F494" s="40" t="str">
        <f aca="false">IF($C494="","",INDEX(Planos!$D$3:$D$27,21))</f>
        <v/>
      </c>
      <c r="G494" s="41" t="n">
        <f aca="false">IF($C494="",0,INDEX(Planos!$F$3:$F$27,21)+(12-1)*INDEX(Planos!$E$3:$E$27,21))</f>
        <v>0</v>
      </c>
      <c r="H494" s="40" t="str">
        <f aca="false">IF($C494="","",INDEX(Planos!$H$3:$H$27,21))</f>
        <v/>
      </c>
      <c r="I494" s="41" t="str">
        <f aca="false">IF($C494="","",IF(INDEX(Planos!$J$3:$AG$27,$A494,$B494)=0,"",INDEX(Planos!$J$3:$AG$27,$A494,$B494)))</f>
        <v/>
      </c>
      <c r="J494" s="26" t="str">
        <f aca="false">IF($C494="","",IF($I494&lt;&gt;"","Realizada",IF($G494&lt;INT(Parâmetros!$C$4),"Atrasada","Agendada")))</f>
        <v/>
      </c>
      <c r="K494" s="42" t="str">
        <f aca="false">IF($C494="","",IF($I494&lt;&gt;"",$I494-$G494,IF($J494="Atrasada",INT(Parâmetros!$C$4)-$G494,"")))</f>
        <v/>
      </c>
      <c r="L494" s="26" t="str">
        <f aca="false">IF($J494&lt;&gt;"Realizada","",IF($K494&lt;=0,"No prazo",IF($K494&lt;=7,"Até 7 dias",IF($K494&lt;=30,"Até 30 dias","Acima de 30"))))</f>
        <v/>
      </c>
      <c r="M494" s="26" t="str">
        <f aca="false">IF($C494="","",COUNTIFS($G$3:$G494,$G494))</f>
        <v/>
      </c>
      <c r="N494" s="26" t="str">
        <f aca="false">IF($C494="","",$G494&amp;"|"&amp;$M494)</f>
        <v/>
      </c>
    </row>
    <row r="495" customFormat="false" ht="18" hidden="false" customHeight="true" outlineLevel="0" collapsed="false">
      <c r="A495" s="26" t="n">
        <v>21</v>
      </c>
      <c r="B495" s="26" t="n">
        <v>13</v>
      </c>
      <c r="C495" s="26" t="str">
        <f aca="false">IF(INDEX(Planos!$B$3:$B$27,21)="","",IF(13&gt;INDEX(Planos!$G$3:$G$27,21),"",INDEX(Planos!$B$3:$B$27,21)))</f>
        <v/>
      </c>
      <c r="D495" s="40" t="str">
        <f aca="false">IF($C495="","",IFERROR(INDEX(Ativos!$B$3:$B$42,MATCH($C495,Ativos!$A$3:$A$42,0)),""))</f>
        <v/>
      </c>
      <c r="E495" s="40" t="str">
        <f aca="false">IF($C495="","",INDEX(Planos!$C$3:$C$27,21))</f>
        <v/>
      </c>
      <c r="F495" s="40" t="str">
        <f aca="false">IF($C495="","",INDEX(Planos!$D$3:$D$27,21))</f>
        <v/>
      </c>
      <c r="G495" s="41" t="n">
        <f aca="false">IF($C495="",0,INDEX(Planos!$F$3:$F$27,21)+(13-1)*INDEX(Planos!$E$3:$E$27,21))</f>
        <v>0</v>
      </c>
      <c r="H495" s="40" t="str">
        <f aca="false">IF($C495="","",INDEX(Planos!$H$3:$H$27,21))</f>
        <v/>
      </c>
      <c r="I495" s="41" t="str">
        <f aca="false">IF($C495="","",IF(INDEX(Planos!$J$3:$AG$27,$A495,$B495)=0,"",INDEX(Planos!$J$3:$AG$27,$A495,$B495)))</f>
        <v/>
      </c>
      <c r="J495" s="26" t="str">
        <f aca="false">IF($C495="","",IF($I495&lt;&gt;"","Realizada",IF($G495&lt;INT(Parâmetros!$C$4),"Atrasada","Agendada")))</f>
        <v/>
      </c>
      <c r="K495" s="42" t="str">
        <f aca="false">IF($C495="","",IF($I495&lt;&gt;"",$I495-$G495,IF($J495="Atrasada",INT(Parâmetros!$C$4)-$G495,"")))</f>
        <v/>
      </c>
      <c r="L495" s="26" t="str">
        <f aca="false">IF($J495&lt;&gt;"Realizada","",IF($K495&lt;=0,"No prazo",IF($K495&lt;=7,"Até 7 dias",IF($K495&lt;=30,"Até 30 dias","Acima de 30"))))</f>
        <v/>
      </c>
      <c r="M495" s="26" t="str">
        <f aca="false">IF($C495="","",COUNTIFS($G$3:$G495,$G495))</f>
        <v/>
      </c>
      <c r="N495" s="26" t="str">
        <f aca="false">IF($C495="","",$G495&amp;"|"&amp;$M495)</f>
        <v/>
      </c>
    </row>
    <row r="496" customFormat="false" ht="18" hidden="false" customHeight="true" outlineLevel="0" collapsed="false">
      <c r="A496" s="26" t="n">
        <v>21</v>
      </c>
      <c r="B496" s="26" t="n">
        <v>14</v>
      </c>
      <c r="C496" s="26" t="str">
        <f aca="false">IF(INDEX(Planos!$B$3:$B$27,21)="","",IF(14&gt;INDEX(Planos!$G$3:$G$27,21),"",INDEX(Planos!$B$3:$B$27,21)))</f>
        <v/>
      </c>
      <c r="D496" s="40" t="str">
        <f aca="false">IF($C496="","",IFERROR(INDEX(Ativos!$B$3:$B$42,MATCH($C496,Ativos!$A$3:$A$42,0)),""))</f>
        <v/>
      </c>
      <c r="E496" s="40" t="str">
        <f aca="false">IF($C496="","",INDEX(Planos!$C$3:$C$27,21))</f>
        <v/>
      </c>
      <c r="F496" s="40" t="str">
        <f aca="false">IF($C496="","",INDEX(Planos!$D$3:$D$27,21))</f>
        <v/>
      </c>
      <c r="G496" s="41" t="n">
        <f aca="false">IF($C496="",0,INDEX(Planos!$F$3:$F$27,21)+(14-1)*INDEX(Planos!$E$3:$E$27,21))</f>
        <v>0</v>
      </c>
      <c r="H496" s="40" t="str">
        <f aca="false">IF($C496="","",INDEX(Planos!$H$3:$H$27,21))</f>
        <v/>
      </c>
      <c r="I496" s="41" t="str">
        <f aca="false">IF($C496="","",IF(INDEX(Planos!$J$3:$AG$27,$A496,$B496)=0,"",INDEX(Planos!$J$3:$AG$27,$A496,$B496)))</f>
        <v/>
      </c>
      <c r="J496" s="26" t="str">
        <f aca="false">IF($C496="","",IF($I496&lt;&gt;"","Realizada",IF($G496&lt;INT(Parâmetros!$C$4),"Atrasada","Agendada")))</f>
        <v/>
      </c>
      <c r="K496" s="42" t="str">
        <f aca="false">IF($C496="","",IF($I496&lt;&gt;"",$I496-$G496,IF($J496="Atrasada",INT(Parâmetros!$C$4)-$G496,"")))</f>
        <v/>
      </c>
      <c r="L496" s="26" t="str">
        <f aca="false">IF($J496&lt;&gt;"Realizada","",IF($K496&lt;=0,"No prazo",IF($K496&lt;=7,"Até 7 dias",IF($K496&lt;=30,"Até 30 dias","Acima de 30"))))</f>
        <v/>
      </c>
      <c r="M496" s="26" t="str">
        <f aca="false">IF($C496="","",COUNTIFS($G$3:$G496,$G496))</f>
        <v/>
      </c>
      <c r="N496" s="26" t="str">
        <f aca="false">IF($C496="","",$G496&amp;"|"&amp;$M496)</f>
        <v/>
      </c>
    </row>
    <row r="497" customFormat="false" ht="18" hidden="false" customHeight="true" outlineLevel="0" collapsed="false">
      <c r="A497" s="26" t="n">
        <v>21</v>
      </c>
      <c r="B497" s="26" t="n">
        <v>15</v>
      </c>
      <c r="C497" s="26" t="str">
        <f aca="false">IF(INDEX(Planos!$B$3:$B$27,21)="","",IF(15&gt;INDEX(Planos!$G$3:$G$27,21),"",INDEX(Planos!$B$3:$B$27,21)))</f>
        <v/>
      </c>
      <c r="D497" s="40" t="str">
        <f aca="false">IF($C497="","",IFERROR(INDEX(Ativos!$B$3:$B$42,MATCH($C497,Ativos!$A$3:$A$42,0)),""))</f>
        <v/>
      </c>
      <c r="E497" s="40" t="str">
        <f aca="false">IF($C497="","",INDEX(Planos!$C$3:$C$27,21))</f>
        <v/>
      </c>
      <c r="F497" s="40" t="str">
        <f aca="false">IF($C497="","",INDEX(Planos!$D$3:$D$27,21))</f>
        <v/>
      </c>
      <c r="G497" s="41" t="n">
        <f aca="false">IF($C497="",0,INDEX(Planos!$F$3:$F$27,21)+(15-1)*INDEX(Planos!$E$3:$E$27,21))</f>
        <v>0</v>
      </c>
      <c r="H497" s="40" t="str">
        <f aca="false">IF($C497="","",INDEX(Planos!$H$3:$H$27,21))</f>
        <v/>
      </c>
      <c r="I497" s="41" t="str">
        <f aca="false">IF($C497="","",IF(INDEX(Planos!$J$3:$AG$27,$A497,$B497)=0,"",INDEX(Planos!$J$3:$AG$27,$A497,$B497)))</f>
        <v/>
      </c>
      <c r="J497" s="26" t="str">
        <f aca="false">IF($C497="","",IF($I497&lt;&gt;"","Realizada",IF($G497&lt;INT(Parâmetros!$C$4),"Atrasada","Agendada")))</f>
        <v/>
      </c>
      <c r="K497" s="42" t="str">
        <f aca="false">IF($C497="","",IF($I497&lt;&gt;"",$I497-$G497,IF($J497="Atrasada",INT(Parâmetros!$C$4)-$G497,"")))</f>
        <v/>
      </c>
      <c r="L497" s="26" t="str">
        <f aca="false">IF($J497&lt;&gt;"Realizada","",IF($K497&lt;=0,"No prazo",IF($K497&lt;=7,"Até 7 dias",IF($K497&lt;=30,"Até 30 dias","Acima de 30"))))</f>
        <v/>
      </c>
      <c r="M497" s="26" t="str">
        <f aca="false">IF($C497="","",COUNTIFS($G$3:$G497,$G497))</f>
        <v/>
      </c>
      <c r="N497" s="26" t="str">
        <f aca="false">IF($C497="","",$G497&amp;"|"&amp;$M497)</f>
        <v/>
      </c>
    </row>
    <row r="498" customFormat="false" ht="18" hidden="false" customHeight="true" outlineLevel="0" collapsed="false">
      <c r="A498" s="26" t="n">
        <v>21</v>
      </c>
      <c r="B498" s="26" t="n">
        <v>16</v>
      </c>
      <c r="C498" s="26" t="str">
        <f aca="false">IF(INDEX(Planos!$B$3:$B$27,21)="","",IF(16&gt;INDEX(Planos!$G$3:$G$27,21),"",INDEX(Planos!$B$3:$B$27,21)))</f>
        <v/>
      </c>
      <c r="D498" s="40" t="str">
        <f aca="false">IF($C498="","",IFERROR(INDEX(Ativos!$B$3:$B$42,MATCH($C498,Ativos!$A$3:$A$42,0)),""))</f>
        <v/>
      </c>
      <c r="E498" s="40" t="str">
        <f aca="false">IF($C498="","",INDEX(Planos!$C$3:$C$27,21))</f>
        <v/>
      </c>
      <c r="F498" s="40" t="str">
        <f aca="false">IF($C498="","",INDEX(Planos!$D$3:$D$27,21))</f>
        <v/>
      </c>
      <c r="G498" s="41" t="n">
        <f aca="false">IF($C498="",0,INDEX(Planos!$F$3:$F$27,21)+(16-1)*INDEX(Planos!$E$3:$E$27,21))</f>
        <v>0</v>
      </c>
      <c r="H498" s="40" t="str">
        <f aca="false">IF($C498="","",INDEX(Planos!$H$3:$H$27,21))</f>
        <v/>
      </c>
      <c r="I498" s="41" t="str">
        <f aca="false">IF($C498="","",IF(INDEX(Planos!$J$3:$AG$27,$A498,$B498)=0,"",INDEX(Planos!$J$3:$AG$27,$A498,$B498)))</f>
        <v/>
      </c>
      <c r="J498" s="26" t="str">
        <f aca="false">IF($C498="","",IF($I498&lt;&gt;"","Realizada",IF($G498&lt;INT(Parâmetros!$C$4),"Atrasada","Agendada")))</f>
        <v/>
      </c>
      <c r="K498" s="42" t="str">
        <f aca="false">IF($C498="","",IF($I498&lt;&gt;"",$I498-$G498,IF($J498="Atrasada",INT(Parâmetros!$C$4)-$G498,"")))</f>
        <v/>
      </c>
      <c r="L498" s="26" t="str">
        <f aca="false">IF($J498&lt;&gt;"Realizada","",IF($K498&lt;=0,"No prazo",IF($K498&lt;=7,"Até 7 dias",IF($K498&lt;=30,"Até 30 dias","Acima de 30"))))</f>
        <v/>
      </c>
      <c r="M498" s="26" t="str">
        <f aca="false">IF($C498="","",COUNTIFS($G$3:$G498,$G498))</f>
        <v/>
      </c>
      <c r="N498" s="26" t="str">
        <f aca="false">IF($C498="","",$G498&amp;"|"&amp;$M498)</f>
        <v/>
      </c>
    </row>
    <row r="499" customFormat="false" ht="18" hidden="false" customHeight="true" outlineLevel="0" collapsed="false">
      <c r="A499" s="26" t="n">
        <v>21</v>
      </c>
      <c r="B499" s="26" t="n">
        <v>17</v>
      </c>
      <c r="C499" s="26" t="str">
        <f aca="false">IF(INDEX(Planos!$B$3:$B$27,21)="","",IF(17&gt;INDEX(Planos!$G$3:$G$27,21),"",INDEX(Planos!$B$3:$B$27,21)))</f>
        <v/>
      </c>
      <c r="D499" s="40" t="str">
        <f aca="false">IF($C499="","",IFERROR(INDEX(Ativos!$B$3:$B$42,MATCH($C499,Ativos!$A$3:$A$42,0)),""))</f>
        <v/>
      </c>
      <c r="E499" s="40" t="str">
        <f aca="false">IF($C499="","",INDEX(Planos!$C$3:$C$27,21))</f>
        <v/>
      </c>
      <c r="F499" s="40" t="str">
        <f aca="false">IF($C499="","",INDEX(Planos!$D$3:$D$27,21))</f>
        <v/>
      </c>
      <c r="G499" s="41" t="n">
        <f aca="false">IF($C499="",0,INDEX(Planos!$F$3:$F$27,21)+(17-1)*INDEX(Planos!$E$3:$E$27,21))</f>
        <v>0</v>
      </c>
      <c r="H499" s="40" t="str">
        <f aca="false">IF($C499="","",INDEX(Planos!$H$3:$H$27,21))</f>
        <v/>
      </c>
      <c r="I499" s="41" t="str">
        <f aca="false">IF($C499="","",IF(INDEX(Planos!$J$3:$AG$27,$A499,$B499)=0,"",INDEX(Planos!$J$3:$AG$27,$A499,$B499)))</f>
        <v/>
      </c>
      <c r="J499" s="26" t="str">
        <f aca="false">IF($C499="","",IF($I499&lt;&gt;"","Realizada",IF($G499&lt;INT(Parâmetros!$C$4),"Atrasada","Agendada")))</f>
        <v/>
      </c>
      <c r="K499" s="42" t="str">
        <f aca="false">IF($C499="","",IF($I499&lt;&gt;"",$I499-$G499,IF($J499="Atrasada",INT(Parâmetros!$C$4)-$G499,"")))</f>
        <v/>
      </c>
      <c r="L499" s="26" t="str">
        <f aca="false">IF($J499&lt;&gt;"Realizada","",IF($K499&lt;=0,"No prazo",IF($K499&lt;=7,"Até 7 dias",IF($K499&lt;=30,"Até 30 dias","Acima de 30"))))</f>
        <v/>
      </c>
      <c r="M499" s="26" t="str">
        <f aca="false">IF($C499="","",COUNTIFS($G$3:$G499,$G499))</f>
        <v/>
      </c>
      <c r="N499" s="26" t="str">
        <f aca="false">IF($C499="","",$G499&amp;"|"&amp;$M499)</f>
        <v/>
      </c>
    </row>
    <row r="500" customFormat="false" ht="18" hidden="false" customHeight="true" outlineLevel="0" collapsed="false">
      <c r="A500" s="26" t="n">
        <v>21</v>
      </c>
      <c r="B500" s="26" t="n">
        <v>18</v>
      </c>
      <c r="C500" s="26" t="str">
        <f aca="false">IF(INDEX(Planos!$B$3:$B$27,21)="","",IF(18&gt;INDEX(Planos!$G$3:$G$27,21),"",INDEX(Planos!$B$3:$B$27,21)))</f>
        <v/>
      </c>
      <c r="D500" s="40" t="str">
        <f aca="false">IF($C500="","",IFERROR(INDEX(Ativos!$B$3:$B$42,MATCH($C500,Ativos!$A$3:$A$42,0)),""))</f>
        <v/>
      </c>
      <c r="E500" s="40" t="str">
        <f aca="false">IF($C500="","",INDEX(Planos!$C$3:$C$27,21))</f>
        <v/>
      </c>
      <c r="F500" s="40" t="str">
        <f aca="false">IF($C500="","",INDEX(Planos!$D$3:$D$27,21))</f>
        <v/>
      </c>
      <c r="G500" s="41" t="n">
        <f aca="false">IF($C500="",0,INDEX(Planos!$F$3:$F$27,21)+(18-1)*INDEX(Planos!$E$3:$E$27,21))</f>
        <v>0</v>
      </c>
      <c r="H500" s="40" t="str">
        <f aca="false">IF($C500="","",INDEX(Planos!$H$3:$H$27,21))</f>
        <v/>
      </c>
      <c r="I500" s="41" t="str">
        <f aca="false">IF($C500="","",IF(INDEX(Planos!$J$3:$AG$27,$A500,$B500)=0,"",INDEX(Planos!$J$3:$AG$27,$A500,$B500)))</f>
        <v/>
      </c>
      <c r="J500" s="26" t="str">
        <f aca="false">IF($C500="","",IF($I500&lt;&gt;"","Realizada",IF($G500&lt;INT(Parâmetros!$C$4),"Atrasada","Agendada")))</f>
        <v/>
      </c>
      <c r="K500" s="42" t="str">
        <f aca="false">IF($C500="","",IF($I500&lt;&gt;"",$I500-$G500,IF($J500="Atrasada",INT(Parâmetros!$C$4)-$G500,"")))</f>
        <v/>
      </c>
      <c r="L500" s="26" t="str">
        <f aca="false">IF($J500&lt;&gt;"Realizada","",IF($K500&lt;=0,"No prazo",IF($K500&lt;=7,"Até 7 dias",IF($K500&lt;=30,"Até 30 dias","Acima de 30"))))</f>
        <v/>
      </c>
      <c r="M500" s="26" t="str">
        <f aca="false">IF($C500="","",COUNTIFS($G$3:$G500,$G500))</f>
        <v/>
      </c>
      <c r="N500" s="26" t="str">
        <f aca="false">IF($C500="","",$G500&amp;"|"&amp;$M500)</f>
        <v/>
      </c>
    </row>
    <row r="501" customFormat="false" ht="18" hidden="false" customHeight="true" outlineLevel="0" collapsed="false">
      <c r="A501" s="26" t="n">
        <v>21</v>
      </c>
      <c r="B501" s="26" t="n">
        <v>19</v>
      </c>
      <c r="C501" s="26" t="str">
        <f aca="false">IF(INDEX(Planos!$B$3:$B$27,21)="","",IF(19&gt;INDEX(Planos!$G$3:$G$27,21),"",INDEX(Planos!$B$3:$B$27,21)))</f>
        <v/>
      </c>
      <c r="D501" s="40" t="str">
        <f aca="false">IF($C501="","",IFERROR(INDEX(Ativos!$B$3:$B$42,MATCH($C501,Ativos!$A$3:$A$42,0)),""))</f>
        <v/>
      </c>
      <c r="E501" s="40" t="str">
        <f aca="false">IF($C501="","",INDEX(Planos!$C$3:$C$27,21))</f>
        <v/>
      </c>
      <c r="F501" s="40" t="str">
        <f aca="false">IF($C501="","",INDEX(Planos!$D$3:$D$27,21))</f>
        <v/>
      </c>
      <c r="G501" s="41" t="n">
        <f aca="false">IF($C501="",0,INDEX(Planos!$F$3:$F$27,21)+(19-1)*INDEX(Planos!$E$3:$E$27,21))</f>
        <v>0</v>
      </c>
      <c r="H501" s="40" t="str">
        <f aca="false">IF($C501="","",INDEX(Planos!$H$3:$H$27,21))</f>
        <v/>
      </c>
      <c r="I501" s="41" t="str">
        <f aca="false">IF($C501="","",IF(INDEX(Planos!$J$3:$AG$27,$A501,$B501)=0,"",INDEX(Planos!$J$3:$AG$27,$A501,$B501)))</f>
        <v/>
      </c>
      <c r="J501" s="26" t="str">
        <f aca="false">IF($C501="","",IF($I501&lt;&gt;"","Realizada",IF($G501&lt;INT(Parâmetros!$C$4),"Atrasada","Agendada")))</f>
        <v/>
      </c>
      <c r="K501" s="42" t="str">
        <f aca="false">IF($C501="","",IF($I501&lt;&gt;"",$I501-$G501,IF($J501="Atrasada",INT(Parâmetros!$C$4)-$G501,"")))</f>
        <v/>
      </c>
      <c r="L501" s="26" t="str">
        <f aca="false">IF($J501&lt;&gt;"Realizada","",IF($K501&lt;=0,"No prazo",IF($K501&lt;=7,"Até 7 dias",IF($K501&lt;=30,"Até 30 dias","Acima de 30"))))</f>
        <v/>
      </c>
      <c r="M501" s="26" t="str">
        <f aca="false">IF($C501="","",COUNTIFS($G$3:$G501,$G501))</f>
        <v/>
      </c>
      <c r="N501" s="26" t="str">
        <f aca="false">IF($C501="","",$G501&amp;"|"&amp;$M501)</f>
        <v/>
      </c>
    </row>
    <row r="502" customFormat="false" ht="18" hidden="false" customHeight="true" outlineLevel="0" collapsed="false">
      <c r="A502" s="26" t="n">
        <v>21</v>
      </c>
      <c r="B502" s="26" t="n">
        <v>20</v>
      </c>
      <c r="C502" s="26" t="str">
        <f aca="false">IF(INDEX(Planos!$B$3:$B$27,21)="","",IF(20&gt;INDEX(Planos!$G$3:$G$27,21),"",INDEX(Planos!$B$3:$B$27,21)))</f>
        <v/>
      </c>
      <c r="D502" s="40" t="str">
        <f aca="false">IF($C502="","",IFERROR(INDEX(Ativos!$B$3:$B$42,MATCH($C502,Ativos!$A$3:$A$42,0)),""))</f>
        <v/>
      </c>
      <c r="E502" s="40" t="str">
        <f aca="false">IF($C502="","",INDEX(Planos!$C$3:$C$27,21))</f>
        <v/>
      </c>
      <c r="F502" s="40" t="str">
        <f aca="false">IF($C502="","",INDEX(Planos!$D$3:$D$27,21))</f>
        <v/>
      </c>
      <c r="G502" s="41" t="n">
        <f aca="false">IF($C502="",0,INDEX(Planos!$F$3:$F$27,21)+(20-1)*INDEX(Planos!$E$3:$E$27,21))</f>
        <v>0</v>
      </c>
      <c r="H502" s="40" t="str">
        <f aca="false">IF($C502="","",INDEX(Planos!$H$3:$H$27,21))</f>
        <v/>
      </c>
      <c r="I502" s="41" t="str">
        <f aca="false">IF($C502="","",IF(INDEX(Planos!$J$3:$AG$27,$A502,$B502)=0,"",INDEX(Planos!$J$3:$AG$27,$A502,$B502)))</f>
        <v/>
      </c>
      <c r="J502" s="26" t="str">
        <f aca="false">IF($C502="","",IF($I502&lt;&gt;"","Realizada",IF($G502&lt;INT(Parâmetros!$C$4),"Atrasada","Agendada")))</f>
        <v/>
      </c>
      <c r="K502" s="42" t="str">
        <f aca="false">IF($C502="","",IF($I502&lt;&gt;"",$I502-$G502,IF($J502="Atrasada",INT(Parâmetros!$C$4)-$G502,"")))</f>
        <v/>
      </c>
      <c r="L502" s="26" t="str">
        <f aca="false">IF($J502&lt;&gt;"Realizada","",IF($K502&lt;=0,"No prazo",IF($K502&lt;=7,"Até 7 dias",IF($K502&lt;=30,"Até 30 dias","Acima de 30"))))</f>
        <v/>
      </c>
      <c r="M502" s="26" t="str">
        <f aca="false">IF($C502="","",COUNTIFS($G$3:$G502,$G502))</f>
        <v/>
      </c>
      <c r="N502" s="26" t="str">
        <f aca="false">IF($C502="","",$G502&amp;"|"&amp;$M502)</f>
        <v/>
      </c>
    </row>
    <row r="503" customFormat="false" ht="18" hidden="false" customHeight="true" outlineLevel="0" collapsed="false">
      <c r="A503" s="26" t="n">
        <v>21</v>
      </c>
      <c r="B503" s="26" t="n">
        <v>21</v>
      </c>
      <c r="C503" s="26" t="str">
        <f aca="false">IF(INDEX(Planos!$B$3:$B$27,21)="","",IF(21&gt;INDEX(Planos!$G$3:$G$27,21),"",INDEX(Planos!$B$3:$B$27,21)))</f>
        <v/>
      </c>
      <c r="D503" s="40" t="str">
        <f aca="false">IF($C503="","",IFERROR(INDEX(Ativos!$B$3:$B$42,MATCH($C503,Ativos!$A$3:$A$42,0)),""))</f>
        <v/>
      </c>
      <c r="E503" s="40" t="str">
        <f aca="false">IF($C503="","",INDEX(Planos!$C$3:$C$27,21))</f>
        <v/>
      </c>
      <c r="F503" s="40" t="str">
        <f aca="false">IF($C503="","",INDEX(Planos!$D$3:$D$27,21))</f>
        <v/>
      </c>
      <c r="G503" s="41" t="n">
        <f aca="false">IF($C503="",0,INDEX(Planos!$F$3:$F$27,21)+(21-1)*INDEX(Planos!$E$3:$E$27,21))</f>
        <v>0</v>
      </c>
      <c r="H503" s="40" t="str">
        <f aca="false">IF($C503="","",INDEX(Planos!$H$3:$H$27,21))</f>
        <v/>
      </c>
      <c r="I503" s="41" t="str">
        <f aca="false">IF($C503="","",IF(INDEX(Planos!$J$3:$AG$27,$A503,$B503)=0,"",INDEX(Planos!$J$3:$AG$27,$A503,$B503)))</f>
        <v/>
      </c>
      <c r="J503" s="26" t="str">
        <f aca="false">IF($C503="","",IF($I503&lt;&gt;"","Realizada",IF($G503&lt;INT(Parâmetros!$C$4),"Atrasada","Agendada")))</f>
        <v/>
      </c>
      <c r="K503" s="42" t="str">
        <f aca="false">IF($C503="","",IF($I503&lt;&gt;"",$I503-$G503,IF($J503="Atrasada",INT(Parâmetros!$C$4)-$G503,"")))</f>
        <v/>
      </c>
      <c r="L503" s="26" t="str">
        <f aca="false">IF($J503&lt;&gt;"Realizada","",IF($K503&lt;=0,"No prazo",IF($K503&lt;=7,"Até 7 dias",IF($K503&lt;=30,"Até 30 dias","Acima de 30"))))</f>
        <v/>
      </c>
      <c r="M503" s="26" t="str">
        <f aca="false">IF($C503="","",COUNTIFS($G$3:$G503,$G503))</f>
        <v/>
      </c>
      <c r="N503" s="26" t="str">
        <f aca="false">IF($C503="","",$G503&amp;"|"&amp;$M503)</f>
        <v/>
      </c>
    </row>
    <row r="504" customFormat="false" ht="18" hidden="false" customHeight="true" outlineLevel="0" collapsed="false">
      <c r="A504" s="26" t="n">
        <v>21</v>
      </c>
      <c r="B504" s="26" t="n">
        <v>22</v>
      </c>
      <c r="C504" s="26" t="str">
        <f aca="false">IF(INDEX(Planos!$B$3:$B$27,21)="","",IF(22&gt;INDEX(Planos!$G$3:$G$27,21),"",INDEX(Planos!$B$3:$B$27,21)))</f>
        <v/>
      </c>
      <c r="D504" s="40" t="str">
        <f aca="false">IF($C504="","",IFERROR(INDEX(Ativos!$B$3:$B$42,MATCH($C504,Ativos!$A$3:$A$42,0)),""))</f>
        <v/>
      </c>
      <c r="E504" s="40" t="str">
        <f aca="false">IF($C504="","",INDEX(Planos!$C$3:$C$27,21))</f>
        <v/>
      </c>
      <c r="F504" s="40" t="str">
        <f aca="false">IF($C504="","",INDEX(Planos!$D$3:$D$27,21))</f>
        <v/>
      </c>
      <c r="G504" s="41" t="n">
        <f aca="false">IF($C504="",0,INDEX(Planos!$F$3:$F$27,21)+(22-1)*INDEX(Planos!$E$3:$E$27,21))</f>
        <v>0</v>
      </c>
      <c r="H504" s="40" t="str">
        <f aca="false">IF($C504="","",INDEX(Planos!$H$3:$H$27,21))</f>
        <v/>
      </c>
      <c r="I504" s="41" t="str">
        <f aca="false">IF($C504="","",IF(INDEX(Planos!$J$3:$AG$27,$A504,$B504)=0,"",INDEX(Planos!$J$3:$AG$27,$A504,$B504)))</f>
        <v/>
      </c>
      <c r="J504" s="26" t="str">
        <f aca="false">IF($C504="","",IF($I504&lt;&gt;"","Realizada",IF($G504&lt;INT(Parâmetros!$C$4),"Atrasada","Agendada")))</f>
        <v/>
      </c>
      <c r="K504" s="42" t="str">
        <f aca="false">IF($C504="","",IF($I504&lt;&gt;"",$I504-$G504,IF($J504="Atrasada",INT(Parâmetros!$C$4)-$G504,"")))</f>
        <v/>
      </c>
      <c r="L504" s="26" t="str">
        <f aca="false">IF($J504&lt;&gt;"Realizada","",IF($K504&lt;=0,"No prazo",IF($K504&lt;=7,"Até 7 dias",IF($K504&lt;=30,"Até 30 dias","Acima de 30"))))</f>
        <v/>
      </c>
      <c r="M504" s="26" t="str">
        <f aca="false">IF($C504="","",COUNTIFS($G$3:$G504,$G504))</f>
        <v/>
      </c>
      <c r="N504" s="26" t="str">
        <f aca="false">IF($C504="","",$G504&amp;"|"&amp;$M504)</f>
        <v/>
      </c>
    </row>
    <row r="505" customFormat="false" ht="18" hidden="false" customHeight="true" outlineLevel="0" collapsed="false">
      <c r="A505" s="26" t="n">
        <v>21</v>
      </c>
      <c r="B505" s="26" t="n">
        <v>23</v>
      </c>
      <c r="C505" s="26" t="str">
        <f aca="false">IF(INDEX(Planos!$B$3:$B$27,21)="","",IF(23&gt;INDEX(Planos!$G$3:$G$27,21),"",INDEX(Planos!$B$3:$B$27,21)))</f>
        <v/>
      </c>
      <c r="D505" s="40" t="str">
        <f aca="false">IF($C505="","",IFERROR(INDEX(Ativos!$B$3:$B$42,MATCH($C505,Ativos!$A$3:$A$42,0)),""))</f>
        <v/>
      </c>
      <c r="E505" s="40" t="str">
        <f aca="false">IF($C505="","",INDEX(Planos!$C$3:$C$27,21))</f>
        <v/>
      </c>
      <c r="F505" s="40" t="str">
        <f aca="false">IF($C505="","",INDEX(Planos!$D$3:$D$27,21))</f>
        <v/>
      </c>
      <c r="G505" s="41" t="n">
        <f aca="false">IF($C505="",0,INDEX(Planos!$F$3:$F$27,21)+(23-1)*INDEX(Planos!$E$3:$E$27,21))</f>
        <v>0</v>
      </c>
      <c r="H505" s="40" t="str">
        <f aca="false">IF($C505="","",INDEX(Planos!$H$3:$H$27,21))</f>
        <v/>
      </c>
      <c r="I505" s="41" t="str">
        <f aca="false">IF($C505="","",IF(INDEX(Planos!$J$3:$AG$27,$A505,$B505)=0,"",INDEX(Planos!$J$3:$AG$27,$A505,$B505)))</f>
        <v/>
      </c>
      <c r="J505" s="26" t="str">
        <f aca="false">IF($C505="","",IF($I505&lt;&gt;"","Realizada",IF($G505&lt;INT(Parâmetros!$C$4),"Atrasada","Agendada")))</f>
        <v/>
      </c>
      <c r="K505" s="42" t="str">
        <f aca="false">IF($C505="","",IF($I505&lt;&gt;"",$I505-$G505,IF($J505="Atrasada",INT(Parâmetros!$C$4)-$G505,"")))</f>
        <v/>
      </c>
      <c r="L505" s="26" t="str">
        <f aca="false">IF($J505&lt;&gt;"Realizada","",IF($K505&lt;=0,"No prazo",IF($K505&lt;=7,"Até 7 dias",IF($K505&lt;=30,"Até 30 dias","Acima de 30"))))</f>
        <v/>
      </c>
      <c r="M505" s="26" t="str">
        <f aca="false">IF($C505="","",COUNTIFS($G$3:$G505,$G505))</f>
        <v/>
      </c>
      <c r="N505" s="26" t="str">
        <f aca="false">IF($C505="","",$G505&amp;"|"&amp;$M505)</f>
        <v/>
      </c>
    </row>
    <row r="506" customFormat="false" ht="18" hidden="false" customHeight="true" outlineLevel="0" collapsed="false">
      <c r="A506" s="26" t="n">
        <v>21</v>
      </c>
      <c r="B506" s="26" t="n">
        <v>24</v>
      </c>
      <c r="C506" s="26" t="str">
        <f aca="false">IF(INDEX(Planos!$B$3:$B$27,21)="","",IF(24&gt;INDEX(Planos!$G$3:$G$27,21),"",INDEX(Planos!$B$3:$B$27,21)))</f>
        <v/>
      </c>
      <c r="D506" s="40" t="str">
        <f aca="false">IF($C506="","",IFERROR(INDEX(Ativos!$B$3:$B$42,MATCH($C506,Ativos!$A$3:$A$42,0)),""))</f>
        <v/>
      </c>
      <c r="E506" s="40" t="str">
        <f aca="false">IF($C506="","",INDEX(Planos!$C$3:$C$27,21))</f>
        <v/>
      </c>
      <c r="F506" s="40" t="str">
        <f aca="false">IF($C506="","",INDEX(Planos!$D$3:$D$27,21))</f>
        <v/>
      </c>
      <c r="G506" s="41" t="n">
        <f aca="false">IF($C506="",0,INDEX(Planos!$F$3:$F$27,21)+(24-1)*INDEX(Planos!$E$3:$E$27,21))</f>
        <v>0</v>
      </c>
      <c r="H506" s="40" t="str">
        <f aca="false">IF($C506="","",INDEX(Planos!$H$3:$H$27,21))</f>
        <v/>
      </c>
      <c r="I506" s="41" t="str">
        <f aca="false">IF($C506="","",IF(INDEX(Planos!$J$3:$AG$27,$A506,$B506)=0,"",INDEX(Planos!$J$3:$AG$27,$A506,$B506)))</f>
        <v/>
      </c>
      <c r="J506" s="26" t="str">
        <f aca="false">IF($C506="","",IF($I506&lt;&gt;"","Realizada",IF($G506&lt;INT(Parâmetros!$C$4),"Atrasada","Agendada")))</f>
        <v/>
      </c>
      <c r="K506" s="42" t="str">
        <f aca="false">IF($C506="","",IF($I506&lt;&gt;"",$I506-$G506,IF($J506="Atrasada",INT(Parâmetros!$C$4)-$G506,"")))</f>
        <v/>
      </c>
      <c r="L506" s="26" t="str">
        <f aca="false">IF($J506&lt;&gt;"Realizada","",IF($K506&lt;=0,"No prazo",IF($K506&lt;=7,"Até 7 dias",IF($K506&lt;=30,"Até 30 dias","Acima de 30"))))</f>
        <v/>
      </c>
      <c r="M506" s="26" t="str">
        <f aca="false">IF($C506="","",COUNTIFS($G$3:$G506,$G506))</f>
        <v/>
      </c>
      <c r="N506" s="26" t="str">
        <f aca="false">IF($C506="","",$G506&amp;"|"&amp;$M506)</f>
        <v/>
      </c>
    </row>
    <row r="507" customFormat="false" ht="18" hidden="false" customHeight="true" outlineLevel="0" collapsed="false">
      <c r="A507" s="26" t="n">
        <v>22</v>
      </c>
      <c r="B507" s="26" t="n">
        <v>1</v>
      </c>
      <c r="C507" s="26" t="str">
        <f aca="false">IF(INDEX(Planos!$B$3:$B$27,22)="","",IF(1&gt;INDEX(Planos!$G$3:$G$27,22),"",INDEX(Planos!$B$3:$B$27,22)))</f>
        <v/>
      </c>
      <c r="D507" s="40" t="str">
        <f aca="false">IF($C507="","",IFERROR(INDEX(Ativos!$B$3:$B$42,MATCH($C507,Ativos!$A$3:$A$42,0)),""))</f>
        <v/>
      </c>
      <c r="E507" s="40" t="str">
        <f aca="false">IF($C507="","",INDEX(Planos!$C$3:$C$27,22))</f>
        <v/>
      </c>
      <c r="F507" s="40" t="str">
        <f aca="false">IF($C507="","",INDEX(Planos!$D$3:$D$27,22))</f>
        <v/>
      </c>
      <c r="G507" s="41" t="n">
        <f aca="false">IF($C507="",0,INDEX(Planos!$F$3:$F$27,22)+(1-1)*INDEX(Planos!$E$3:$E$27,22))</f>
        <v>0</v>
      </c>
      <c r="H507" s="40" t="str">
        <f aca="false">IF($C507="","",INDEX(Planos!$H$3:$H$27,22))</f>
        <v/>
      </c>
      <c r="I507" s="41" t="str">
        <f aca="false">IF($C507="","",IF(INDEX(Planos!$J$3:$AG$27,$A507,$B507)=0,"",INDEX(Planos!$J$3:$AG$27,$A507,$B507)))</f>
        <v/>
      </c>
      <c r="J507" s="26" t="str">
        <f aca="false">IF($C507="","",IF($I507&lt;&gt;"","Realizada",IF($G507&lt;INT(Parâmetros!$C$4),"Atrasada","Agendada")))</f>
        <v/>
      </c>
      <c r="K507" s="42" t="str">
        <f aca="false">IF($C507="","",IF($I507&lt;&gt;"",$I507-$G507,IF($J507="Atrasada",INT(Parâmetros!$C$4)-$G507,"")))</f>
        <v/>
      </c>
      <c r="L507" s="26" t="str">
        <f aca="false">IF($J507&lt;&gt;"Realizada","",IF($K507&lt;=0,"No prazo",IF($K507&lt;=7,"Até 7 dias",IF($K507&lt;=30,"Até 30 dias","Acima de 30"))))</f>
        <v/>
      </c>
      <c r="M507" s="26" t="str">
        <f aca="false">IF($C507="","",COUNTIFS($G$3:$G507,$G507))</f>
        <v/>
      </c>
      <c r="N507" s="26" t="str">
        <f aca="false">IF($C507="","",$G507&amp;"|"&amp;$M507)</f>
        <v/>
      </c>
    </row>
    <row r="508" customFormat="false" ht="18" hidden="false" customHeight="true" outlineLevel="0" collapsed="false">
      <c r="A508" s="26" t="n">
        <v>22</v>
      </c>
      <c r="B508" s="26" t="n">
        <v>2</v>
      </c>
      <c r="C508" s="26" t="str">
        <f aca="false">IF(INDEX(Planos!$B$3:$B$27,22)="","",IF(2&gt;INDEX(Planos!$G$3:$G$27,22),"",INDEX(Planos!$B$3:$B$27,22)))</f>
        <v/>
      </c>
      <c r="D508" s="40" t="str">
        <f aca="false">IF($C508="","",IFERROR(INDEX(Ativos!$B$3:$B$42,MATCH($C508,Ativos!$A$3:$A$42,0)),""))</f>
        <v/>
      </c>
      <c r="E508" s="40" t="str">
        <f aca="false">IF($C508="","",INDEX(Planos!$C$3:$C$27,22))</f>
        <v/>
      </c>
      <c r="F508" s="40" t="str">
        <f aca="false">IF($C508="","",INDEX(Planos!$D$3:$D$27,22))</f>
        <v/>
      </c>
      <c r="G508" s="41" t="n">
        <f aca="false">IF($C508="",0,INDEX(Planos!$F$3:$F$27,22)+(2-1)*INDEX(Planos!$E$3:$E$27,22))</f>
        <v>0</v>
      </c>
      <c r="H508" s="40" t="str">
        <f aca="false">IF($C508="","",INDEX(Planos!$H$3:$H$27,22))</f>
        <v/>
      </c>
      <c r="I508" s="41" t="str">
        <f aca="false">IF($C508="","",IF(INDEX(Planos!$J$3:$AG$27,$A508,$B508)=0,"",INDEX(Planos!$J$3:$AG$27,$A508,$B508)))</f>
        <v/>
      </c>
      <c r="J508" s="26" t="str">
        <f aca="false">IF($C508="","",IF($I508&lt;&gt;"","Realizada",IF($G508&lt;INT(Parâmetros!$C$4),"Atrasada","Agendada")))</f>
        <v/>
      </c>
      <c r="K508" s="42" t="str">
        <f aca="false">IF($C508="","",IF($I508&lt;&gt;"",$I508-$G508,IF($J508="Atrasada",INT(Parâmetros!$C$4)-$G508,"")))</f>
        <v/>
      </c>
      <c r="L508" s="26" t="str">
        <f aca="false">IF($J508&lt;&gt;"Realizada","",IF($K508&lt;=0,"No prazo",IF($K508&lt;=7,"Até 7 dias",IF($K508&lt;=30,"Até 30 dias","Acima de 30"))))</f>
        <v/>
      </c>
      <c r="M508" s="26" t="str">
        <f aca="false">IF($C508="","",COUNTIFS($G$3:$G508,$G508))</f>
        <v/>
      </c>
      <c r="N508" s="26" t="str">
        <f aca="false">IF($C508="","",$G508&amp;"|"&amp;$M508)</f>
        <v/>
      </c>
    </row>
    <row r="509" customFormat="false" ht="18" hidden="false" customHeight="true" outlineLevel="0" collapsed="false">
      <c r="A509" s="26" t="n">
        <v>22</v>
      </c>
      <c r="B509" s="26" t="n">
        <v>3</v>
      </c>
      <c r="C509" s="26" t="str">
        <f aca="false">IF(INDEX(Planos!$B$3:$B$27,22)="","",IF(3&gt;INDEX(Planos!$G$3:$G$27,22),"",INDEX(Planos!$B$3:$B$27,22)))</f>
        <v/>
      </c>
      <c r="D509" s="40" t="str">
        <f aca="false">IF($C509="","",IFERROR(INDEX(Ativos!$B$3:$B$42,MATCH($C509,Ativos!$A$3:$A$42,0)),""))</f>
        <v/>
      </c>
      <c r="E509" s="40" t="str">
        <f aca="false">IF($C509="","",INDEX(Planos!$C$3:$C$27,22))</f>
        <v/>
      </c>
      <c r="F509" s="40" t="str">
        <f aca="false">IF($C509="","",INDEX(Planos!$D$3:$D$27,22))</f>
        <v/>
      </c>
      <c r="G509" s="41" t="n">
        <f aca="false">IF($C509="",0,INDEX(Planos!$F$3:$F$27,22)+(3-1)*INDEX(Planos!$E$3:$E$27,22))</f>
        <v>0</v>
      </c>
      <c r="H509" s="40" t="str">
        <f aca="false">IF($C509="","",INDEX(Planos!$H$3:$H$27,22))</f>
        <v/>
      </c>
      <c r="I509" s="41" t="str">
        <f aca="false">IF($C509="","",IF(INDEX(Planos!$J$3:$AG$27,$A509,$B509)=0,"",INDEX(Planos!$J$3:$AG$27,$A509,$B509)))</f>
        <v/>
      </c>
      <c r="J509" s="26" t="str">
        <f aca="false">IF($C509="","",IF($I509&lt;&gt;"","Realizada",IF($G509&lt;INT(Parâmetros!$C$4),"Atrasada","Agendada")))</f>
        <v/>
      </c>
      <c r="K509" s="42" t="str">
        <f aca="false">IF($C509="","",IF($I509&lt;&gt;"",$I509-$G509,IF($J509="Atrasada",INT(Parâmetros!$C$4)-$G509,"")))</f>
        <v/>
      </c>
      <c r="L509" s="26" t="str">
        <f aca="false">IF($J509&lt;&gt;"Realizada","",IF($K509&lt;=0,"No prazo",IF($K509&lt;=7,"Até 7 dias",IF($K509&lt;=30,"Até 30 dias","Acima de 30"))))</f>
        <v/>
      </c>
      <c r="M509" s="26" t="str">
        <f aca="false">IF($C509="","",COUNTIFS($G$3:$G509,$G509))</f>
        <v/>
      </c>
      <c r="N509" s="26" t="str">
        <f aca="false">IF($C509="","",$G509&amp;"|"&amp;$M509)</f>
        <v/>
      </c>
    </row>
    <row r="510" customFormat="false" ht="18" hidden="false" customHeight="true" outlineLevel="0" collapsed="false">
      <c r="A510" s="26" t="n">
        <v>22</v>
      </c>
      <c r="B510" s="26" t="n">
        <v>4</v>
      </c>
      <c r="C510" s="26" t="str">
        <f aca="false">IF(INDEX(Planos!$B$3:$B$27,22)="","",IF(4&gt;INDEX(Planos!$G$3:$G$27,22),"",INDEX(Planos!$B$3:$B$27,22)))</f>
        <v/>
      </c>
      <c r="D510" s="40" t="str">
        <f aca="false">IF($C510="","",IFERROR(INDEX(Ativos!$B$3:$B$42,MATCH($C510,Ativos!$A$3:$A$42,0)),""))</f>
        <v/>
      </c>
      <c r="E510" s="40" t="str">
        <f aca="false">IF($C510="","",INDEX(Planos!$C$3:$C$27,22))</f>
        <v/>
      </c>
      <c r="F510" s="40" t="str">
        <f aca="false">IF($C510="","",INDEX(Planos!$D$3:$D$27,22))</f>
        <v/>
      </c>
      <c r="G510" s="41" t="n">
        <f aca="false">IF($C510="",0,INDEX(Planos!$F$3:$F$27,22)+(4-1)*INDEX(Planos!$E$3:$E$27,22))</f>
        <v>0</v>
      </c>
      <c r="H510" s="40" t="str">
        <f aca="false">IF($C510="","",INDEX(Planos!$H$3:$H$27,22))</f>
        <v/>
      </c>
      <c r="I510" s="41" t="str">
        <f aca="false">IF($C510="","",IF(INDEX(Planos!$J$3:$AG$27,$A510,$B510)=0,"",INDEX(Planos!$J$3:$AG$27,$A510,$B510)))</f>
        <v/>
      </c>
      <c r="J510" s="26" t="str">
        <f aca="false">IF($C510="","",IF($I510&lt;&gt;"","Realizada",IF($G510&lt;INT(Parâmetros!$C$4),"Atrasada","Agendada")))</f>
        <v/>
      </c>
      <c r="K510" s="42" t="str">
        <f aca="false">IF($C510="","",IF($I510&lt;&gt;"",$I510-$G510,IF($J510="Atrasada",INT(Parâmetros!$C$4)-$G510,"")))</f>
        <v/>
      </c>
      <c r="L510" s="26" t="str">
        <f aca="false">IF($J510&lt;&gt;"Realizada","",IF($K510&lt;=0,"No prazo",IF($K510&lt;=7,"Até 7 dias",IF($K510&lt;=30,"Até 30 dias","Acima de 30"))))</f>
        <v/>
      </c>
      <c r="M510" s="26" t="str">
        <f aca="false">IF($C510="","",COUNTIFS($G$3:$G510,$G510))</f>
        <v/>
      </c>
      <c r="N510" s="26" t="str">
        <f aca="false">IF($C510="","",$G510&amp;"|"&amp;$M510)</f>
        <v/>
      </c>
    </row>
    <row r="511" customFormat="false" ht="18" hidden="false" customHeight="true" outlineLevel="0" collapsed="false">
      <c r="A511" s="26" t="n">
        <v>22</v>
      </c>
      <c r="B511" s="26" t="n">
        <v>5</v>
      </c>
      <c r="C511" s="26" t="str">
        <f aca="false">IF(INDEX(Planos!$B$3:$B$27,22)="","",IF(5&gt;INDEX(Planos!$G$3:$G$27,22),"",INDEX(Planos!$B$3:$B$27,22)))</f>
        <v/>
      </c>
      <c r="D511" s="40" t="str">
        <f aca="false">IF($C511="","",IFERROR(INDEX(Ativos!$B$3:$B$42,MATCH($C511,Ativos!$A$3:$A$42,0)),""))</f>
        <v/>
      </c>
      <c r="E511" s="40" t="str">
        <f aca="false">IF($C511="","",INDEX(Planos!$C$3:$C$27,22))</f>
        <v/>
      </c>
      <c r="F511" s="40" t="str">
        <f aca="false">IF($C511="","",INDEX(Planos!$D$3:$D$27,22))</f>
        <v/>
      </c>
      <c r="G511" s="41" t="n">
        <f aca="false">IF($C511="",0,INDEX(Planos!$F$3:$F$27,22)+(5-1)*INDEX(Planos!$E$3:$E$27,22))</f>
        <v>0</v>
      </c>
      <c r="H511" s="40" t="str">
        <f aca="false">IF($C511="","",INDEX(Planos!$H$3:$H$27,22))</f>
        <v/>
      </c>
      <c r="I511" s="41" t="str">
        <f aca="false">IF($C511="","",IF(INDEX(Planos!$J$3:$AG$27,$A511,$B511)=0,"",INDEX(Planos!$J$3:$AG$27,$A511,$B511)))</f>
        <v/>
      </c>
      <c r="J511" s="26" t="str">
        <f aca="false">IF($C511="","",IF($I511&lt;&gt;"","Realizada",IF($G511&lt;INT(Parâmetros!$C$4),"Atrasada","Agendada")))</f>
        <v/>
      </c>
      <c r="K511" s="42" t="str">
        <f aca="false">IF($C511="","",IF($I511&lt;&gt;"",$I511-$G511,IF($J511="Atrasada",INT(Parâmetros!$C$4)-$G511,"")))</f>
        <v/>
      </c>
      <c r="L511" s="26" t="str">
        <f aca="false">IF($J511&lt;&gt;"Realizada","",IF($K511&lt;=0,"No prazo",IF($K511&lt;=7,"Até 7 dias",IF($K511&lt;=30,"Até 30 dias","Acima de 30"))))</f>
        <v/>
      </c>
      <c r="M511" s="26" t="str">
        <f aca="false">IF($C511="","",COUNTIFS($G$3:$G511,$G511))</f>
        <v/>
      </c>
      <c r="N511" s="26" t="str">
        <f aca="false">IF($C511="","",$G511&amp;"|"&amp;$M511)</f>
        <v/>
      </c>
    </row>
    <row r="512" customFormat="false" ht="18" hidden="false" customHeight="true" outlineLevel="0" collapsed="false">
      <c r="A512" s="26" t="n">
        <v>22</v>
      </c>
      <c r="B512" s="26" t="n">
        <v>6</v>
      </c>
      <c r="C512" s="26" t="str">
        <f aca="false">IF(INDEX(Planos!$B$3:$B$27,22)="","",IF(6&gt;INDEX(Planos!$G$3:$G$27,22),"",INDEX(Planos!$B$3:$B$27,22)))</f>
        <v/>
      </c>
      <c r="D512" s="40" t="str">
        <f aca="false">IF($C512="","",IFERROR(INDEX(Ativos!$B$3:$B$42,MATCH($C512,Ativos!$A$3:$A$42,0)),""))</f>
        <v/>
      </c>
      <c r="E512" s="40" t="str">
        <f aca="false">IF($C512="","",INDEX(Planos!$C$3:$C$27,22))</f>
        <v/>
      </c>
      <c r="F512" s="40" t="str">
        <f aca="false">IF($C512="","",INDEX(Planos!$D$3:$D$27,22))</f>
        <v/>
      </c>
      <c r="G512" s="41" t="n">
        <f aca="false">IF($C512="",0,INDEX(Planos!$F$3:$F$27,22)+(6-1)*INDEX(Planos!$E$3:$E$27,22))</f>
        <v>0</v>
      </c>
      <c r="H512" s="40" t="str">
        <f aca="false">IF($C512="","",INDEX(Planos!$H$3:$H$27,22))</f>
        <v/>
      </c>
      <c r="I512" s="41" t="str">
        <f aca="false">IF($C512="","",IF(INDEX(Planos!$J$3:$AG$27,$A512,$B512)=0,"",INDEX(Planos!$J$3:$AG$27,$A512,$B512)))</f>
        <v/>
      </c>
      <c r="J512" s="26" t="str">
        <f aca="false">IF($C512="","",IF($I512&lt;&gt;"","Realizada",IF($G512&lt;INT(Parâmetros!$C$4),"Atrasada","Agendada")))</f>
        <v/>
      </c>
      <c r="K512" s="42" t="str">
        <f aca="false">IF($C512="","",IF($I512&lt;&gt;"",$I512-$G512,IF($J512="Atrasada",INT(Parâmetros!$C$4)-$G512,"")))</f>
        <v/>
      </c>
      <c r="L512" s="26" t="str">
        <f aca="false">IF($J512&lt;&gt;"Realizada","",IF($K512&lt;=0,"No prazo",IF($K512&lt;=7,"Até 7 dias",IF($K512&lt;=30,"Até 30 dias","Acima de 30"))))</f>
        <v/>
      </c>
      <c r="M512" s="26" t="str">
        <f aca="false">IF($C512="","",COUNTIFS($G$3:$G512,$G512))</f>
        <v/>
      </c>
      <c r="N512" s="26" t="str">
        <f aca="false">IF($C512="","",$G512&amp;"|"&amp;$M512)</f>
        <v/>
      </c>
    </row>
    <row r="513" customFormat="false" ht="18" hidden="false" customHeight="true" outlineLevel="0" collapsed="false">
      <c r="A513" s="26" t="n">
        <v>22</v>
      </c>
      <c r="B513" s="26" t="n">
        <v>7</v>
      </c>
      <c r="C513" s="26" t="str">
        <f aca="false">IF(INDEX(Planos!$B$3:$B$27,22)="","",IF(7&gt;INDEX(Planos!$G$3:$G$27,22),"",INDEX(Planos!$B$3:$B$27,22)))</f>
        <v/>
      </c>
      <c r="D513" s="40" t="str">
        <f aca="false">IF($C513="","",IFERROR(INDEX(Ativos!$B$3:$B$42,MATCH($C513,Ativos!$A$3:$A$42,0)),""))</f>
        <v/>
      </c>
      <c r="E513" s="40" t="str">
        <f aca="false">IF($C513="","",INDEX(Planos!$C$3:$C$27,22))</f>
        <v/>
      </c>
      <c r="F513" s="40" t="str">
        <f aca="false">IF($C513="","",INDEX(Planos!$D$3:$D$27,22))</f>
        <v/>
      </c>
      <c r="G513" s="41" t="n">
        <f aca="false">IF($C513="",0,INDEX(Planos!$F$3:$F$27,22)+(7-1)*INDEX(Planos!$E$3:$E$27,22))</f>
        <v>0</v>
      </c>
      <c r="H513" s="40" t="str">
        <f aca="false">IF($C513="","",INDEX(Planos!$H$3:$H$27,22))</f>
        <v/>
      </c>
      <c r="I513" s="41" t="str">
        <f aca="false">IF($C513="","",IF(INDEX(Planos!$J$3:$AG$27,$A513,$B513)=0,"",INDEX(Planos!$J$3:$AG$27,$A513,$B513)))</f>
        <v/>
      </c>
      <c r="J513" s="26" t="str">
        <f aca="false">IF($C513="","",IF($I513&lt;&gt;"","Realizada",IF($G513&lt;INT(Parâmetros!$C$4),"Atrasada","Agendada")))</f>
        <v/>
      </c>
      <c r="K513" s="42" t="str">
        <f aca="false">IF($C513="","",IF($I513&lt;&gt;"",$I513-$G513,IF($J513="Atrasada",INT(Parâmetros!$C$4)-$G513,"")))</f>
        <v/>
      </c>
      <c r="L513" s="26" t="str">
        <f aca="false">IF($J513&lt;&gt;"Realizada","",IF($K513&lt;=0,"No prazo",IF($K513&lt;=7,"Até 7 dias",IF($K513&lt;=30,"Até 30 dias","Acima de 30"))))</f>
        <v/>
      </c>
      <c r="M513" s="26" t="str">
        <f aca="false">IF($C513="","",COUNTIFS($G$3:$G513,$G513))</f>
        <v/>
      </c>
      <c r="N513" s="26" t="str">
        <f aca="false">IF($C513="","",$G513&amp;"|"&amp;$M513)</f>
        <v/>
      </c>
    </row>
    <row r="514" customFormat="false" ht="18" hidden="false" customHeight="true" outlineLevel="0" collapsed="false">
      <c r="A514" s="26" t="n">
        <v>22</v>
      </c>
      <c r="B514" s="26" t="n">
        <v>8</v>
      </c>
      <c r="C514" s="26" t="str">
        <f aca="false">IF(INDEX(Planos!$B$3:$B$27,22)="","",IF(8&gt;INDEX(Planos!$G$3:$G$27,22),"",INDEX(Planos!$B$3:$B$27,22)))</f>
        <v/>
      </c>
      <c r="D514" s="40" t="str">
        <f aca="false">IF($C514="","",IFERROR(INDEX(Ativos!$B$3:$B$42,MATCH($C514,Ativos!$A$3:$A$42,0)),""))</f>
        <v/>
      </c>
      <c r="E514" s="40" t="str">
        <f aca="false">IF($C514="","",INDEX(Planos!$C$3:$C$27,22))</f>
        <v/>
      </c>
      <c r="F514" s="40" t="str">
        <f aca="false">IF($C514="","",INDEX(Planos!$D$3:$D$27,22))</f>
        <v/>
      </c>
      <c r="G514" s="41" t="n">
        <f aca="false">IF($C514="",0,INDEX(Planos!$F$3:$F$27,22)+(8-1)*INDEX(Planos!$E$3:$E$27,22))</f>
        <v>0</v>
      </c>
      <c r="H514" s="40" t="str">
        <f aca="false">IF($C514="","",INDEX(Planos!$H$3:$H$27,22))</f>
        <v/>
      </c>
      <c r="I514" s="41" t="str">
        <f aca="false">IF($C514="","",IF(INDEX(Planos!$J$3:$AG$27,$A514,$B514)=0,"",INDEX(Planos!$J$3:$AG$27,$A514,$B514)))</f>
        <v/>
      </c>
      <c r="J514" s="26" t="str">
        <f aca="false">IF($C514="","",IF($I514&lt;&gt;"","Realizada",IF($G514&lt;INT(Parâmetros!$C$4),"Atrasada","Agendada")))</f>
        <v/>
      </c>
      <c r="K514" s="42" t="str">
        <f aca="false">IF($C514="","",IF($I514&lt;&gt;"",$I514-$G514,IF($J514="Atrasada",INT(Parâmetros!$C$4)-$G514,"")))</f>
        <v/>
      </c>
      <c r="L514" s="26" t="str">
        <f aca="false">IF($J514&lt;&gt;"Realizada","",IF($K514&lt;=0,"No prazo",IF($K514&lt;=7,"Até 7 dias",IF($K514&lt;=30,"Até 30 dias","Acima de 30"))))</f>
        <v/>
      </c>
      <c r="M514" s="26" t="str">
        <f aca="false">IF($C514="","",COUNTIFS($G$3:$G514,$G514))</f>
        <v/>
      </c>
      <c r="N514" s="26" t="str">
        <f aca="false">IF($C514="","",$G514&amp;"|"&amp;$M514)</f>
        <v/>
      </c>
    </row>
    <row r="515" customFormat="false" ht="18" hidden="false" customHeight="true" outlineLevel="0" collapsed="false">
      <c r="A515" s="26" t="n">
        <v>22</v>
      </c>
      <c r="B515" s="26" t="n">
        <v>9</v>
      </c>
      <c r="C515" s="26" t="str">
        <f aca="false">IF(INDEX(Planos!$B$3:$B$27,22)="","",IF(9&gt;INDEX(Planos!$G$3:$G$27,22),"",INDEX(Planos!$B$3:$B$27,22)))</f>
        <v/>
      </c>
      <c r="D515" s="40" t="str">
        <f aca="false">IF($C515="","",IFERROR(INDEX(Ativos!$B$3:$B$42,MATCH($C515,Ativos!$A$3:$A$42,0)),""))</f>
        <v/>
      </c>
      <c r="E515" s="40" t="str">
        <f aca="false">IF($C515="","",INDEX(Planos!$C$3:$C$27,22))</f>
        <v/>
      </c>
      <c r="F515" s="40" t="str">
        <f aca="false">IF($C515="","",INDEX(Planos!$D$3:$D$27,22))</f>
        <v/>
      </c>
      <c r="G515" s="41" t="n">
        <f aca="false">IF($C515="",0,INDEX(Planos!$F$3:$F$27,22)+(9-1)*INDEX(Planos!$E$3:$E$27,22))</f>
        <v>0</v>
      </c>
      <c r="H515" s="40" t="str">
        <f aca="false">IF($C515="","",INDEX(Planos!$H$3:$H$27,22))</f>
        <v/>
      </c>
      <c r="I515" s="41" t="str">
        <f aca="false">IF($C515="","",IF(INDEX(Planos!$J$3:$AG$27,$A515,$B515)=0,"",INDEX(Planos!$J$3:$AG$27,$A515,$B515)))</f>
        <v/>
      </c>
      <c r="J515" s="26" t="str">
        <f aca="false">IF($C515="","",IF($I515&lt;&gt;"","Realizada",IF($G515&lt;INT(Parâmetros!$C$4),"Atrasada","Agendada")))</f>
        <v/>
      </c>
      <c r="K515" s="42" t="str">
        <f aca="false">IF($C515="","",IF($I515&lt;&gt;"",$I515-$G515,IF($J515="Atrasada",INT(Parâmetros!$C$4)-$G515,"")))</f>
        <v/>
      </c>
      <c r="L515" s="26" t="str">
        <f aca="false">IF($J515&lt;&gt;"Realizada","",IF($K515&lt;=0,"No prazo",IF($K515&lt;=7,"Até 7 dias",IF($K515&lt;=30,"Até 30 dias","Acima de 30"))))</f>
        <v/>
      </c>
      <c r="M515" s="26" t="str">
        <f aca="false">IF($C515="","",COUNTIFS($G$3:$G515,$G515))</f>
        <v/>
      </c>
      <c r="N515" s="26" t="str">
        <f aca="false">IF($C515="","",$G515&amp;"|"&amp;$M515)</f>
        <v/>
      </c>
    </row>
    <row r="516" customFormat="false" ht="18" hidden="false" customHeight="true" outlineLevel="0" collapsed="false">
      <c r="A516" s="26" t="n">
        <v>22</v>
      </c>
      <c r="B516" s="26" t="n">
        <v>10</v>
      </c>
      <c r="C516" s="26" t="str">
        <f aca="false">IF(INDEX(Planos!$B$3:$B$27,22)="","",IF(10&gt;INDEX(Planos!$G$3:$G$27,22),"",INDEX(Planos!$B$3:$B$27,22)))</f>
        <v/>
      </c>
      <c r="D516" s="40" t="str">
        <f aca="false">IF($C516="","",IFERROR(INDEX(Ativos!$B$3:$B$42,MATCH($C516,Ativos!$A$3:$A$42,0)),""))</f>
        <v/>
      </c>
      <c r="E516" s="40" t="str">
        <f aca="false">IF($C516="","",INDEX(Planos!$C$3:$C$27,22))</f>
        <v/>
      </c>
      <c r="F516" s="40" t="str">
        <f aca="false">IF($C516="","",INDEX(Planos!$D$3:$D$27,22))</f>
        <v/>
      </c>
      <c r="G516" s="41" t="n">
        <f aca="false">IF($C516="",0,INDEX(Planos!$F$3:$F$27,22)+(10-1)*INDEX(Planos!$E$3:$E$27,22))</f>
        <v>0</v>
      </c>
      <c r="H516" s="40" t="str">
        <f aca="false">IF($C516="","",INDEX(Planos!$H$3:$H$27,22))</f>
        <v/>
      </c>
      <c r="I516" s="41" t="str">
        <f aca="false">IF($C516="","",IF(INDEX(Planos!$J$3:$AG$27,$A516,$B516)=0,"",INDEX(Planos!$J$3:$AG$27,$A516,$B516)))</f>
        <v/>
      </c>
      <c r="J516" s="26" t="str">
        <f aca="false">IF($C516="","",IF($I516&lt;&gt;"","Realizada",IF($G516&lt;INT(Parâmetros!$C$4),"Atrasada","Agendada")))</f>
        <v/>
      </c>
      <c r="K516" s="42" t="str">
        <f aca="false">IF($C516="","",IF($I516&lt;&gt;"",$I516-$G516,IF($J516="Atrasada",INT(Parâmetros!$C$4)-$G516,"")))</f>
        <v/>
      </c>
      <c r="L516" s="26" t="str">
        <f aca="false">IF($J516&lt;&gt;"Realizada","",IF($K516&lt;=0,"No prazo",IF($K516&lt;=7,"Até 7 dias",IF($K516&lt;=30,"Até 30 dias","Acima de 30"))))</f>
        <v/>
      </c>
      <c r="M516" s="26" t="str">
        <f aca="false">IF($C516="","",COUNTIFS($G$3:$G516,$G516))</f>
        <v/>
      </c>
      <c r="N516" s="26" t="str">
        <f aca="false">IF($C516="","",$G516&amp;"|"&amp;$M516)</f>
        <v/>
      </c>
    </row>
    <row r="517" customFormat="false" ht="18" hidden="false" customHeight="true" outlineLevel="0" collapsed="false">
      <c r="A517" s="26" t="n">
        <v>22</v>
      </c>
      <c r="B517" s="26" t="n">
        <v>11</v>
      </c>
      <c r="C517" s="26" t="str">
        <f aca="false">IF(INDEX(Planos!$B$3:$B$27,22)="","",IF(11&gt;INDEX(Planos!$G$3:$G$27,22),"",INDEX(Planos!$B$3:$B$27,22)))</f>
        <v/>
      </c>
      <c r="D517" s="40" t="str">
        <f aca="false">IF($C517="","",IFERROR(INDEX(Ativos!$B$3:$B$42,MATCH($C517,Ativos!$A$3:$A$42,0)),""))</f>
        <v/>
      </c>
      <c r="E517" s="40" t="str">
        <f aca="false">IF($C517="","",INDEX(Planos!$C$3:$C$27,22))</f>
        <v/>
      </c>
      <c r="F517" s="40" t="str">
        <f aca="false">IF($C517="","",INDEX(Planos!$D$3:$D$27,22))</f>
        <v/>
      </c>
      <c r="G517" s="41" t="n">
        <f aca="false">IF($C517="",0,INDEX(Planos!$F$3:$F$27,22)+(11-1)*INDEX(Planos!$E$3:$E$27,22))</f>
        <v>0</v>
      </c>
      <c r="H517" s="40" t="str">
        <f aca="false">IF($C517="","",INDEX(Planos!$H$3:$H$27,22))</f>
        <v/>
      </c>
      <c r="I517" s="41" t="str">
        <f aca="false">IF($C517="","",IF(INDEX(Planos!$J$3:$AG$27,$A517,$B517)=0,"",INDEX(Planos!$J$3:$AG$27,$A517,$B517)))</f>
        <v/>
      </c>
      <c r="J517" s="26" t="str">
        <f aca="false">IF($C517="","",IF($I517&lt;&gt;"","Realizada",IF($G517&lt;INT(Parâmetros!$C$4),"Atrasada","Agendada")))</f>
        <v/>
      </c>
      <c r="K517" s="42" t="str">
        <f aca="false">IF($C517="","",IF($I517&lt;&gt;"",$I517-$G517,IF($J517="Atrasada",INT(Parâmetros!$C$4)-$G517,"")))</f>
        <v/>
      </c>
      <c r="L517" s="26" t="str">
        <f aca="false">IF($J517&lt;&gt;"Realizada","",IF($K517&lt;=0,"No prazo",IF($K517&lt;=7,"Até 7 dias",IF($K517&lt;=30,"Até 30 dias","Acima de 30"))))</f>
        <v/>
      </c>
      <c r="M517" s="26" t="str">
        <f aca="false">IF($C517="","",COUNTIFS($G$3:$G517,$G517))</f>
        <v/>
      </c>
      <c r="N517" s="26" t="str">
        <f aca="false">IF($C517="","",$G517&amp;"|"&amp;$M517)</f>
        <v/>
      </c>
    </row>
    <row r="518" customFormat="false" ht="18" hidden="false" customHeight="true" outlineLevel="0" collapsed="false">
      <c r="A518" s="26" t="n">
        <v>22</v>
      </c>
      <c r="B518" s="26" t="n">
        <v>12</v>
      </c>
      <c r="C518" s="26" t="str">
        <f aca="false">IF(INDEX(Planos!$B$3:$B$27,22)="","",IF(12&gt;INDEX(Planos!$G$3:$G$27,22),"",INDEX(Planos!$B$3:$B$27,22)))</f>
        <v/>
      </c>
      <c r="D518" s="40" t="str">
        <f aca="false">IF($C518="","",IFERROR(INDEX(Ativos!$B$3:$B$42,MATCH($C518,Ativos!$A$3:$A$42,0)),""))</f>
        <v/>
      </c>
      <c r="E518" s="40" t="str">
        <f aca="false">IF($C518="","",INDEX(Planos!$C$3:$C$27,22))</f>
        <v/>
      </c>
      <c r="F518" s="40" t="str">
        <f aca="false">IF($C518="","",INDEX(Planos!$D$3:$D$27,22))</f>
        <v/>
      </c>
      <c r="G518" s="41" t="n">
        <f aca="false">IF($C518="",0,INDEX(Planos!$F$3:$F$27,22)+(12-1)*INDEX(Planos!$E$3:$E$27,22))</f>
        <v>0</v>
      </c>
      <c r="H518" s="40" t="str">
        <f aca="false">IF($C518="","",INDEX(Planos!$H$3:$H$27,22))</f>
        <v/>
      </c>
      <c r="I518" s="41" t="str">
        <f aca="false">IF($C518="","",IF(INDEX(Planos!$J$3:$AG$27,$A518,$B518)=0,"",INDEX(Planos!$J$3:$AG$27,$A518,$B518)))</f>
        <v/>
      </c>
      <c r="J518" s="26" t="str">
        <f aca="false">IF($C518="","",IF($I518&lt;&gt;"","Realizada",IF($G518&lt;INT(Parâmetros!$C$4),"Atrasada","Agendada")))</f>
        <v/>
      </c>
      <c r="K518" s="42" t="str">
        <f aca="false">IF($C518="","",IF($I518&lt;&gt;"",$I518-$G518,IF($J518="Atrasada",INT(Parâmetros!$C$4)-$G518,"")))</f>
        <v/>
      </c>
      <c r="L518" s="26" t="str">
        <f aca="false">IF($J518&lt;&gt;"Realizada","",IF($K518&lt;=0,"No prazo",IF($K518&lt;=7,"Até 7 dias",IF($K518&lt;=30,"Até 30 dias","Acima de 30"))))</f>
        <v/>
      </c>
      <c r="M518" s="26" t="str">
        <f aca="false">IF($C518="","",COUNTIFS($G$3:$G518,$G518))</f>
        <v/>
      </c>
      <c r="N518" s="26" t="str">
        <f aca="false">IF($C518="","",$G518&amp;"|"&amp;$M518)</f>
        <v/>
      </c>
    </row>
    <row r="519" customFormat="false" ht="18" hidden="false" customHeight="true" outlineLevel="0" collapsed="false">
      <c r="A519" s="26" t="n">
        <v>22</v>
      </c>
      <c r="B519" s="26" t="n">
        <v>13</v>
      </c>
      <c r="C519" s="26" t="str">
        <f aca="false">IF(INDEX(Planos!$B$3:$B$27,22)="","",IF(13&gt;INDEX(Planos!$G$3:$G$27,22),"",INDEX(Planos!$B$3:$B$27,22)))</f>
        <v/>
      </c>
      <c r="D519" s="40" t="str">
        <f aca="false">IF($C519="","",IFERROR(INDEX(Ativos!$B$3:$B$42,MATCH($C519,Ativos!$A$3:$A$42,0)),""))</f>
        <v/>
      </c>
      <c r="E519" s="40" t="str">
        <f aca="false">IF($C519="","",INDEX(Planos!$C$3:$C$27,22))</f>
        <v/>
      </c>
      <c r="F519" s="40" t="str">
        <f aca="false">IF($C519="","",INDEX(Planos!$D$3:$D$27,22))</f>
        <v/>
      </c>
      <c r="G519" s="41" t="n">
        <f aca="false">IF($C519="",0,INDEX(Planos!$F$3:$F$27,22)+(13-1)*INDEX(Planos!$E$3:$E$27,22))</f>
        <v>0</v>
      </c>
      <c r="H519" s="40" t="str">
        <f aca="false">IF($C519="","",INDEX(Planos!$H$3:$H$27,22))</f>
        <v/>
      </c>
      <c r="I519" s="41" t="str">
        <f aca="false">IF($C519="","",IF(INDEX(Planos!$J$3:$AG$27,$A519,$B519)=0,"",INDEX(Planos!$J$3:$AG$27,$A519,$B519)))</f>
        <v/>
      </c>
      <c r="J519" s="26" t="str">
        <f aca="false">IF($C519="","",IF($I519&lt;&gt;"","Realizada",IF($G519&lt;INT(Parâmetros!$C$4),"Atrasada","Agendada")))</f>
        <v/>
      </c>
      <c r="K519" s="42" t="str">
        <f aca="false">IF($C519="","",IF($I519&lt;&gt;"",$I519-$G519,IF($J519="Atrasada",INT(Parâmetros!$C$4)-$G519,"")))</f>
        <v/>
      </c>
      <c r="L519" s="26" t="str">
        <f aca="false">IF($J519&lt;&gt;"Realizada","",IF($K519&lt;=0,"No prazo",IF($K519&lt;=7,"Até 7 dias",IF($K519&lt;=30,"Até 30 dias","Acima de 30"))))</f>
        <v/>
      </c>
      <c r="M519" s="26" t="str">
        <f aca="false">IF($C519="","",COUNTIFS($G$3:$G519,$G519))</f>
        <v/>
      </c>
      <c r="N519" s="26" t="str">
        <f aca="false">IF($C519="","",$G519&amp;"|"&amp;$M519)</f>
        <v/>
      </c>
    </row>
    <row r="520" customFormat="false" ht="18" hidden="false" customHeight="true" outlineLevel="0" collapsed="false">
      <c r="A520" s="26" t="n">
        <v>22</v>
      </c>
      <c r="B520" s="26" t="n">
        <v>14</v>
      </c>
      <c r="C520" s="26" t="str">
        <f aca="false">IF(INDEX(Planos!$B$3:$B$27,22)="","",IF(14&gt;INDEX(Planos!$G$3:$G$27,22),"",INDEX(Planos!$B$3:$B$27,22)))</f>
        <v/>
      </c>
      <c r="D520" s="40" t="str">
        <f aca="false">IF($C520="","",IFERROR(INDEX(Ativos!$B$3:$B$42,MATCH($C520,Ativos!$A$3:$A$42,0)),""))</f>
        <v/>
      </c>
      <c r="E520" s="40" t="str">
        <f aca="false">IF($C520="","",INDEX(Planos!$C$3:$C$27,22))</f>
        <v/>
      </c>
      <c r="F520" s="40" t="str">
        <f aca="false">IF($C520="","",INDEX(Planos!$D$3:$D$27,22))</f>
        <v/>
      </c>
      <c r="G520" s="41" t="n">
        <f aca="false">IF($C520="",0,INDEX(Planos!$F$3:$F$27,22)+(14-1)*INDEX(Planos!$E$3:$E$27,22))</f>
        <v>0</v>
      </c>
      <c r="H520" s="40" t="str">
        <f aca="false">IF($C520="","",INDEX(Planos!$H$3:$H$27,22))</f>
        <v/>
      </c>
      <c r="I520" s="41" t="str">
        <f aca="false">IF($C520="","",IF(INDEX(Planos!$J$3:$AG$27,$A520,$B520)=0,"",INDEX(Planos!$J$3:$AG$27,$A520,$B520)))</f>
        <v/>
      </c>
      <c r="J520" s="26" t="str">
        <f aca="false">IF($C520="","",IF($I520&lt;&gt;"","Realizada",IF($G520&lt;INT(Parâmetros!$C$4),"Atrasada","Agendada")))</f>
        <v/>
      </c>
      <c r="K520" s="42" t="str">
        <f aca="false">IF($C520="","",IF($I520&lt;&gt;"",$I520-$G520,IF($J520="Atrasada",INT(Parâmetros!$C$4)-$G520,"")))</f>
        <v/>
      </c>
      <c r="L520" s="26" t="str">
        <f aca="false">IF($J520&lt;&gt;"Realizada","",IF($K520&lt;=0,"No prazo",IF($K520&lt;=7,"Até 7 dias",IF($K520&lt;=30,"Até 30 dias","Acima de 30"))))</f>
        <v/>
      </c>
      <c r="M520" s="26" t="str">
        <f aca="false">IF($C520="","",COUNTIFS($G$3:$G520,$G520))</f>
        <v/>
      </c>
      <c r="N520" s="26" t="str">
        <f aca="false">IF($C520="","",$G520&amp;"|"&amp;$M520)</f>
        <v/>
      </c>
    </row>
    <row r="521" customFormat="false" ht="18" hidden="false" customHeight="true" outlineLevel="0" collapsed="false">
      <c r="A521" s="26" t="n">
        <v>22</v>
      </c>
      <c r="B521" s="26" t="n">
        <v>15</v>
      </c>
      <c r="C521" s="26" t="str">
        <f aca="false">IF(INDEX(Planos!$B$3:$B$27,22)="","",IF(15&gt;INDEX(Planos!$G$3:$G$27,22),"",INDEX(Planos!$B$3:$B$27,22)))</f>
        <v/>
      </c>
      <c r="D521" s="40" t="str">
        <f aca="false">IF($C521="","",IFERROR(INDEX(Ativos!$B$3:$B$42,MATCH($C521,Ativos!$A$3:$A$42,0)),""))</f>
        <v/>
      </c>
      <c r="E521" s="40" t="str">
        <f aca="false">IF($C521="","",INDEX(Planos!$C$3:$C$27,22))</f>
        <v/>
      </c>
      <c r="F521" s="40" t="str">
        <f aca="false">IF($C521="","",INDEX(Planos!$D$3:$D$27,22))</f>
        <v/>
      </c>
      <c r="G521" s="41" t="n">
        <f aca="false">IF($C521="",0,INDEX(Planos!$F$3:$F$27,22)+(15-1)*INDEX(Planos!$E$3:$E$27,22))</f>
        <v>0</v>
      </c>
      <c r="H521" s="40" t="str">
        <f aca="false">IF($C521="","",INDEX(Planos!$H$3:$H$27,22))</f>
        <v/>
      </c>
      <c r="I521" s="41" t="str">
        <f aca="false">IF($C521="","",IF(INDEX(Planos!$J$3:$AG$27,$A521,$B521)=0,"",INDEX(Planos!$J$3:$AG$27,$A521,$B521)))</f>
        <v/>
      </c>
      <c r="J521" s="26" t="str">
        <f aca="false">IF($C521="","",IF($I521&lt;&gt;"","Realizada",IF($G521&lt;INT(Parâmetros!$C$4),"Atrasada","Agendada")))</f>
        <v/>
      </c>
      <c r="K521" s="42" t="str">
        <f aca="false">IF($C521="","",IF($I521&lt;&gt;"",$I521-$G521,IF($J521="Atrasada",INT(Parâmetros!$C$4)-$G521,"")))</f>
        <v/>
      </c>
      <c r="L521" s="26" t="str">
        <f aca="false">IF($J521&lt;&gt;"Realizada","",IF($K521&lt;=0,"No prazo",IF($K521&lt;=7,"Até 7 dias",IF($K521&lt;=30,"Até 30 dias","Acima de 30"))))</f>
        <v/>
      </c>
      <c r="M521" s="26" t="str">
        <f aca="false">IF($C521="","",COUNTIFS($G$3:$G521,$G521))</f>
        <v/>
      </c>
      <c r="N521" s="26" t="str">
        <f aca="false">IF($C521="","",$G521&amp;"|"&amp;$M521)</f>
        <v/>
      </c>
    </row>
    <row r="522" customFormat="false" ht="18" hidden="false" customHeight="true" outlineLevel="0" collapsed="false">
      <c r="A522" s="26" t="n">
        <v>22</v>
      </c>
      <c r="B522" s="26" t="n">
        <v>16</v>
      </c>
      <c r="C522" s="26" t="str">
        <f aca="false">IF(INDEX(Planos!$B$3:$B$27,22)="","",IF(16&gt;INDEX(Planos!$G$3:$G$27,22),"",INDEX(Planos!$B$3:$B$27,22)))</f>
        <v/>
      </c>
      <c r="D522" s="40" t="str">
        <f aca="false">IF($C522="","",IFERROR(INDEX(Ativos!$B$3:$B$42,MATCH($C522,Ativos!$A$3:$A$42,0)),""))</f>
        <v/>
      </c>
      <c r="E522" s="40" t="str">
        <f aca="false">IF($C522="","",INDEX(Planos!$C$3:$C$27,22))</f>
        <v/>
      </c>
      <c r="F522" s="40" t="str">
        <f aca="false">IF($C522="","",INDEX(Planos!$D$3:$D$27,22))</f>
        <v/>
      </c>
      <c r="G522" s="41" t="n">
        <f aca="false">IF($C522="",0,INDEX(Planos!$F$3:$F$27,22)+(16-1)*INDEX(Planos!$E$3:$E$27,22))</f>
        <v>0</v>
      </c>
      <c r="H522" s="40" t="str">
        <f aca="false">IF($C522="","",INDEX(Planos!$H$3:$H$27,22))</f>
        <v/>
      </c>
      <c r="I522" s="41" t="str">
        <f aca="false">IF($C522="","",IF(INDEX(Planos!$J$3:$AG$27,$A522,$B522)=0,"",INDEX(Planos!$J$3:$AG$27,$A522,$B522)))</f>
        <v/>
      </c>
      <c r="J522" s="26" t="str">
        <f aca="false">IF($C522="","",IF($I522&lt;&gt;"","Realizada",IF($G522&lt;INT(Parâmetros!$C$4),"Atrasada","Agendada")))</f>
        <v/>
      </c>
      <c r="K522" s="42" t="str">
        <f aca="false">IF($C522="","",IF($I522&lt;&gt;"",$I522-$G522,IF($J522="Atrasada",INT(Parâmetros!$C$4)-$G522,"")))</f>
        <v/>
      </c>
      <c r="L522" s="26" t="str">
        <f aca="false">IF($J522&lt;&gt;"Realizada","",IF($K522&lt;=0,"No prazo",IF($K522&lt;=7,"Até 7 dias",IF($K522&lt;=30,"Até 30 dias","Acima de 30"))))</f>
        <v/>
      </c>
      <c r="M522" s="26" t="str">
        <f aca="false">IF($C522="","",COUNTIFS($G$3:$G522,$G522))</f>
        <v/>
      </c>
      <c r="N522" s="26" t="str">
        <f aca="false">IF($C522="","",$G522&amp;"|"&amp;$M522)</f>
        <v/>
      </c>
    </row>
    <row r="523" customFormat="false" ht="18" hidden="false" customHeight="true" outlineLevel="0" collapsed="false">
      <c r="A523" s="26" t="n">
        <v>22</v>
      </c>
      <c r="B523" s="26" t="n">
        <v>17</v>
      </c>
      <c r="C523" s="26" t="str">
        <f aca="false">IF(INDEX(Planos!$B$3:$B$27,22)="","",IF(17&gt;INDEX(Planos!$G$3:$G$27,22),"",INDEX(Planos!$B$3:$B$27,22)))</f>
        <v/>
      </c>
      <c r="D523" s="40" t="str">
        <f aca="false">IF($C523="","",IFERROR(INDEX(Ativos!$B$3:$B$42,MATCH($C523,Ativos!$A$3:$A$42,0)),""))</f>
        <v/>
      </c>
      <c r="E523" s="40" t="str">
        <f aca="false">IF($C523="","",INDEX(Planos!$C$3:$C$27,22))</f>
        <v/>
      </c>
      <c r="F523" s="40" t="str">
        <f aca="false">IF($C523="","",INDEX(Planos!$D$3:$D$27,22))</f>
        <v/>
      </c>
      <c r="G523" s="41" t="n">
        <f aca="false">IF($C523="",0,INDEX(Planos!$F$3:$F$27,22)+(17-1)*INDEX(Planos!$E$3:$E$27,22))</f>
        <v>0</v>
      </c>
      <c r="H523" s="40" t="str">
        <f aca="false">IF($C523="","",INDEX(Planos!$H$3:$H$27,22))</f>
        <v/>
      </c>
      <c r="I523" s="41" t="str">
        <f aca="false">IF($C523="","",IF(INDEX(Planos!$J$3:$AG$27,$A523,$B523)=0,"",INDEX(Planos!$J$3:$AG$27,$A523,$B523)))</f>
        <v/>
      </c>
      <c r="J523" s="26" t="str">
        <f aca="false">IF($C523="","",IF($I523&lt;&gt;"","Realizada",IF($G523&lt;INT(Parâmetros!$C$4),"Atrasada","Agendada")))</f>
        <v/>
      </c>
      <c r="K523" s="42" t="str">
        <f aca="false">IF($C523="","",IF($I523&lt;&gt;"",$I523-$G523,IF($J523="Atrasada",INT(Parâmetros!$C$4)-$G523,"")))</f>
        <v/>
      </c>
      <c r="L523" s="26" t="str">
        <f aca="false">IF($J523&lt;&gt;"Realizada","",IF($K523&lt;=0,"No prazo",IF($K523&lt;=7,"Até 7 dias",IF($K523&lt;=30,"Até 30 dias","Acima de 30"))))</f>
        <v/>
      </c>
      <c r="M523" s="26" t="str">
        <f aca="false">IF($C523="","",COUNTIFS($G$3:$G523,$G523))</f>
        <v/>
      </c>
      <c r="N523" s="26" t="str">
        <f aca="false">IF($C523="","",$G523&amp;"|"&amp;$M523)</f>
        <v/>
      </c>
    </row>
    <row r="524" customFormat="false" ht="18" hidden="false" customHeight="true" outlineLevel="0" collapsed="false">
      <c r="A524" s="26" t="n">
        <v>22</v>
      </c>
      <c r="B524" s="26" t="n">
        <v>18</v>
      </c>
      <c r="C524" s="26" t="str">
        <f aca="false">IF(INDEX(Planos!$B$3:$B$27,22)="","",IF(18&gt;INDEX(Planos!$G$3:$G$27,22),"",INDEX(Planos!$B$3:$B$27,22)))</f>
        <v/>
      </c>
      <c r="D524" s="40" t="str">
        <f aca="false">IF($C524="","",IFERROR(INDEX(Ativos!$B$3:$B$42,MATCH($C524,Ativos!$A$3:$A$42,0)),""))</f>
        <v/>
      </c>
      <c r="E524" s="40" t="str">
        <f aca="false">IF($C524="","",INDEX(Planos!$C$3:$C$27,22))</f>
        <v/>
      </c>
      <c r="F524" s="40" t="str">
        <f aca="false">IF($C524="","",INDEX(Planos!$D$3:$D$27,22))</f>
        <v/>
      </c>
      <c r="G524" s="41" t="n">
        <f aca="false">IF($C524="",0,INDEX(Planos!$F$3:$F$27,22)+(18-1)*INDEX(Planos!$E$3:$E$27,22))</f>
        <v>0</v>
      </c>
      <c r="H524" s="40" t="str">
        <f aca="false">IF($C524="","",INDEX(Planos!$H$3:$H$27,22))</f>
        <v/>
      </c>
      <c r="I524" s="41" t="str">
        <f aca="false">IF($C524="","",IF(INDEX(Planos!$J$3:$AG$27,$A524,$B524)=0,"",INDEX(Planos!$J$3:$AG$27,$A524,$B524)))</f>
        <v/>
      </c>
      <c r="J524" s="26" t="str">
        <f aca="false">IF($C524="","",IF($I524&lt;&gt;"","Realizada",IF($G524&lt;INT(Parâmetros!$C$4),"Atrasada","Agendada")))</f>
        <v/>
      </c>
      <c r="K524" s="42" t="str">
        <f aca="false">IF($C524="","",IF($I524&lt;&gt;"",$I524-$G524,IF($J524="Atrasada",INT(Parâmetros!$C$4)-$G524,"")))</f>
        <v/>
      </c>
      <c r="L524" s="26" t="str">
        <f aca="false">IF($J524&lt;&gt;"Realizada","",IF($K524&lt;=0,"No prazo",IF($K524&lt;=7,"Até 7 dias",IF($K524&lt;=30,"Até 30 dias","Acima de 30"))))</f>
        <v/>
      </c>
      <c r="M524" s="26" t="str">
        <f aca="false">IF($C524="","",COUNTIFS($G$3:$G524,$G524))</f>
        <v/>
      </c>
      <c r="N524" s="26" t="str">
        <f aca="false">IF($C524="","",$G524&amp;"|"&amp;$M524)</f>
        <v/>
      </c>
    </row>
    <row r="525" customFormat="false" ht="18" hidden="false" customHeight="true" outlineLevel="0" collapsed="false">
      <c r="A525" s="26" t="n">
        <v>22</v>
      </c>
      <c r="B525" s="26" t="n">
        <v>19</v>
      </c>
      <c r="C525" s="26" t="str">
        <f aca="false">IF(INDEX(Planos!$B$3:$B$27,22)="","",IF(19&gt;INDEX(Planos!$G$3:$G$27,22),"",INDEX(Planos!$B$3:$B$27,22)))</f>
        <v/>
      </c>
      <c r="D525" s="40" t="str">
        <f aca="false">IF($C525="","",IFERROR(INDEX(Ativos!$B$3:$B$42,MATCH($C525,Ativos!$A$3:$A$42,0)),""))</f>
        <v/>
      </c>
      <c r="E525" s="40" t="str">
        <f aca="false">IF($C525="","",INDEX(Planos!$C$3:$C$27,22))</f>
        <v/>
      </c>
      <c r="F525" s="40" t="str">
        <f aca="false">IF($C525="","",INDEX(Planos!$D$3:$D$27,22))</f>
        <v/>
      </c>
      <c r="G525" s="41" t="n">
        <f aca="false">IF($C525="",0,INDEX(Planos!$F$3:$F$27,22)+(19-1)*INDEX(Planos!$E$3:$E$27,22))</f>
        <v>0</v>
      </c>
      <c r="H525" s="40" t="str">
        <f aca="false">IF($C525="","",INDEX(Planos!$H$3:$H$27,22))</f>
        <v/>
      </c>
      <c r="I525" s="41" t="str">
        <f aca="false">IF($C525="","",IF(INDEX(Planos!$J$3:$AG$27,$A525,$B525)=0,"",INDEX(Planos!$J$3:$AG$27,$A525,$B525)))</f>
        <v/>
      </c>
      <c r="J525" s="26" t="str">
        <f aca="false">IF($C525="","",IF($I525&lt;&gt;"","Realizada",IF($G525&lt;INT(Parâmetros!$C$4),"Atrasada","Agendada")))</f>
        <v/>
      </c>
      <c r="K525" s="42" t="str">
        <f aca="false">IF($C525="","",IF($I525&lt;&gt;"",$I525-$G525,IF($J525="Atrasada",INT(Parâmetros!$C$4)-$G525,"")))</f>
        <v/>
      </c>
      <c r="L525" s="26" t="str">
        <f aca="false">IF($J525&lt;&gt;"Realizada","",IF($K525&lt;=0,"No prazo",IF($K525&lt;=7,"Até 7 dias",IF($K525&lt;=30,"Até 30 dias","Acima de 30"))))</f>
        <v/>
      </c>
      <c r="M525" s="26" t="str">
        <f aca="false">IF($C525="","",COUNTIFS($G$3:$G525,$G525))</f>
        <v/>
      </c>
      <c r="N525" s="26" t="str">
        <f aca="false">IF($C525="","",$G525&amp;"|"&amp;$M525)</f>
        <v/>
      </c>
    </row>
    <row r="526" customFormat="false" ht="18" hidden="false" customHeight="true" outlineLevel="0" collapsed="false">
      <c r="A526" s="26" t="n">
        <v>22</v>
      </c>
      <c r="B526" s="26" t="n">
        <v>20</v>
      </c>
      <c r="C526" s="26" t="str">
        <f aca="false">IF(INDEX(Planos!$B$3:$B$27,22)="","",IF(20&gt;INDEX(Planos!$G$3:$G$27,22),"",INDEX(Planos!$B$3:$B$27,22)))</f>
        <v/>
      </c>
      <c r="D526" s="40" t="str">
        <f aca="false">IF($C526="","",IFERROR(INDEX(Ativos!$B$3:$B$42,MATCH($C526,Ativos!$A$3:$A$42,0)),""))</f>
        <v/>
      </c>
      <c r="E526" s="40" t="str">
        <f aca="false">IF($C526="","",INDEX(Planos!$C$3:$C$27,22))</f>
        <v/>
      </c>
      <c r="F526" s="40" t="str">
        <f aca="false">IF($C526="","",INDEX(Planos!$D$3:$D$27,22))</f>
        <v/>
      </c>
      <c r="G526" s="41" t="n">
        <f aca="false">IF($C526="",0,INDEX(Planos!$F$3:$F$27,22)+(20-1)*INDEX(Planos!$E$3:$E$27,22))</f>
        <v>0</v>
      </c>
      <c r="H526" s="40" t="str">
        <f aca="false">IF($C526="","",INDEX(Planos!$H$3:$H$27,22))</f>
        <v/>
      </c>
      <c r="I526" s="41" t="str">
        <f aca="false">IF($C526="","",IF(INDEX(Planos!$J$3:$AG$27,$A526,$B526)=0,"",INDEX(Planos!$J$3:$AG$27,$A526,$B526)))</f>
        <v/>
      </c>
      <c r="J526" s="26" t="str">
        <f aca="false">IF($C526="","",IF($I526&lt;&gt;"","Realizada",IF($G526&lt;INT(Parâmetros!$C$4),"Atrasada","Agendada")))</f>
        <v/>
      </c>
      <c r="K526" s="42" t="str">
        <f aca="false">IF($C526="","",IF($I526&lt;&gt;"",$I526-$G526,IF($J526="Atrasada",INT(Parâmetros!$C$4)-$G526,"")))</f>
        <v/>
      </c>
      <c r="L526" s="26" t="str">
        <f aca="false">IF($J526&lt;&gt;"Realizada","",IF($K526&lt;=0,"No prazo",IF($K526&lt;=7,"Até 7 dias",IF($K526&lt;=30,"Até 30 dias","Acima de 30"))))</f>
        <v/>
      </c>
      <c r="M526" s="26" t="str">
        <f aca="false">IF($C526="","",COUNTIFS($G$3:$G526,$G526))</f>
        <v/>
      </c>
      <c r="N526" s="26" t="str">
        <f aca="false">IF($C526="","",$G526&amp;"|"&amp;$M526)</f>
        <v/>
      </c>
    </row>
    <row r="527" customFormat="false" ht="18" hidden="false" customHeight="true" outlineLevel="0" collapsed="false">
      <c r="A527" s="26" t="n">
        <v>22</v>
      </c>
      <c r="B527" s="26" t="n">
        <v>21</v>
      </c>
      <c r="C527" s="26" t="str">
        <f aca="false">IF(INDEX(Planos!$B$3:$B$27,22)="","",IF(21&gt;INDEX(Planos!$G$3:$G$27,22),"",INDEX(Planos!$B$3:$B$27,22)))</f>
        <v/>
      </c>
      <c r="D527" s="40" t="str">
        <f aca="false">IF($C527="","",IFERROR(INDEX(Ativos!$B$3:$B$42,MATCH($C527,Ativos!$A$3:$A$42,0)),""))</f>
        <v/>
      </c>
      <c r="E527" s="40" t="str">
        <f aca="false">IF($C527="","",INDEX(Planos!$C$3:$C$27,22))</f>
        <v/>
      </c>
      <c r="F527" s="40" t="str">
        <f aca="false">IF($C527="","",INDEX(Planos!$D$3:$D$27,22))</f>
        <v/>
      </c>
      <c r="G527" s="41" t="n">
        <f aca="false">IF($C527="",0,INDEX(Planos!$F$3:$F$27,22)+(21-1)*INDEX(Planos!$E$3:$E$27,22))</f>
        <v>0</v>
      </c>
      <c r="H527" s="40" t="str">
        <f aca="false">IF($C527="","",INDEX(Planos!$H$3:$H$27,22))</f>
        <v/>
      </c>
      <c r="I527" s="41" t="str">
        <f aca="false">IF($C527="","",IF(INDEX(Planos!$J$3:$AG$27,$A527,$B527)=0,"",INDEX(Planos!$J$3:$AG$27,$A527,$B527)))</f>
        <v/>
      </c>
      <c r="J527" s="26" t="str">
        <f aca="false">IF($C527="","",IF($I527&lt;&gt;"","Realizada",IF($G527&lt;INT(Parâmetros!$C$4),"Atrasada","Agendada")))</f>
        <v/>
      </c>
      <c r="K527" s="42" t="str">
        <f aca="false">IF($C527="","",IF($I527&lt;&gt;"",$I527-$G527,IF($J527="Atrasada",INT(Parâmetros!$C$4)-$G527,"")))</f>
        <v/>
      </c>
      <c r="L527" s="26" t="str">
        <f aca="false">IF($J527&lt;&gt;"Realizada","",IF($K527&lt;=0,"No prazo",IF($K527&lt;=7,"Até 7 dias",IF($K527&lt;=30,"Até 30 dias","Acima de 30"))))</f>
        <v/>
      </c>
      <c r="M527" s="26" t="str">
        <f aca="false">IF($C527="","",COUNTIFS($G$3:$G527,$G527))</f>
        <v/>
      </c>
      <c r="N527" s="26" t="str">
        <f aca="false">IF($C527="","",$G527&amp;"|"&amp;$M527)</f>
        <v/>
      </c>
    </row>
    <row r="528" customFormat="false" ht="18" hidden="false" customHeight="true" outlineLevel="0" collapsed="false">
      <c r="A528" s="26" t="n">
        <v>22</v>
      </c>
      <c r="B528" s="26" t="n">
        <v>22</v>
      </c>
      <c r="C528" s="26" t="str">
        <f aca="false">IF(INDEX(Planos!$B$3:$B$27,22)="","",IF(22&gt;INDEX(Planos!$G$3:$G$27,22),"",INDEX(Planos!$B$3:$B$27,22)))</f>
        <v/>
      </c>
      <c r="D528" s="40" t="str">
        <f aca="false">IF($C528="","",IFERROR(INDEX(Ativos!$B$3:$B$42,MATCH($C528,Ativos!$A$3:$A$42,0)),""))</f>
        <v/>
      </c>
      <c r="E528" s="40" t="str">
        <f aca="false">IF($C528="","",INDEX(Planos!$C$3:$C$27,22))</f>
        <v/>
      </c>
      <c r="F528" s="40" t="str">
        <f aca="false">IF($C528="","",INDEX(Planos!$D$3:$D$27,22))</f>
        <v/>
      </c>
      <c r="G528" s="41" t="n">
        <f aca="false">IF($C528="",0,INDEX(Planos!$F$3:$F$27,22)+(22-1)*INDEX(Planos!$E$3:$E$27,22))</f>
        <v>0</v>
      </c>
      <c r="H528" s="40" t="str">
        <f aca="false">IF($C528="","",INDEX(Planos!$H$3:$H$27,22))</f>
        <v/>
      </c>
      <c r="I528" s="41" t="str">
        <f aca="false">IF($C528="","",IF(INDEX(Planos!$J$3:$AG$27,$A528,$B528)=0,"",INDEX(Planos!$J$3:$AG$27,$A528,$B528)))</f>
        <v/>
      </c>
      <c r="J528" s="26" t="str">
        <f aca="false">IF($C528="","",IF($I528&lt;&gt;"","Realizada",IF($G528&lt;INT(Parâmetros!$C$4),"Atrasada","Agendada")))</f>
        <v/>
      </c>
      <c r="K528" s="42" t="str">
        <f aca="false">IF($C528="","",IF($I528&lt;&gt;"",$I528-$G528,IF($J528="Atrasada",INT(Parâmetros!$C$4)-$G528,"")))</f>
        <v/>
      </c>
      <c r="L528" s="26" t="str">
        <f aca="false">IF($J528&lt;&gt;"Realizada","",IF($K528&lt;=0,"No prazo",IF($K528&lt;=7,"Até 7 dias",IF($K528&lt;=30,"Até 30 dias","Acima de 30"))))</f>
        <v/>
      </c>
      <c r="M528" s="26" t="str">
        <f aca="false">IF($C528="","",COUNTIFS($G$3:$G528,$G528))</f>
        <v/>
      </c>
      <c r="N528" s="26" t="str">
        <f aca="false">IF($C528="","",$G528&amp;"|"&amp;$M528)</f>
        <v/>
      </c>
    </row>
    <row r="529" customFormat="false" ht="18" hidden="false" customHeight="true" outlineLevel="0" collapsed="false">
      <c r="A529" s="26" t="n">
        <v>22</v>
      </c>
      <c r="B529" s="26" t="n">
        <v>23</v>
      </c>
      <c r="C529" s="26" t="str">
        <f aca="false">IF(INDEX(Planos!$B$3:$B$27,22)="","",IF(23&gt;INDEX(Planos!$G$3:$G$27,22),"",INDEX(Planos!$B$3:$B$27,22)))</f>
        <v/>
      </c>
      <c r="D529" s="40" t="str">
        <f aca="false">IF($C529="","",IFERROR(INDEX(Ativos!$B$3:$B$42,MATCH($C529,Ativos!$A$3:$A$42,0)),""))</f>
        <v/>
      </c>
      <c r="E529" s="40" t="str">
        <f aca="false">IF($C529="","",INDEX(Planos!$C$3:$C$27,22))</f>
        <v/>
      </c>
      <c r="F529" s="40" t="str">
        <f aca="false">IF($C529="","",INDEX(Planos!$D$3:$D$27,22))</f>
        <v/>
      </c>
      <c r="G529" s="41" t="n">
        <f aca="false">IF($C529="",0,INDEX(Planos!$F$3:$F$27,22)+(23-1)*INDEX(Planos!$E$3:$E$27,22))</f>
        <v>0</v>
      </c>
      <c r="H529" s="40" t="str">
        <f aca="false">IF($C529="","",INDEX(Planos!$H$3:$H$27,22))</f>
        <v/>
      </c>
      <c r="I529" s="41" t="str">
        <f aca="false">IF($C529="","",IF(INDEX(Planos!$J$3:$AG$27,$A529,$B529)=0,"",INDEX(Planos!$J$3:$AG$27,$A529,$B529)))</f>
        <v/>
      </c>
      <c r="J529" s="26" t="str">
        <f aca="false">IF($C529="","",IF($I529&lt;&gt;"","Realizada",IF($G529&lt;INT(Parâmetros!$C$4),"Atrasada","Agendada")))</f>
        <v/>
      </c>
      <c r="K529" s="42" t="str">
        <f aca="false">IF($C529="","",IF($I529&lt;&gt;"",$I529-$G529,IF($J529="Atrasada",INT(Parâmetros!$C$4)-$G529,"")))</f>
        <v/>
      </c>
      <c r="L529" s="26" t="str">
        <f aca="false">IF($J529&lt;&gt;"Realizada","",IF($K529&lt;=0,"No prazo",IF($K529&lt;=7,"Até 7 dias",IF($K529&lt;=30,"Até 30 dias","Acima de 30"))))</f>
        <v/>
      </c>
      <c r="M529" s="26" t="str">
        <f aca="false">IF($C529="","",COUNTIFS($G$3:$G529,$G529))</f>
        <v/>
      </c>
      <c r="N529" s="26" t="str">
        <f aca="false">IF($C529="","",$G529&amp;"|"&amp;$M529)</f>
        <v/>
      </c>
    </row>
    <row r="530" customFormat="false" ht="18" hidden="false" customHeight="true" outlineLevel="0" collapsed="false">
      <c r="A530" s="26" t="n">
        <v>22</v>
      </c>
      <c r="B530" s="26" t="n">
        <v>24</v>
      </c>
      <c r="C530" s="26" t="str">
        <f aca="false">IF(INDEX(Planos!$B$3:$B$27,22)="","",IF(24&gt;INDEX(Planos!$G$3:$G$27,22),"",INDEX(Planos!$B$3:$B$27,22)))</f>
        <v/>
      </c>
      <c r="D530" s="40" t="str">
        <f aca="false">IF($C530="","",IFERROR(INDEX(Ativos!$B$3:$B$42,MATCH($C530,Ativos!$A$3:$A$42,0)),""))</f>
        <v/>
      </c>
      <c r="E530" s="40" t="str">
        <f aca="false">IF($C530="","",INDEX(Planos!$C$3:$C$27,22))</f>
        <v/>
      </c>
      <c r="F530" s="40" t="str">
        <f aca="false">IF($C530="","",INDEX(Planos!$D$3:$D$27,22))</f>
        <v/>
      </c>
      <c r="G530" s="41" t="n">
        <f aca="false">IF($C530="",0,INDEX(Planos!$F$3:$F$27,22)+(24-1)*INDEX(Planos!$E$3:$E$27,22))</f>
        <v>0</v>
      </c>
      <c r="H530" s="40" t="str">
        <f aca="false">IF($C530="","",INDEX(Planos!$H$3:$H$27,22))</f>
        <v/>
      </c>
      <c r="I530" s="41" t="str">
        <f aca="false">IF($C530="","",IF(INDEX(Planos!$J$3:$AG$27,$A530,$B530)=0,"",INDEX(Planos!$J$3:$AG$27,$A530,$B530)))</f>
        <v/>
      </c>
      <c r="J530" s="26" t="str">
        <f aca="false">IF($C530="","",IF($I530&lt;&gt;"","Realizada",IF($G530&lt;INT(Parâmetros!$C$4),"Atrasada","Agendada")))</f>
        <v/>
      </c>
      <c r="K530" s="42" t="str">
        <f aca="false">IF($C530="","",IF($I530&lt;&gt;"",$I530-$G530,IF($J530="Atrasada",INT(Parâmetros!$C$4)-$G530,"")))</f>
        <v/>
      </c>
      <c r="L530" s="26" t="str">
        <f aca="false">IF($J530&lt;&gt;"Realizada","",IF($K530&lt;=0,"No prazo",IF($K530&lt;=7,"Até 7 dias",IF($K530&lt;=30,"Até 30 dias","Acima de 30"))))</f>
        <v/>
      </c>
      <c r="M530" s="26" t="str">
        <f aca="false">IF($C530="","",COUNTIFS($G$3:$G530,$G530))</f>
        <v/>
      </c>
      <c r="N530" s="26" t="str">
        <f aca="false">IF($C530="","",$G530&amp;"|"&amp;$M530)</f>
        <v/>
      </c>
    </row>
    <row r="531" customFormat="false" ht="18" hidden="false" customHeight="true" outlineLevel="0" collapsed="false">
      <c r="A531" s="26" t="n">
        <v>23</v>
      </c>
      <c r="B531" s="26" t="n">
        <v>1</v>
      </c>
      <c r="C531" s="26" t="str">
        <f aca="false">IF(INDEX(Planos!$B$3:$B$27,23)="","",IF(1&gt;INDEX(Planos!$G$3:$G$27,23),"",INDEX(Planos!$B$3:$B$27,23)))</f>
        <v/>
      </c>
      <c r="D531" s="40" t="str">
        <f aca="false">IF($C531="","",IFERROR(INDEX(Ativos!$B$3:$B$42,MATCH($C531,Ativos!$A$3:$A$42,0)),""))</f>
        <v/>
      </c>
      <c r="E531" s="40" t="str">
        <f aca="false">IF($C531="","",INDEX(Planos!$C$3:$C$27,23))</f>
        <v/>
      </c>
      <c r="F531" s="40" t="str">
        <f aca="false">IF($C531="","",INDEX(Planos!$D$3:$D$27,23))</f>
        <v/>
      </c>
      <c r="G531" s="41" t="n">
        <f aca="false">IF($C531="",0,INDEX(Planos!$F$3:$F$27,23)+(1-1)*INDEX(Planos!$E$3:$E$27,23))</f>
        <v>0</v>
      </c>
      <c r="H531" s="40" t="str">
        <f aca="false">IF($C531="","",INDEX(Planos!$H$3:$H$27,23))</f>
        <v/>
      </c>
      <c r="I531" s="41" t="str">
        <f aca="false">IF($C531="","",IF(INDEX(Planos!$J$3:$AG$27,$A531,$B531)=0,"",INDEX(Planos!$J$3:$AG$27,$A531,$B531)))</f>
        <v/>
      </c>
      <c r="J531" s="26" t="str">
        <f aca="false">IF($C531="","",IF($I531&lt;&gt;"","Realizada",IF($G531&lt;INT(Parâmetros!$C$4),"Atrasada","Agendada")))</f>
        <v/>
      </c>
      <c r="K531" s="42" t="str">
        <f aca="false">IF($C531="","",IF($I531&lt;&gt;"",$I531-$G531,IF($J531="Atrasada",INT(Parâmetros!$C$4)-$G531,"")))</f>
        <v/>
      </c>
      <c r="L531" s="26" t="str">
        <f aca="false">IF($J531&lt;&gt;"Realizada","",IF($K531&lt;=0,"No prazo",IF($K531&lt;=7,"Até 7 dias",IF($K531&lt;=30,"Até 30 dias","Acima de 30"))))</f>
        <v/>
      </c>
      <c r="M531" s="26" t="str">
        <f aca="false">IF($C531="","",COUNTIFS($G$3:$G531,$G531))</f>
        <v/>
      </c>
      <c r="N531" s="26" t="str">
        <f aca="false">IF($C531="","",$G531&amp;"|"&amp;$M531)</f>
        <v/>
      </c>
    </row>
    <row r="532" customFormat="false" ht="18" hidden="false" customHeight="true" outlineLevel="0" collapsed="false">
      <c r="A532" s="26" t="n">
        <v>23</v>
      </c>
      <c r="B532" s="26" t="n">
        <v>2</v>
      </c>
      <c r="C532" s="26" t="str">
        <f aca="false">IF(INDEX(Planos!$B$3:$B$27,23)="","",IF(2&gt;INDEX(Planos!$G$3:$G$27,23),"",INDEX(Planos!$B$3:$B$27,23)))</f>
        <v/>
      </c>
      <c r="D532" s="40" t="str">
        <f aca="false">IF($C532="","",IFERROR(INDEX(Ativos!$B$3:$B$42,MATCH($C532,Ativos!$A$3:$A$42,0)),""))</f>
        <v/>
      </c>
      <c r="E532" s="40" t="str">
        <f aca="false">IF($C532="","",INDEX(Planos!$C$3:$C$27,23))</f>
        <v/>
      </c>
      <c r="F532" s="40" t="str">
        <f aca="false">IF($C532="","",INDEX(Planos!$D$3:$D$27,23))</f>
        <v/>
      </c>
      <c r="G532" s="41" t="n">
        <f aca="false">IF($C532="",0,INDEX(Planos!$F$3:$F$27,23)+(2-1)*INDEX(Planos!$E$3:$E$27,23))</f>
        <v>0</v>
      </c>
      <c r="H532" s="40" t="str">
        <f aca="false">IF($C532="","",INDEX(Planos!$H$3:$H$27,23))</f>
        <v/>
      </c>
      <c r="I532" s="41" t="str">
        <f aca="false">IF($C532="","",IF(INDEX(Planos!$J$3:$AG$27,$A532,$B532)=0,"",INDEX(Planos!$J$3:$AG$27,$A532,$B532)))</f>
        <v/>
      </c>
      <c r="J532" s="26" t="str">
        <f aca="false">IF($C532="","",IF($I532&lt;&gt;"","Realizada",IF($G532&lt;INT(Parâmetros!$C$4),"Atrasada","Agendada")))</f>
        <v/>
      </c>
      <c r="K532" s="42" t="str">
        <f aca="false">IF($C532="","",IF($I532&lt;&gt;"",$I532-$G532,IF($J532="Atrasada",INT(Parâmetros!$C$4)-$G532,"")))</f>
        <v/>
      </c>
      <c r="L532" s="26" t="str">
        <f aca="false">IF($J532&lt;&gt;"Realizada","",IF($K532&lt;=0,"No prazo",IF($K532&lt;=7,"Até 7 dias",IF($K532&lt;=30,"Até 30 dias","Acima de 30"))))</f>
        <v/>
      </c>
      <c r="M532" s="26" t="str">
        <f aca="false">IF($C532="","",COUNTIFS($G$3:$G532,$G532))</f>
        <v/>
      </c>
      <c r="N532" s="26" t="str">
        <f aca="false">IF($C532="","",$G532&amp;"|"&amp;$M532)</f>
        <v/>
      </c>
    </row>
    <row r="533" customFormat="false" ht="18" hidden="false" customHeight="true" outlineLevel="0" collapsed="false">
      <c r="A533" s="26" t="n">
        <v>23</v>
      </c>
      <c r="B533" s="26" t="n">
        <v>3</v>
      </c>
      <c r="C533" s="26" t="str">
        <f aca="false">IF(INDEX(Planos!$B$3:$B$27,23)="","",IF(3&gt;INDEX(Planos!$G$3:$G$27,23),"",INDEX(Planos!$B$3:$B$27,23)))</f>
        <v/>
      </c>
      <c r="D533" s="40" t="str">
        <f aca="false">IF($C533="","",IFERROR(INDEX(Ativos!$B$3:$B$42,MATCH($C533,Ativos!$A$3:$A$42,0)),""))</f>
        <v/>
      </c>
      <c r="E533" s="40" t="str">
        <f aca="false">IF($C533="","",INDEX(Planos!$C$3:$C$27,23))</f>
        <v/>
      </c>
      <c r="F533" s="40" t="str">
        <f aca="false">IF($C533="","",INDEX(Planos!$D$3:$D$27,23))</f>
        <v/>
      </c>
      <c r="G533" s="41" t="n">
        <f aca="false">IF($C533="",0,INDEX(Planos!$F$3:$F$27,23)+(3-1)*INDEX(Planos!$E$3:$E$27,23))</f>
        <v>0</v>
      </c>
      <c r="H533" s="40" t="str">
        <f aca="false">IF($C533="","",INDEX(Planos!$H$3:$H$27,23))</f>
        <v/>
      </c>
      <c r="I533" s="41" t="str">
        <f aca="false">IF($C533="","",IF(INDEX(Planos!$J$3:$AG$27,$A533,$B533)=0,"",INDEX(Planos!$J$3:$AG$27,$A533,$B533)))</f>
        <v/>
      </c>
      <c r="J533" s="26" t="str">
        <f aca="false">IF($C533="","",IF($I533&lt;&gt;"","Realizada",IF($G533&lt;INT(Parâmetros!$C$4),"Atrasada","Agendada")))</f>
        <v/>
      </c>
      <c r="K533" s="42" t="str">
        <f aca="false">IF($C533="","",IF($I533&lt;&gt;"",$I533-$G533,IF($J533="Atrasada",INT(Parâmetros!$C$4)-$G533,"")))</f>
        <v/>
      </c>
      <c r="L533" s="26" t="str">
        <f aca="false">IF($J533&lt;&gt;"Realizada","",IF($K533&lt;=0,"No prazo",IF($K533&lt;=7,"Até 7 dias",IF($K533&lt;=30,"Até 30 dias","Acima de 30"))))</f>
        <v/>
      </c>
      <c r="M533" s="26" t="str">
        <f aca="false">IF($C533="","",COUNTIFS($G$3:$G533,$G533))</f>
        <v/>
      </c>
      <c r="N533" s="26" t="str">
        <f aca="false">IF($C533="","",$G533&amp;"|"&amp;$M533)</f>
        <v/>
      </c>
    </row>
    <row r="534" customFormat="false" ht="18" hidden="false" customHeight="true" outlineLevel="0" collapsed="false">
      <c r="A534" s="26" t="n">
        <v>23</v>
      </c>
      <c r="B534" s="26" t="n">
        <v>4</v>
      </c>
      <c r="C534" s="26" t="str">
        <f aca="false">IF(INDEX(Planos!$B$3:$B$27,23)="","",IF(4&gt;INDEX(Planos!$G$3:$G$27,23),"",INDEX(Planos!$B$3:$B$27,23)))</f>
        <v/>
      </c>
      <c r="D534" s="40" t="str">
        <f aca="false">IF($C534="","",IFERROR(INDEX(Ativos!$B$3:$B$42,MATCH($C534,Ativos!$A$3:$A$42,0)),""))</f>
        <v/>
      </c>
      <c r="E534" s="40" t="str">
        <f aca="false">IF($C534="","",INDEX(Planos!$C$3:$C$27,23))</f>
        <v/>
      </c>
      <c r="F534" s="40" t="str">
        <f aca="false">IF($C534="","",INDEX(Planos!$D$3:$D$27,23))</f>
        <v/>
      </c>
      <c r="G534" s="41" t="n">
        <f aca="false">IF($C534="",0,INDEX(Planos!$F$3:$F$27,23)+(4-1)*INDEX(Planos!$E$3:$E$27,23))</f>
        <v>0</v>
      </c>
      <c r="H534" s="40" t="str">
        <f aca="false">IF($C534="","",INDEX(Planos!$H$3:$H$27,23))</f>
        <v/>
      </c>
      <c r="I534" s="41" t="str">
        <f aca="false">IF($C534="","",IF(INDEX(Planos!$J$3:$AG$27,$A534,$B534)=0,"",INDEX(Planos!$J$3:$AG$27,$A534,$B534)))</f>
        <v/>
      </c>
      <c r="J534" s="26" t="str">
        <f aca="false">IF($C534="","",IF($I534&lt;&gt;"","Realizada",IF($G534&lt;INT(Parâmetros!$C$4),"Atrasada","Agendada")))</f>
        <v/>
      </c>
      <c r="K534" s="42" t="str">
        <f aca="false">IF($C534="","",IF($I534&lt;&gt;"",$I534-$G534,IF($J534="Atrasada",INT(Parâmetros!$C$4)-$G534,"")))</f>
        <v/>
      </c>
      <c r="L534" s="26" t="str">
        <f aca="false">IF($J534&lt;&gt;"Realizada","",IF($K534&lt;=0,"No prazo",IF($K534&lt;=7,"Até 7 dias",IF($K534&lt;=30,"Até 30 dias","Acima de 30"))))</f>
        <v/>
      </c>
      <c r="M534" s="26" t="str">
        <f aca="false">IF($C534="","",COUNTIFS($G$3:$G534,$G534))</f>
        <v/>
      </c>
      <c r="N534" s="26" t="str">
        <f aca="false">IF($C534="","",$G534&amp;"|"&amp;$M534)</f>
        <v/>
      </c>
    </row>
    <row r="535" customFormat="false" ht="18" hidden="false" customHeight="true" outlineLevel="0" collapsed="false">
      <c r="A535" s="26" t="n">
        <v>23</v>
      </c>
      <c r="B535" s="26" t="n">
        <v>5</v>
      </c>
      <c r="C535" s="26" t="str">
        <f aca="false">IF(INDEX(Planos!$B$3:$B$27,23)="","",IF(5&gt;INDEX(Planos!$G$3:$G$27,23),"",INDEX(Planos!$B$3:$B$27,23)))</f>
        <v/>
      </c>
      <c r="D535" s="40" t="str">
        <f aca="false">IF($C535="","",IFERROR(INDEX(Ativos!$B$3:$B$42,MATCH($C535,Ativos!$A$3:$A$42,0)),""))</f>
        <v/>
      </c>
      <c r="E535" s="40" t="str">
        <f aca="false">IF($C535="","",INDEX(Planos!$C$3:$C$27,23))</f>
        <v/>
      </c>
      <c r="F535" s="40" t="str">
        <f aca="false">IF($C535="","",INDEX(Planos!$D$3:$D$27,23))</f>
        <v/>
      </c>
      <c r="G535" s="41" t="n">
        <f aca="false">IF($C535="",0,INDEX(Planos!$F$3:$F$27,23)+(5-1)*INDEX(Planos!$E$3:$E$27,23))</f>
        <v>0</v>
      </c>
      <c r="H535" s="40" t="str">
        <f aca="false">IF($C535="","",INDEX(Planos!$H$3:$H$27,23))</f>
        <v/>
      </c>
      <c r="I535" s="41" t="str">
        <f aca="false">IF($C535="","",IF(INDEX(Planos!$J$3:$AG$27,$A535,$B535)=0,"",INDEX(Planos!$J$3:$AG$27,$A535,$B535)))</f>
        <v/>
      </c>
      <c r="J535" s="26" t="str">
        <f aca="false">IF($C535="","",IF($I535&lt;&gt;"","Realizada",IF($G535&lt;INT(Parâmetros!$C$4),"Atrasada","Agendada")))</f>
        <v/>
      </c>
      <c r="K535" s="42" t="str">
        <f aca="false">IF($C535="","",IF($I535&lt;&gt;"",$I535-$G535,IF($J535="Atrasada",INT(Parâmetros!$C$4)-$G535,"")))</f>
        <v/>
      </c>
      <c r="L535" s="26" t="str">
        <f aca="false">IF($J535&lt;&gt;"Realizada","",IF($K535&lt;=0,"No prazo",IF($K535&lt;=7,"Até 7 dias",IF($K535&lt;=30,"Até 30 dias","Acima de 30"))))</f>
        <v/>
      </c>
      <c r="M535" s="26" t="str">
        <f aca="false">IF($C535="","",COUNTIFS($G$3:$G535,$G535))</f>
        <v/>
      </c>
      <c r="N535" s="26" t="str">
        <f aca="false">IF($C535="","",$G535&amp;"|"&amp;$M535)</f>
        <v/>
      </c>
    </row>
    <row r="536" customFormat="false" ht="18" hidden="false" customHeight="true" outlineLevel="0" collapsed="false">
      <c r="A536" s="26" t="n">
        <v>23</v>
      </c>
      <c r="B536" s="26" t="n">
        <v>6</v>
      </c>
      <c r="C536" s="26" t="str">
        <f aca="false">IF(INDEX(Planos!$B$3:$B$27,23)="","",IF(6&gt;INDEX(Planos!$G$3:$G$27,23),"",INDEX(Planos!$B$3:$B$27,23)))</f>
        <v/>
      </c>
      <c r="D536" s="40" t="str">
        <f aca="false">IF($C536="","",IFERROR(INDEX(Ativos!$B$3:$B$42,MATCH($C536,Ativos!$A$3:$A$42,0)),""))</f>
        <v/>
      </c>
      <c r="E536" s="40" t="str">
        <f aca="false">IF($C536="","",INDEX(Planos!$C$3:$C$27,23))</f>
        <v/>
      </c>
      <c r="F536" s="40" t="str">
        <f aca="false">IF($C536="","",INDEX(Planos!$D$3:$D$27,23))</f>
        <v/>
      </c>
      <c r="G536" s="41" t="n">
        <f aca="false">IF($C536="",0,INDEX(Planos!$F$3:$F$27,23)+(6-1)*INDEX(Planos!$E$3:$E$27,23))</f>
        <v>0</v>
      </c>
      <c r="H536" s="40" t="str">
        <f aca="false">IF($C536="","",INDEX(Planos!$H$3:$H$27,23))</f>
        <v/>
      </c>
      <c r="I536" s="41" t="str">
        <f aca="false">IF($C536="","",IF(INDEX(Planos!$J$3:$AG$27,$A536,$B536)=0,"",INDEX(Planos!$J$3:$AG$27,$A536,$B536)))</f>
        <v/>
      </c>
      <c r="J536" s="26" t="str">
        <f aca="false">IF($C536="","",IF($I536&lt;&gt;"","Realizada",IF($G536&lt;INT(Parâmetros!$C$4),"Atrasada","Agendada")))</f>
        <v/>
      </c>
      <c r="K536" s="42" t="str">
        <f aca="false">IF($C536="","",IF($I536&lt;&gt;"",$I536-$G536,IF($J536="Atrasada",INT(Parâmetros!$C$4)-$G536,"")))</f>
        <v/>
      </c>
      <c r="L536" s="26" t="str">
        <f aca="false">IF($J536&lt;&gt;"Realizada","",IF($K536&lt;=0,"No prazo",IF($K536&lt;=7,"Até 7 dias",IF($K536&lt;=30,"Até 30 dias","Acima de 30"))))</f>
        <v/>
      </c>
      <c r="M536" s="26" t="str">
        <f aca="false">IF($C536="","",COUNTIFS($G$3:$G536,$G536))</f>
        <v/>
      </c>
      <c r="N536" s="26" t="str">
        <f aca="false">IF($C536="","",$G536&amp;"|"&amp;$M536)</f>
        <v/>
      </c>
    </row>
    <row r="537" customFormat="false" ht="18" hidden="false" customHeight="true" outlineLevel="0" collapsed="false">
      <c r="A537" s="26" t="n">
        <v>23</v>
      </c>
      <c r="B537" s="26" t="n">
        <v>7</v>
      </c>
      <c r="C537" s="26" t="str">
        <f aca="false">IF(INDEX(Planos!$B$3:$B$27,23)="","",IF(7&gt;INDEX(Planos!$G$3:$G$27,23),"",INDEX(Planos!$B$3:$B$27,23)))</f>
        <v/>
      </c>
      <c r="D537" s="40" t="str">
        <f aca="false">IF($C537="","",IFERROR(INDEX(Ativos!$B$3:$B$42,MATCH($C537,Ativos!$A$3:$A$42,0)),""))</f>
        <v/>
      </c>
      <c r="E537" s="40" t="str">
        <f aca="false">IF($C537="","",INDEX(Planos!$C$3:$C$27,23))</f>
        <v/>
      </c>
      <c r="F537" s="40" t="str">
        <f aca="false">IF($C537="","",INDEX(Planos!$D$3:$D$27,23))</f>
        <v/>
      </c>
      <c r="G537" s="41" t="n">
        <f aca="false">IF($C537="",0,INDEX(Planos!$F$3:$F$27,23)+(7-1)*INDEX(Planos!$E$3:$E$27,23))</f>
        <v>0</v>
      </c>
      <c r="H537" s="40" t="str">
        <f aca="false">IF($C537="","",INDEX(Planos!$H$3:$H$27,23))</f>
        <v/>
      </c>
      <c r="I537" s="41" t="str">
        <f aca="false">IF($C537="","",IF(INDEX(Planos!$J$3:$AG$27,$A537,$B537)=0,"",INDEX(Planos!$J$3:$AG$27,$A537,$B537)))</f>
        <v/>
      </c>
      <c r="J537" s="26" t="str">
        <f aca="false">IF($C537="","",IF($I537&lt;&gt;"","Realizada",IF($G537&lt;INT(Parâmetros!$C$4),"Atrasada","Agendada")))</f>
        <v/>
      </c>
      <c r="K537" s="42" t="str">
        <f aca="false">IF($C537="","",IF($I537&lt;&gt;"",$I537-$G537,IF($J537="Atrasada",INT(Parâmetros!$C$4)-$G537,"")))</f>
        <v/>
      </c>
      <c r="L537" s="26" t="str">
        <f aca="false">IF($J537&lt;&gt;"Realizada","",IF($K537&lt;=0,"No prazo",IF($K537&lt;=7,"Até 7 dias",IF($K537&lt;=30,"Até 30 dias","Acima de 30"))))</f>
        <v/>
      </c>
      <c r="M537" s="26" t="str">
        <f aca="false">IF($C537="","",COUNTIFS($G$3:$G537,$G537))</f>
        <v/>
      </c>
      <c r="N537" s="26" t="str">
        <f aca="false">IF($C537="","",$G537&amp;"|"&amp;$M537)</f>
        <v/>
      </c>
    </row>
    <row r="538" customFormat="false" ht="18" hidden="false" customHeight="true" outlineLevel="0" collapsed="false">
      <c r="A538" s="26" t="n">
        <v>23</v>
      </c>
      <c r="B538" s="26" t="n">
        <v>8</v>
      </c>
      <c r="C538" s="26" t="str">
        <f aca="false">IF(INDEX(Planos!$B$3:$B$27,23)="","",IF(8&gt;INDEX(Planos!$G$3:$G$27,23),"",INDEX(Planos!$B$3:$B$27,23)))</f>
        <v/>
      </c>
      <c r="D538" s="40" t="str">
        <f aca="false">IF($C538="","",IFERROR(INDEX(Ativos!$B$3:$B$42,MATCH($C538,Ativos!$A$3:$A$42,0)),""))</f>
        <v/>
      </c>
      <c r="E538" s="40" t="str">
        <f aca="false">IF($C538="","",INDEX(Planos!$C$3:$C$27,23))</f>
        <v/>
      </c>
      <c r="F538" s="40" t="str">
        <f aca="false">IF($C538="","",INDEX(Planos!$D$3:$D$27,23))</f>
        <v/>
      </c>
      <c r="G538" s="41" t="n">
        <f aca="false">IF($C538="",0,INDEX(Planos!$F$3:$F$27,23)+(8-1)*INDEX(Planos!$E$3:$E$27,23))</f>
        <v>0</v>
      </c>
      <c r="H538" s="40" t="str">
        <f aca="false">IF($C538="","",INDEX(Planos!$H$3:$H$27,23))</f>
        <v/>
      </c>
      <c r="I538" s="41" t="str">
        <f aca="false">IF($C538="","",IF(INDEX(Planos!$J$3:$AG$27,$A538,$B538)=0,"",INDEX(Planos!$J$3:$AG$27,$A538,$B538)))</f>
        <v/>
      </c>
      <c r="J538" s="26" t="str">
        <f aca="false">IF($C538="","",IF($I538&lt;&gt;"","Realizada",IF($G538&lt;INT(Parâmetros!$C$4),"Atrasada","Agendada")))</f>
        <v/>
      </c>
      <c r="K538" s="42" t="str">
        <f aca="false">IF($C538="","",IF($I538&lt;&gt;"",$I538-$G538,IF($J538="Atrasada",INT(Parâmetros!$C$4)-$G538,"")))</f>
        <v/>
      </c>
      <c r="L538" s="26" t="str">
        <f aca="false">IF($J538&lt;&gt;"Realizada","",IF($K538&lt;=0,"No prazo",IF($K538&lt;=7,"Até 7 dias",IF($K538&lt;=30,"Até 30 dias","Acima de 30"))))</f>
        <v/>
      </c>
      <c r="M538" s="26" t="str">
        <f aca="false">IF($C538="","",COUNTIFS($G$3:$G538,$G538))</f>
        <v/>
      </c>
      <c r="N538" s="26" t="str">
        <f aca="false">IF($C538="","",$G538&amp;"|"&amp;$M538)</f>
        <v/>
      </c>
    </row>
    <row r="539" customFormat="false" ht="18" hidden="false" customHeight="true" outlineLevel="0" collapsed="false">
      <c r="A539" s="26" t="n">
        <v>23</v>
      </c>
      <c r="B539" s="26" t="n">
        <v>9</v>
      </c>
      <c r="C539" s="26" t="str">
        <f aca="false">IF(INDEX(Planos!$B$3:$B$27,23)="","",IF(9&gt;INDEX(Planos!$G$3:$G$27,23),"",INDEX(Planos!$B$3:$B$27,23)))</f>
        <v/>
      </c>
      <c r="D539" s="40" t="str">
        <f aca="false">IF($C539="","",IFERROR(INDEX(Ativos!$B$3:$B$42,MATCH($C539,Ativos!$A$3:$A$42,0)),""))</f>
        <v/>
      </c>
      <c r="E539" s="40" t="str">
        <f aca="false">IF($C539="","",INDEX(Planos!$C$3:$C$27,23))</f>
        <v/>
      </c>
      <c r="F539" s="40" t="str">
        <f aca="false">IF($C539="","",INDEX(Planos!$D$3:$D$27,23))</f>
        <v/>
      </c>
      <c r="G539" s="41" t="n">
        <f aca="false">IF($C539="",0,INDEX(Planos!$F$3:$F$27,23)+(9-1)*INDEX(Planos!$E$3:$E$27,23))</f>
        <v>0</v>
      </c>
      <c r="H539" s="40" t="str">
        <f aca="false">IF($C539="","",INDEX(Planos!$H$3:$H$27,23))</f>
        <v/>
      </c>
      <c r="I539" s="41" t="str">
        <f aca="false">IF($C539="","",IF(INDEX(Planos!$J$3:$AG$27,$A539,$B539)=0,"",INDEX(Planos!$J$3:$AG$27,$A539,$B539)))</f>
        <v/>
      </c>
      <c r="J539" s="26" t="str">
        <f aca="false">IF($C539="","",IF($I539&lt;&gt;"","Realizada",IF($G539&lt;INT(Parâmetros!$C$4),"Atrasada","Agendada")))</f>
        <v/>
      </c>
      <c r="K539" s="42" t="str">
        <f aca="false">IF($C539="","",IF($I539&lt;&gt;"",$I539-$G539,IF($J539="Atrasada",INT(Parâmetros!$C$4)-$G539,"")))</f>
        <v/>
      </c>
      <c r="L539" s="26" t="str">
        <f aca="false">IF($J539&lt;&gt;"Realizada","",IF($K539&lt;=0,"No prazo",IF($K539&lt;=7,"Até 7 dias",IF($K539&lt;=30,"Até 30 dias","Acima de 30"))))</f>
        <v/>
      </c>
      <c r="M539" s="26" t="str">
        <f aca="false">IF($C539="","",COUNTIFS($G$3:$G539,$G539))</f>
        <v/>
      </c>
      <c r="N539" s="26" t="str">
        <f aca="false">IF($C539="","",$G539&amp;"|"&amp;$M539)</f>
        <v/>
      </c>
    </row>
    <row r="540" customFormat="false" ht="18" hidden="false" customHeight="true" outlineLevel="0" collapsed="false">
      <c r="A540" s="26" t="n">
        <v>23</v>
      </c>
      <c r="B540" s="26" t="n">
        <v>10</v>
      </c>
      <c r="C540" s="26" t="str">
        <f aca="false">IF(INDEX(Planos!$B$3:$B$27,23)="","",IF(10&gt;INDEX(Planos!$G$3:$G$27,23),"",INDEX(Planos!$B$3:$B$27,23)))</f>
        <v/>
      </c>
      <c r="D540" s="40" t="str">
        <f aca="false">IF($C540="","",IFERROR(INDEX(Ativos!$B$3:$B$42,MATCH($C540,Ativos!$A$3:$A$42,0)),""))</f>
        <v/>
      </c>
      <c r="E540" s="40" t="str">
        <f aca="false">IF($C540="","",INDEX(Planos!$C$3:$C$27,23))</f>
        <v/>
      </c>
      <c r="F540" s="40" t="str">
        <f aca="false">IF($C540="","",INDEX(Planos!$D$3:$D$27,23))</f>
        <v/>
      </c>
      <c r="G540" s="41" t="n">
        <f aca="false">IF($C540="",0,INDEX(Planos!$F$3:$F$27,23)+(10-1)*INDEX(Planos!$E$3:$E$27,23))</f>
        <v>0</v>
      </c>
      <c r="H540" s="40" t="str">
        <f aca="false">IF($C540="","",INDEX(Planos!$H$3:$H$27,23))</f>
        <v/>
      </c>
      <c r="I540" s="41" t="str">
        <f aca="false">IF($C540="","",IF(INDEX(Planos!$J$3:$AG$27,$A540,$B540)=0,"",INDEX(Planos!$J$3:$AG$27,$A540,$B540)))</f>
        <v/>
      </c>
      <c r="J540" s="26" t="str">
        <f aca="false">IF($C540="","",IF($I540&lt;&gt;"","Realizada",IF($G540&lt;INT(Parâmetros!$C$4),"Atrasada","Agendada")))</f>
        <v/>
      </c>
      <c r="K540" s="42" t="str">
        <f aca="false">IF($C540="","",IF($I540&lt;&gt;"",$I540-$G540,IF($J540="Atrasada",INT(Parâmetros!$C$4)-$G540,"")))</f>
        <v/>
      </c>
      <c r="L540" s="26" t="str">
        <f aca="false">IF($J540&lt;&gt;"Realizada","",IF($K540&lt;=0,"No prazo",IF($K540&lt;=7,"Até 7 dias",IF($K540&lt;=30,"Até 30 dias","Acima de 30"))))</f>
        <v/>
      </c>
      <c r="M540" s="26" t="str">
        <f aca="false">IF($C540="","",COUNTIFS($G$3:$G540,$G540))</f>
        <v/>
      </c>
      <c r="N540" s="26" t="str">
        <f aca="false">IF($C540="","",$G540&amp;"|"&amp;$M540)</f>
        <v/>
      </c>
    </row>
    <row r="541" customFormat="false" ht="18" hidden="false" customHeight="true" outlineLevel="0" collapsed="false">
      <c r="A541" s="26" t="n">
        <v>23</v>
      </c>
      <c r="B541" s="26" t="n">
        <v>11</v>
      </c>
      <c r="C541" s="26" t="str">
        <f aca="false">IF(INDEX(Planos!$B$3:$B$27,23)="","",IF(11&gt;INDEX(Planos!$G$3:$G$27,23),"",INDEX(Planos!$B$3:$B$27,23)))</f>
        <v/>
      </c>
      <c r="D541" s="40" t="str">
        <f aca="false">IF($C541="","",IFERROR(INDEX(Ativos!$B$3:$B$42,MATCH($C541,Ativos!$A$3:$A$42,0)),""))</f>
        <v/>
      </c>
      <c r="E541" s="40" t="str">
        <f aca="false">IF($C541="","",INDEX(Planos!$C$3:$C$27,23))</f>
        <v/>
      </c>
      <c r="F541" s="40" t="str">
        <f aca="false">IF($C541="","",INDEX(Planos!$D$3:$D$27,23))</f>
        <v/>
      </c>
      <c r="G541" s="41" t="n">
        <f aca="false">IF($C541="",0,INDEX(Planos!$F$3:$F$27,23)+(11-1)*INDEX(Planos!$E$3:$E$27,23))</f>
        <v>0</v>
      </c>
      <c r="H541" s="40" t="str">
        <f aca="false">IF($C541="","",INDEX(Planos!$H$3:$H$27,23))</f>
        <v/>
      </c>
      <c r="I541" s="41" t="str">
        <f aca="false">IF($C541="","",IF(INDEX(Planos!$J$3:$AG$27,$A541,$B541)=0,"",INDEX(Planos!$J$3:$AG$27,$A541,$B541)))</f>
        <v/>
      </c>
      <c r="J541" s="26" t="str">
        <f aca="false">IF($C541="","",IF($I541&lt;&gt;"","Realizada",IF($G541&lt;INT(Parâmetros!$C$4),"Atrasada","Agendada")))</f>
        <v/>
      </c>
      <c r="K541" s="42" t="str">
        <f aca="false">IF($C541="","",IF($I541&lt;&gt;"",$I541-$G541,IF($J541="Atrasada",INT(Parâmetros!$C$4)-$G541,"")))</f>
        <v/>
      </c>
      <c r="L541" s="26" t="str">
        <f aca="false">IF($J541&lt;&gt;"Realizada","",IF($K541&lt;=0,"No prazo",IF($K541&lt;=7,"Até 7 dias",IF($K541&lt;=30,"Até 30 dias","Acima de 30"))))</f>
        <v/>
      </c>
      <c r="M541" s="26" t="str">
        <f aca="false">IF($C541="","",COUNTIFS($G$3:$G541,$G541))</f>
        <v/>
      </c>
      <c r="N541" s="26" t="str">
        <f aca="false">IF($C541="","",$G541&amp;"|"&amp;$M541)</f>
        <v/>
      </c>
    </row>
    <row r="542" customFormat="false" ht="18" hidden="false" customHeight="true" outlineLevel="0" collapsed="false">
      <c r="A542" s="26" t="n">
        <v>23</v>
      </c>
      <c r="B542" s="26" t="n">
        <v>12</v>
      </c>
      <c r="C542" s="26" t="str">
        <f aca="false">IF(INDEX(Planos!$B$3:$B$27,23)="","",IF(12&gt;INDEX(Planos!$G$3:$G$27,23),"",INDEX(Planos!$B$3:$B$27,23)))</f>
        <v/>
      </c>
      <c r="D542" s="40" t="str">
        <f aca="false">IF($C542="","",IFERROR(INDEX(Ativos!$B$3:$B$42,MATCH($C542,Ativos!$A$3:$A$42,0)),""))</f>
        <v/>
      </c>
      <c r="E542" s="40" t="str">
        <f aca="false">IF($C542="","",INDEX(Planos!$C$3:$C$27,23))</f>
        <v/>
      </c>
      <c r="F542" s="40" t="str">
        <f aca="false">IF($C542="","",INDEX(Planos!$D$3:$D$27,23))</f>
        <v/>
      </c>
      <c r="G542" s="41" t="n">
        <f aca="false">IF($C542="",0,INDEX(Planos!$F$3:$F$27,23)+(12-1)*INDEX(Planos!$E$3:$E$27,23))</f>
        <v>0</v>
      </c>
      <c r="H542" s="40" t="str">
        <f aca="false">IF($C542="","",INDEX(Planos!$H$3:$H$27,23))</f>
        <v/>
      </c>
      <c r="I542" s="41" t="str">
        <f aca="false">IF($C542="","",IF(INDEX(Planos!$J$3:$AG$27,$A542,$B542)=0,"",INDEX(Planos!$J$3:$AG$27,$A542,$B542)))</f>
        <v/>
      </c>
      <c r="J542" s="26" t="str">
        <f aca="false">IF($C542="","",IF($I542&lt;&gt;"","Realizada",IF($G542&lt;INT(Parâmetros!$C$4),"Atrasada","Agendada")))</f>
        <v/>
      </c>
      <c r="K542" s="42" t="str">
        <f aca="false">IF($C542="","",IF($I542&lt;&gt;"",$I542-$G542,IF($J542="Atrasada",INT(Parâmetros!$C$4)-$G542,"")))</f>
        <v/>
      </c>
      <c r="L542" s="26" t="str">
        <f aca="false">IF($J542&lt;&gt;"Realizada","",IF($K542&lt;=0,"No prazo",IF($K542&lt;=7,"Até 7 dias",IF($K542&lt;=30,"Até 30 dias","Acima de 30"))))</f>
        <v/>
      </c>
      <c r="M542" s="26" t="str">
        <f aca="false">IF($C542="","",COUNTIFS($G$3:$G542,$G542))</f>
        <v/>
      </c>
      <c r="N542" s="26" t="str">
        <f aca="false">IF($C542="","",$G542&amp;"|"&amp;$M542)</f>
        <v/>
      </c>
    </row>
    <row r="543" customFormat="false" ht="18" hidden="false" customHeight="true" outlineLevel="0" collapsed="false">
      <c r="A543" s="26" t="n">
        <v>23</v>
      </c>
      <c r="B543" s="26" t="n">
        <v>13</v>
      </c>
      <c r="C543" s="26" t="str">
        <f aca="false">IF(INDEX(Planos!$B$3:$B$27,23)="","",IF(13&gt;INDEX(Planos!$G$3:$G$27,23),"",INDEX(Planos!$B$3:$B$27,23)))</f>
        <v/>
      </c>
      <c r="D543" s="40" t="str">
        <f aca="false">IF($C543="","",IFERROR(INDEX(Ativos!$B$3:$B$42,MATCH($C543,Ativos!$A$3:$A$42,0)),""))</f>
        <v/>
      </c>
      <c r="E543" s="40" t="str">
        <f aca="false">IF($C543="","",INDEX(Planos!$C$3:$C$27,23))</f>
        <v/>
      </c>
      <c r="F543" s="40" t="str">
        <f aca="false">IF($C543="","",INDEX(Planos!$D$3:$D$27,23))</f>
        <v/>
      </c>
      <c r="G543" s="41" t="n">
        <f aca="false">IF($C543="",0,INDEX(Planos!$F$3:$F$27,23)+(13-1)*INDEX(Planos!$E$3:$E$27,23))</f>
        <v>0</v>
      </c>
      <c r="H543" s="40" t="str">
        <f aca="false">IF($C543="","",INDEX(Planos!$H$3:$H$27,23))</f>
        <v/>
      </c>
      <c r="I543" s="41" t="str">
        <f aca="false">IF($C543="","",IF(INDEX(Planos!$J$3:$AG$27,$A543,$B543)=0,"",INDEX(Planos!$J$3:$AG$27,$A543,$B543)))</f>
        <v/>
      </c>
      <c r="J543" s="26" t="str">
        <f aca="false">IF($C543="","",IF($I543&lt;&gt;"","Realizada",IF($G543&lt;INT(Parâmetros!$C$4),"Atrasada","Agendada")))</f>
        <v/>
      </c>
      <c r="K543" s="42" t="str">
        <f aca="false">IF($C543="","",IF($I543&lt;&gt;"",$I543-$G543,IF($J543="Atrasada",INT(Parâmetros!$C$4)-$G543,"")))</f>
        <v/>
      </c>
      <c r="L543" s="26" t="str">
        <f aca="false">IF($J543&lt;&gt;"Realizada","",IF($K543&lt;=0,"No prazo",IF($K543&lt;=7,"Até 7 dias",IF($K543&lt;=30,"Até 30 dias","Acima de 30"))))</f>
        <v/>
      </c>
      <c r="M543" s="26" t="str">
        <f aca="false">IF($C543="","",COUNTIFS($G$3:$G543,$G543))</f>
        <v/>
      </c>
      <c r="N543" s="26" t="str">
        <f aca="false">IF($C543="","",$G543&amp;"|"&amp;$M543)</f>
        <v/>
      </c>
    </row>
    <row r="544" customFormat="false" ht="18" hidden="false" customHeight="true" outlineLevel="0" collapsed="false">
      <c r="A544" s="26" t="n">
        <v>23</v>
      </c>
      <c r="B544" s="26" t="n">
        <v>14</v>
      </c>
      <c r="C544" s="26" t="str">
        <f aca="false">IF(INDEX(Planos!$B$3:$B$27,23)="","",IF(14&gt;INDEX(Planos!$G$3:$G$27,23),"",INDEX(Planos!$B$3:$B$27,23)))</f>
        <v/>
      </c>
      <c r="D544" s="40" t="str">
        <f aca="false">IF($C544="","",IFERROR(INDEX(Ativos!$B$3:$B$42,MATCH($C544,Ativos!$A$3:$A$42,0)),""))</f>
        <v/>
      </c>
      <c r="E544" s="40" t="str">
        <f aca="false">IF($C544="","",INDEX(Planos!$C$3:$C$27,23))</f>
        <v/>
      </c>
      <c r="F544" s="40" t="str">
        <f aca="false">IF($C544="","",INDEX(Planos!$D$3:$D$27,23))</f>
        <v/>
      </c>
      <c r="G544" s="41" t="n">
        <f aca="false">IF($C544="",0,INDEX(Planos!$F$3:$F$27,23)+(14-1)*INDEX(Planos!$E$3:$E$27,23))</f>
        <v>0</v>
      </c>
      <c r="H544" s="40" t="str">
        <f aca="false">IF($C544="","",INDEX(Planos!$H$3:$H$27,23))</f>
        <v/>
      </c>
      <c r="I544" s="41" t="str">
        <f aca="false">IF($C544="","",IF(INDEX(Planos!$J$3:$AG$27,$A544,$B544)=0,"",INDEX(Planos!$J$3:$AG$27,$A544,$B544)))</f>
        <v/>
      </c>
      <c r="J544" s="26" t="str">
        <f aca="false">IF($C544="","",IF($I544&lt;&gt;"","Realizada",IF($G544&lt;INT(Parâmetros!$C$4),"Atrasada","Agendada")))</f>
        <v/>
      </c>
      <c r="K544" s="42" t="str">
        <f aca="false">IF($C544="","",IF($I544&lt;&gt;"",$I544-$G544,IF($J544="Atrasada",INT(Parâmetros!$C$4)-$G544,"")))</f>
        <v/>
      </c>
      <c r="L544" s="26" t="str">
        <f aca="false">IF($J544&lt;&gt;"Realizada","",IF($K544&lt;=0,"No prazo",IF($K544&lt;=7,"Até 7 dias",IF($K544&lt;=30,"Até 30 dias","Acima de 30"))))</f>
        <v/>
      </c>
      <c r="M544" s="26" t="str">
        <f aca="false">IF($C544="","",COUNTIFS($G$3:$G544,$G544))</f>
        <v/>
      </c>
      <c r="N544" s="26" t="str">
        <f aca="false">IF($C544="","",$G544&amp;"|"&amp;$M544)</f>
        <v/>
      </c>
    </row>
    <row r="545" customFormat="false" ht="18" hidden="false" customHeight="true" outlineLevel="0" collapsed="false">
      <c r="A545" s="26" t="n">
        <v>23</v>
      </c>
      <c r="B545" s="26" t="n">
        <v>15</v>
      </c>
      <c r="C545" s="26" t="str">
        <f aca="false">IF(INDEX(Planos!$B$3:$B$27,23)="","",IF(15&gt;INDEX(Planos!$G$3:$G$27,23),"",INDEX(Planos!$B$3:$B$27,23)))</f>
        <v/>
      </c>
      <c r="D545" s="40" t="str">
        <f aca="false">IF($C545="","",IFERROR(INDEX(Ativos!$B$3:$B$42,MATCH($C545,Ativos!$A$3:$A$42,0)),""))</f>
        <v/>
      </c>
      <c r="E545" s="40" t="str">
        <f aca="false">IF($C545="","",INDEX(Planos!$C$3:$C$27,23))</f>
        <v/>
      </c>
      <c r="F545" s="40" t="str">
        <f aca="false">IF($C545="","",INDEX(Planos!$D$3:$D$27,23))</f>
        <v/>
      </c>
      <c r="G545" s="41" t="n">
        <f aca="false">IF($C545="",0,INDEX(Planos!$F$3:$F$27,23)+(15-1)*INDEX(Planos!$E$3:$E$27,23))</f>
        <v>0</v>
      </c>
      <c r="H545" s="40" t="str">
        <f aca="false">IF($C545="","",INDEX(Planos!$H$3:$H$27,23))</f>
        <v/>
      </c>
      <c r="I545" s="41" t="str">
        <f aca="false">IF($C545="","",IF(INDEX(Planos!$J$3:$AG$27,$A545,$B545)=0,"",INDEX(Planos!$J$3:$AG$27,$A545,$B545)))</f>
        <v/>
      </c>
      <c r="J545" s="26" t="str">
        <f aca="false">IF($C545="","",IF($I545&lt;&gt;"","Realizada",IF($G545&lt;INT(Parâmetros!$C$4),"Atrasada","Agendada")))</f>
        <v/>
      </c>
      <c r="K545" s="42" t="str">
        <f aca="false">IF($C545="","",IF($I545&lt;&gt;"",$I545-$G545,IF($J545="Atrasada",INT(Parâmetros!$C$4)-$G545,"")))</f>
        <v/>
      </c>
      <c r="L545" s="26" t="str">
        <f aca="false">IF($J545&lt;&gt;"Realizada","",IF($K545&lt;=0,"No prazo",IF($K545&lt;=7,"Até 7 dias",IF($K545&lt;=30,"Até 30 dias","Acima de 30"))))</f>
        <v/>
      </c>
      <c r="M545" s="26" t="str">
        <f aca="false">IF($C545="","",COUNTIFS($G$3:$G545,$G545))</f>
        <v/>
      </c>
      <c r="N545" s="26" t="str">
        <f aca="false">IF($C545="","",$G545&amp;"|"&amp;$M545)</f>
        <v/>
      </c>
    </row>
    <row r="546" customFormat="false" ht="18" hidden="false" customHeight="true" outlineLevel="0" collapsed="false">
      <c r="A546" s="26" t="n">
        <v>23</v>
      </c>
      <c r="B546" s="26" t="n">
        <v>16</v>
      </c>
      <c r="C546" s="26" t="str">
        <f aca="false">IF(INDEX(Planos!$B$3:$B$27,23)="","",IF(16&gt;INDEX(Planos!$G$3:$G$27,23),"",INDEX(Planos!$B$3:$B$27,23)))</f>
        <v/>
      </c>
      <c r="D546" s="40" t="str">
        <f aca="false">IF($C546="","",IFERROR(INDEX(Ativos!$B$3:$B$42,MATCH($C546,Ativos!$A$3:$A$42,0)),""))</f>
        <v/>
      </c>
      <c r="E546" s="40" t="str">
        <f aca="false">IF($C546="","",INDEX(Planos!$C$3:$C$27,23))</f>
        <v/>
      </c>
      <c r="F546" s="40" t="str">
        <f aca="false">IF($C546="","",INDEX(Planos!$D$3:$D$27,23))</f>
        <v/>
      </c>
      <c r="G546" s="41" t="n">
        <f aca="false">IF($C546="",0,INDEX(Planos!$F$3:$F$27,23)+(16-1)*INDEX(Planos!$E$3:$E$27,23))</f>
        <v>0</v>
      </c>
      <c r="H546" s="40" t="str">
        <f aca="false">IF($C546="","",INDEX(Planos!$H$3:$H$27,23))</f>
        <v/>
      </c>
      <c r="I546" s="41" t="str">
        <f aca="false">IF($C546="","",IF(INDEX(Planos!$J$3:$AG$27,$A546,$B546)=0,"",INDEX(Planos!$J$3:$AG$27,$A546,$B546)))</f>
        <v/>
      </c>
      <c r="J546" s="26" t="str">
        <f aca="false">IF($C546="","",IF($I546&lt;&gt;"","Realizada",IF($G546&lt;INT(Parâmetros!$C$4),"Atrasada","Agendada")))</f>
        <v/>
      </c>
      <c r="K546" s="42" t="str">
        <f aca="false">IF($C546="","",IF($I546&lt;&gt;"",$I546-$G546,IF($J546="Atrasada",INT(Parâmetros!$C$4)-$G546,"")))</f>
        <v/>
      </c>
      <c r="L546" s="26" t="str">
        <f aca="false">IF($J546&lt;&gt;"Realizada","",IF($K546&lt;=0,"No prazo",IF($K546&lt;=7,"Até 7 dias",IF($K546&lt;=30,"Até 30 dias","Acima de 30"))))</f>
        <v/>
      </c>
      <c r="M546" s="26" t="str">
        <f aca="false">IF($C546="","",COUNTIFS($G$3:$G546,$G546))</f>
        <v/>
      </c>
      <c r="N546" s="26" t="str">
        <f aca="false">IF($C546="","",$G546&amp;"|"&amp;$M546)</f>
        <v/>
      </c>
    </row>
    <row r="547" customFormat="false" ht="18" hidden="false" customHeight="true" outlineLevel="0" collapsed="false">
      <c r="A547" s="26" t="n">
        <v>23</v>
      </c>
      <c r="B547" s="26" t="n">
        <v>17</v>
      </c>
      <c r="C547" s="26" t="str">
        <f aca="false">IF(INDEX(Planos!$B$3:$B$27,23)="","",IF(17&gt;INDEX(Planos!$G$3:$G$27,23),"",INDEX(Planos!$B$3:$B$27,23)))</f>
        <v/>
      </c>
      <c r="D547" s="40" t="str">
        <f aca="false">IF($C547="","",IFERROR(INDEX(Ativos!$B$3:$B$42,MATCH($C547,Ativos!$A$3:$A$42,0)),""))</f>
        <v/>
      </c>
      <c r="E547" s="40" t="str">
        <f aca="false">IF($C547="","",INDEX(Planos!$C$3:$C$27,23))</f>
        <v/>
      </c>
      <c r="F547" s="40" t="str">
        <f aca="false">IF($C547="","",INDEX(Planos!$D$3:$D$27,23))</f>
        <v/>
      </c>
      <c r="G547" s="41" t="n">
        <f aca="false">IF($C547="",0,INDEX(Planos!$F$3:$F$27,23)+(17-1)*INDEX(Planos!$E$3:$E$27,23))</f>
        <v>0</v>
      </c>
      <c r="H547" s="40" t="str">
        <f aca="false">IF($C547="","",INDEX(Planos!$H$3:$H$27,23))</f>
        <v/>
      </c>
      <c r="I547" s="41" t="str">
        <f aca="false">IF($C547="","",IF(INDEX(Planos!$J$3:$AG$27,$A547,$B547)=0,"",INDEX(Planos!$J$3:$AG$27,$A547,$B547)))</f>
        <v/>
      </c>
      <c r="J547" s="26" t="str">
        <f aca="false">IF($C547="","",IF($I547&lt;&gt;"","Realizada",IF($G547&lt;INT(Parâmetros!$C$4),"Atrasada","Agendada")))</f>
        <v/>
      </c>
      <c r="K547" s="42" t="str">
        <f aca="false">IF($C547="","",IF($I547&lt;&gt;"",$I547-$G547,IF($J547="Atrasada",INT(Parâmetros!$C$4)-$G547,"")))</f>
        <v/>
      </c>
      <c r="L547" s="26" t="str">
        <f aca="false">IF($J547&lt;&gt;"Realizada","",IF($K547&lt;=0,"No prazo",IF($K547&lt;=7,"Até 7 dias",IF($K547&lt;=30,"Até 30 dias","Acima de 30"))))</f>
        <v/>
      </c>
      <c r="M547" s="26" t="str">
        <f aca="false">IF($C547="","",COUNTIFS($G$3:$G547,$G547))</f>
        <v/>
      </c>
      <c r="N547" s="26" t="str">
        <f aca="false">IF($C547="","",$G547&amp;"|"&amp;$M547)</f>
        <v/>
      </c>
    </row>
    <row r="548" customFormat="false" ht="18" hidden="false" customHeight="true" outlineLevel="0" collapsed="false">
      <c r="A548" s="26" t="n">
        <v>23</v>
      </c>
      <c r="B548" s="26" t="n">
        <v>18</v>
      </c>
      <c r="C548" s="26" t="str">
        <f aca="false">IF(INDEX(Planos!$B$3:$B$27,23)="","",IF(18&gt;INDEX(Planos!$G$3:$G$27,23),"",INDEX(Planos!$B$3:$B$27,23)))</f>
        <v/>
      </c>
      <c r="D548" s="40" t="str">
        <f aca="false">IF($C548="","",IFERROR(INDEX(Ativos!$B$3:$B$42,MATCH($C548,Ativos!$A$3:$A$42,0)),""))</f>
        <v/>
      </c>
      <c r="E548" s="40" t="str">
        <f aca="false">IF($C548="","",INDEX(Planos!$C$3:$C$27,23))</f>
        <v/>
      </c>
      <c r="F548" s="40" t="str">
        <f aca="false">IF($C548="","",INDEX(Planos!$D$3:$D$27,23))</f>
        <v/>
      </c>
      <c r="G548" s="41" t="n">
        <f aca="false">IF($C548="",0,INDEX(Planos!$F$3:$F$27,23)+(18-1)*INDEX(Planos!$E$3:$E$27,23))</f>
        <v>0</v>
      </c>
      <c r="H548" s="40" t="str">
        <f aca="false">IF($C548="","",INDEX(Planos!$H$3:$H$27,23))</f>
        <v/>
      </c>
      <c r="I548" s="41" t="str">
        <f aca="false">IF($C548="","",IF(INDEX(Planos!$J$3:$AG$27,$A548,$B548)=0,"",INDEX(Planos!$J$3:$AG$27,$A548,$B548)))</f>
        <v/>
      </c>
      <c r="J548" s="26" t="str">
        <f aca="false">IF($C548="","",IF($I548&lt;&gt;"","Realizada",IF($G548&lt;INT(Parâmetros!$C$4),"Atrasada","Agendada")))</f>
        <v/>
      </c>
      <c r="K548" s="42" t="str">
        <f aca="false">IF($C548="","",IF($I548&lt;&gt;"",$I548-$G548,IF($J548="Atrasada",INT(Parâmetros!$C$4)-$G548,"")))</f>
        <v/>
      </c>
      <c r="L548" s="26" t="str">
        <f aca="false">IF($J548&lt;&gt;"Realizada","",IF($K548&lt;=0,"No prazo",IF($K548&lt;=7,"Até 7 dias",IF($K548&lt;=30,"Até 30 dias","Acima de 30"))))</f>
        <v/>
      </c>
      <c r="M548" s="26" t="str">
        <f aca="false">IF($C548="","",COUNTIFS($G$3:$G548,$G548))</f>
        <v/>
      </c>
      <c r="N548" s="26" t="str">
        <f aca="false">IF($C548="","",$G548&amp;"|"&amp;$M548)</f>
        <v/>
      </c>
    </row>
    <row r="549" customFormat="false" ht="18" hidden="false" customHeight="true" outlineLevel="0" collapsed="false">
      <c r="A549" s="26" t="n">
        <v>23</v>
      </c>
      <c r="B549" s="26" t="n">
        <v>19</v>
      </c>
      <c r="C549" s="26" t="str">
        <f aca="false">IF(INDEX(Planos!$B$3:$B$27,23)="","",IF(19&gt;INDEX(Planos!$G$3:$G$27,23),"",INDEX(Planos!$B$3:$B$27,23)))</f>
        <v/>
      </c>
      <c r="D549" s="40" t="str">
        <f aca="false">IF($C549="","",IFERROR(INDEX(Ativos!$B$3:$B$42,MATCH($C549,Ativos!$A$3:$A$42,0)),""))</f>
        <v/>
      </c>
      <c r="E549" s="40" t="str">
        <f aca="false">IF($C549="","",INDEX(Planos!$C$3:$C$27,23))</f>
        <v/>
      </c>
      <c r="F549" s="40" t="str">
        <f aca="false">IF($C549="","",INDEX(Planos!$D$3:$D$27,23))</f>
        <v/>
      </c>
      <c r="G549" s="41" t="n">
        <f aca="false">IF($C549="",0,INDEX(Planos!$F$3:$F$27,23)+(19-1)*INDEX(Planos!$E$3:$E$27,23))</f>
        <v>0</v>
      </c>
      <c r="H549" s="40" t="str">
        <f aca="false">IF($C549="","",INDEX(Planos!$H$3:$H$27,23))</f>
        <v/>
      </c>
      <c r="I549" s="41" t="str">
        <f aca="false">IF($C549="","",IF(INDEX(Planos!$J$3:$AG$27,$A549,$B549)=0,"",INDEX(Planos!$J$3:$AG$27,$A549,$B549)))</f>
        <v/>
      </c>
      <c r="J549" s="26" t="str">
        <f aca="false">IF($C549="","",IF($I549&lt;&gt;"","Realizada",IF($G549&lt;INT(Parâmetros!$C$4),"Atrasada","Agendada")))</f>
        <v/>
      </c>
      <c r="K549" s="42" t="str">
        <f aca="false">IF($C549="","",IF($I549&lt;&gt;"",$I549-$G549,IF($J549="Atrasada",INT(Parâmetros!$C$4)-$G549,"")))</f>
        <v/>
      </c>
      <c r="L549" s="26" t="str">
        <f aca="false">IF($J549&lt;&gt;"Realizada","",IF($K549&lt;=0,"No prazo",IF($K549&lt;=7,"Até 7 dias",IF($K549&lt;=30,"Até 30 dias","Acima de 30"))))</f>
        <v/>
      </c>
      <c r="M549" s="26" t="str">
        <f aca="false">IF($C549="","",COUNTIFS($G$3:$G549,$G549))</f>
        <v/>
      </c>
      <c r="N549" s="26" t="str">
        <f aca="false">IF($C549="","",$G549&amp;"|"&amp;$M549)</f>
        <v/>
      </c>
    </row>
    <row r="550" customFormat="false" ht="18" hidden="false" customHeight="true" outlineLevel="0" collapsed="false">
      <c r="A550" s="26" t="n">
        <v>23</v>
      </c>
      <c r="B550" s="26" t="n">
        <v>20</v>
      </c>
      <c r="C550" s="26" t="str">
        <f aca="false">IF(INDEX(Planos!$B$3:$B$27,23)="","",IF(20&gt;INDEX(Planos!$G$3:$G$27,23),"",INDEX(Planos!$B$3:$B$27,23)))</f>
        <v/>
      </c>
      <c r="D550" s="40" t="str">
        <f aca="false">IF($C550="","",IFERROR(INDEX(Ativos!$B$3:$B$42,MATCH($C550,Ativos!$A$3:$A$42,0)),""))</f>
        <v/>
      </c>
      <c r="E550" s="40" t="str">
        <f aca="false">IF($C550="","",INDEX(Planos!$C$3:$C$27,23))</f>
        <v/>
      </c>
      <c r="F550" s="40" t="str">
        <f aca="false">IF($C550="","",INDEX(Planos!$D$3:$D$27,23))</f>
        <v/>
      </c>
      <c r="G550" s="41" t="n">
        <f aca="false">IF($C550="",0,INDEX(Planos!$F$3:$F$27,23)+(20-1)*INDEX(Planos!$E$3:$E$27,23))</f>
        <v>0</v>
      </c>
      <c r="H550" s="40" t="str">
        <f aca="false">IF($C550="","",INDEX(Planos!$H$3:$H$27,23))</f>
        <v/>
      </c>
      <c r="I550" s="41" t="str">
        <f aca="false">IF($C550="","",IF(INDEX(Planos!$J$3:$AG$27,$A550,$B550)=0,"",INDEX(Planos!$J$3:$AG$27,$A550,$B550)))</f>
        <v/>
      </c>
      <c r="J550" s="26" t="str">
        <f aca="false">IF($C550="","",IF($I550&lt;&gt;"","Realizada",IF($G550&lt;INT(Parâmetros!$C$4),"Atrasada","Agendada")))</f>
        <v/>
      </c>
      <c r="K550" s="42" t="str">
        <f aca="false">IF($C550="","",IF($I550&lt;&gt;"",$I550-$G550,IF($J550="Atrasada",INT(Parâmetros!$C$4)-$G550,"")))</f>
        <v/>
      </c>
      <c r="L550" s="26" t="str">
        <f aca="false">IF($J550&lt;&gt;"Realizada","",IF($K550&lt;=0,"No prazo",IF($K550&lt;=7,"Até 7 dias",IF($K550&lt;=30,"Até 30 dias","Acima de 30"))))</f>
        <v/>
      </c>
      <c r="M550" s="26" t="str">
        <f aca="false">IF($C550="","",COUNTIFS($G$3:$G550,$G550))</f>
        <v/>
      </c>
      <c r="N550" s="26" t="str">
        <f aca="false">IF($C550="","",$G550&amp;"|"&amp;$M550)</f>
        <v/>
      </c>
    </row>
    <row r="551" customFormat="false" ht="18" hidden="false" customHeight="true" outlineLevel="0" collapsed="false">
      <c r="A551" s="26" t="n">
        <v>23</v>
      </c>
      <c r="B551" s="26" t="n">
        <v>21</v>
      </c>
      <c r="C551" s="26" t="str">
        <f aca="false">IF(INDEX(Planos!$B$3:$B$27,23)="","",IF(21&gt;INDEX(Planos!$G$3:$G$27,23),"",INDEX(Planos!$B$3:$B$27,23)))</f>
        <v/>
      </c>
      <c r="D551" s="40" t="str">
        <f aca="false">IF($C551="","",IFERROR(INDEX(Ativos!$B$3:$B$42,MATCH($C551,Ativos!$A$3:$A$42,0)),""))</f>
        <v/>
      </c>
      <c r="E551" s="40" t="str">
        <f aca="false">IF($C551="","",INDEX(Planos!$C$3:$C$27,23))</f>
        <v/>
      </c>
      <c r="F551" s="40" t="str">
        <f aca="false">IF($C551="","",INDEX(Planos!$D$3:$D$27,23))</f>
        <v/>
      </c>
      <c r="G551" s="41" t="n">
        <f aca="false">IF($C551="",0,INDEX(Planos!$F$3:$F$27,23)+(21-1)*INDEX(Planos!$E$3:$E$27,23))</f>
        <v>0</v>
      </c>
      <c r="H551" s="40" t="str">
        <f aca="false">IF($C551="","",INDEX(Planos!$H$3:$H$27,23))</f>
        <v/>
      </c>
      <c r="I551" s="41" t="str">
        <f aca="false">IF($C551="","",IF(INDEX(Planos!$J$3:$AG$27,$A551,$B551)=0,"",INDEX(Planos!$J$3:$AG$27,$A551,$B551)))</f>
        <v/>
      </c>
      <c r="J551" s="26" t="str">
        <f aca="false">IF($C551="","",IF($I551&lt;&gt;"","Realizada",IF($G551&lt;INT(Parâmetros!$C$4),"Atrasada","Agendada")))</f>
        <v/>
      </c>
      <c r="K551" s="42" t="str">
        <f aca="false">IF($C551="","",IF($I551&lt;&gt;"",$I551-$G551,IF($J551="Atrasada",INT(Parâmetros!$C$4)-$G551,"")))</f>
        <v/>
      </c>
      <c r="L551" s="26" t="str">
        <f aca="false">IF($J551&lt;&gt;"Realizada","",IF($K551&lt;=0,"No prazo",IF($K551&lt;=7,"Até 7 dias",IF($K551&lt;=30,"Até 30 dias","Acima de 30"))))</f>
        <v/>
      </c>
      <c r="M551" s="26" t="str">
        <f aca="false">IF($C551="","",COUNTIFS($G$3:$G551,$G551))</f>
        <v/>
      </c>
      <c r="N551" s="26" t="str">
        <f aca="false">IF($C551="","",$G551&amp;"|"&amp;$M551)</f>
        <v/>
      </c>
    </row>
    <row r="552" customFormat="false" ht="18" hidden="false" customHeight="true" outlineLevel="0" collapsed="false">
      <c r="A552" s="26" t="n">
        <v>23</v>
      </c>
      <c r="B552" s="26" t="n">
        <v>22</v>
      </c>
      <c r="C552" s="26" t="str">
        <f aca="false">IF(INDEX(Planos!$B$3:$B$27,23)="","",IF(22&gt;INDEX(Planos!$G$3:$G$27,23),"",INDEX(Planos!$B$3:$B$27,23)))</f>
        <v/>
      </c>
      <c r="D552" s="40" t="str">
        <f aca="false">IF($C552="","",IFERROR(INDEX(Ativos!$B$3:$B$42,MATCH($C552,Ativos!$A$3:$A$42,0)),""))</f>
        <v/>
      </c>
      <c r="E552" s="40" t="str">
        <f aca="false">IF($C552="","",INDEX(Planos!$C$3:$C$27,23))</f>
        <v/>
      </c>
      <c r="F552" s="40" t="str">
        <f aca="false">IF($C552="","",INDEX(Planos!$D$3:$D$27,23))</f>
        <v/>
      </c>
      <c r="G552" s="41" t="n">
        <f aca="false">IF($C552="",0,INDEX(Planos!$F$3:$F$27,23)+(22-1)*INDEX(Planos!$E$3:$E$27,23))</f>
        <v>0</v>
      </c>
      <c r="H552" s="40" t="str">
        <f aca="false">IF($C552="","",INDEX(Planos!$H$3:$H$27,23))</f>
        <v/>
      </c>
      <c r="I552" s="41" t="str">
        <f aca="false">IF($C552="","",IF(INDEX(Planos!$J$3:$AG$27,$A552,$B552)=0,"",INDEX(Planos!$J$3:$AG$27,$A552,$B552)))</f>
        <v/>
      </c>
      <c r="J552" s="26" t="str">
        <f aca="false">IF($C552="","",IF($I552&lt;&gt;"","Realizada",IF($G552&lt;INT(Parâmetros!$C$4),"Atrasada","Agendada")))</f>
        <v/>
      </c>
      <c r="K552" s="42" t="str">
        <f aca="false">IF($C552="","",IF($I552&lt;&gt;"",$I552-$G552,IF($J552="Atrasada",INT(Parâmetros!$C$4)-$G552,"")))</f>
        <v/>
      </c>
      <c r="L552" s="26" t="str">
        <f aca="false">IF($J552&lt;&gt;"Realizada","",IF($K552&lt;=0,"No prazo",IF($K552&lt;=7,"Até 7 dias",IF($K552&lt;=30,"Até 30 dias","Acima de 30"))))</f>
        <v/>
      </c>
      <c r="M552" s="26" t="str">
        <f aca="false">IF($C552="","",COUNTIFS($G$3:$G552,$G552))</f>
        <v/>
      </c>
      <c r="N552" s="26" t="str">
        <f aca="false">IF($C552="","",$G552&amp;"|"&amp;$M552)</f>
        <v/>
      </c>
    </row>
    <row r="553" customFormat="false" ht="18" hidden="false" customHeight="true" outlineLevel="0" collapsed="false">
      <c r="A553" s="26" t="n">
        <v>23</v>
      </c>
      <c r="B553" s="26" t="n">
        <v>23</v>
      </c>
      <c r="C553" s="26" t="str">
        <f aca="false">IF(INDEX(Planos!$B$3:$B$27,23)="","",IF(23&gt;INDEX(Planos!$G$3:$G$27,23),"",INDEX(Planos!$B$3:$B$27,23)))</f>
        <v/>
      </c>
      <c r="D553" s="40" t="str">
        <f aca="false">IF($C553="","",IFERROR(INDEX(Ativos!$B$3:$B$42,MATCH($C553,Ativos!$A$3:$A$42,0)),""))</f>
        <v/>
      </c>
      <c r="E553" s="40" t="str">
        <f aca="false">IF($C553="","",INDEX(Planos!$C$3:$C$27,23))</f>
        <v/>
      </c>
      <c r="F553" s="40" t="str">
        <f aca="false">IF($C553="","",INDEX(Planos!$D$3:$D$27,23))</f>
        <v/>
      </c>
      <c r="G553" s="41" t="n">
        <f aca="false">IF($C553="",0,INDEX(Planos!$F$3:$F$27,23)+(23-1)*INDEX(Planos!$E$3:$E$27,23))</f>
        <v>0</v>
      </c>
      <c r="H553" s="40" t="str">
        <f aca="false">IF($C553="","",INDEX(Planos!$H$3:$H$27,23))</f>
        <v/>
      </c>
      <c r="I553" s="41" t="str">
        <f aca="false">IF($C553="","",IF(INDEX(Planos!$J$3:$AG$27,$A553,$B553)=0,"",INDEX(Planos!$J$3:$AG$27,$A553,$B553)))</f>
        <v/>
      </c>
      <c r="J553" s="26" t="str">
        <f aca="false">IF($C553="","",IF($I553&lt;&gt;"","Realizada",IF($G553&lt;INT(Parâmetros!$C$4),"Atrasada","Agendada")))</f>
        <v/>
      </c>
      <c r="K553" s="42" t="str">
        <f aca="false">IF($C553="","",IF($I553&lt;&gt;"",$I553-$G553,IF($J553="Atrasada",INT(Parâmetros!$C$4)-$G553,"")))</f>
        <v/>
      </c>
      <c r="L553" s="26" t="str">
        <f aca="false">IF($J553&lt;&gt;"Realizada","",IF($K553&lt;=0,"No prazo",IF($K553&lt;=7,"Até 7 dias",IF($K553&lt;=30,"Até 30 dias","Acima de 30"))))</f>
        <v/>
      </c>
      <c r="M553" s="26" t="str">
        <f aca="false">IF($C553="","",COUNTIFS($G$3:$G553,$G553))</f>
        <v/>
      </c>
      <c r="N553" s="26" t="str">
        <f aca="false">IF($C553="","",$G553&amp;"|"&amp;$M553)</f>
        <v/>
      </c>
    </row>
    <row r="554" customFormat="false" ht="18" hidden="false" customHeight="true" outlineLevel="0" collapsed="false">
      <c r="A554" s="26" t="n">
        <v>23</v>
      </c>
      <c r="B554" s="26" t="n">
        <v>24</v>
      </c>
      <c r="C554" s="26" t="str">
        <f aca="false">IF(INDEX(Planos!$B$3:$B$27,23)="","",IF(24&gt;INDEX(Planos!$G$3:$G$27,23),"",INDEX(Planos!$B$3:$B$27,23)))</f>
        <v/>
      </c>
      <c r="D554" s="40" t="str">
        <f aca="false">IF($C554="","",IFERROR(INDEX(Ativos!$B$3:$B$42,MATCH($C554,Ativos!$A$3:$A$42,0)),""))</f>
        <v/>
      </c>
      <c r="E554" s="40" t="str">
        <f aca="false">IF($C554="","",INDEX(Planos!$C$3:$C$27,23))</f>
        <v/>
      </c>
      <c r="F554" s="40" t="str">
        <f aca="false">IF($C554="","",INDEX(Planos!$D$3:$D$27,23))</f>
        <v/>
      </c>
      <c r="G554" s="41" t="n">
        <f aca="false">IF($C554="",0,INDEX(Planos!$F$3:$F$27,23)+(24-1)*INDEX(Planos!$E$3:$E$27,23))</f>
        <v>0</v>
      </c>
      <c r="H554" s="40" t="str">
        <f aca="false">IF($C554="","",INDEX(Planos!$H$3:$H$27,23))</f>
        <v/>
      </c>
      <c r="I554" s="41" t="str">
        <f aca="false">IF($C554="","",IF(INDEX(Planos!$J$3:$AG$27,$A554,$B554)=0,"",INDEX(Planos!$J$3:$AG$27,$A554,$B554)))</f>
        <v/>
      </c>
      <c r="J554" s="26" t="str">
        <f aca="false">IF($C554="","",IF($I554&lt;&gt;"","Realizada",IF($G554&lt;INT(Parâmetros!$C$4),"Atrasada","Agendada")))</f>
        <v/>
      </c>
      <c r="K554" s="42" t="str">
        <f aca="false">IF($C554="","",IF($I554&lt;&gt;"",$I554-$G554,IF($J554="Atrasada",INT(Parâmetros!$C$4)-$G554,"")))</f>
        <v/>
      </c>
      <c r="L554" s="26" t="str">
        <f aca="false">IF($J554&lt;&gt;"Realizada","",IF($K554&lt;=0,"No prazo",IF($K554&lt;=7,"Até 7 dias",IF($K554&lt;=30,"Até 30 dias","Acima de 30"))))</f>
        <v/>
      </c>
      <c r="M554" s="26" t="str">
        <f aca="false">IF($C554="","",COUNTIFS($G$3:$G554,$G554))</f>
        <v/>
      </c>
      <c r="N554" s="26" t="str">
        <f aca="false">IF($C554="","",$G554&amp;"|"&amp;$M554)</f>
        <v/>
      </c>
    </row>
    <row r="555" customFormat="false" ht="18" hidden="false" customHeight="true" outlineLevel="0" collapsed="false">
      <c r="A555" s="26" t="n">
        <v>24</v>
      </c>
      <c r="B555" s="26" t="n">
        <v>1</v>
      </c>
      <c r="C555" s="26" t="str">
        <f aca="false">IF(INDEX(Planos!$B$3:$B$27,24)="","",IF(1&gt;INDEX(Planos!$G$3:$G$27,24),"",INDEX(Planos!$B$3:$B$27,24)))</f>
        <v/>
      </c>
      <c r="D555" s="40" t="str">
        <f aca="false">IF($C555="","",IFERROR(INDEX(Ativos!$B$3:$B$42,MATCH($C555,Ativos!$A$3:$A$42,0)),""))</f>
        <v/>
      </c>
      <c r="E555" s="40" t="str">
        <f aca="false">IF($C555="","",INDEX(Planos!$C$3:$C$27,24))</f>
        <v/>
      </c>
      <c r="F555" s="40" t="str">
        <f aca="false">IF($C555="","",INDEX(Planos!$D$3:$D$27,24))</f>
        <v/>
      </c>
      <c r="G555" s="41" t="n">
        <f aca="false">IF($C555="",0,INDEX(Planos!$F$3:$F$27,24)+(1-1)*INDEX(Planos!$E$3:$E$27,24))</f>
        <v>0</v>
      </c>
      <c r="H555" s="40" t="str">
        <f aca="false">IF($C555="","",INDEX(Planos!$H$3:$H$27,24))</f>
        <v/>
      </c>
      <c r="I555" s="41" t="str">
        <f aca="false">IF($C555="","",IF(INDEX(Planos!$J$3:$AG$27,$A555,$B555)=0,"",INDEX(Planos!$J$3:$AG$27,$A555,$B555)))</f>
        <v/>
      </c>
      <c r="J555" s="26" t="str">
        <f aca="false">IF($C555="","",IF($I555&lt;&gt;"","Realizada",IF($G555&lt;INT(Parâmetros!$C$4),"Atrasada","Agendada")))</f>
        <v/>
      </c>
      <c r="K555" s="42" t="str">
        <f aca="false">IF($C555="","",IF($I555&lt;&gt;"",$I555-$G555,IF($J555="Atrasada",INT(Parâmetros!$C$4)-$G555,"")))</f>
        <v/>
      </c>
      <c r="L555" s="26" t="str">
        <f aca="false">IF($J555&lt;&gt;"Realizada","",IF($K555&lt;=0,"No prazo",IF($K555&lt;=7,"Até 7 dias",IF($K555&lt;=30,"Até 30 dias","Acima de 30"))))</f>
        <v/>
      </c>
      <c r="M555" s="26" t="str">
        <f aca="false">IF($C555="","",COUNTIFS($G$3:$G555,$G555))</f>
        <v/>
      </c>
      <c r="N555" s="26" t="str">
        <f aca="false">IF($C555="","",$G555&amp;"|"&amp;$M555)</f>
        <v/>
      </c>
    </row>
    <row r="556" customFormat="false" ht="18" hidden="false" customHeight="true" outlineLevel="0" collapsed="false">
      <c r="A556" s="26" t="n">
        <v>24</v>
      </c>
      <c r="B556" s="26" t="n">
        <v>2</v>
      </c>
      <c r="C556" s="26" t="str">
        <f aca="false">IF(INDEX(Planos!$B$3:$B$27,24)="","",IF(2&gt;INDEX(Planos!$G$3:$G$27,24),"",INDEX(Planos!$B$3:$B$27,24)))</f>
        <v/>
      </c>
      <c r="D556" s="40" t="str">
        <f aca="false">IF($C556="","",IFERROR(INDEX(Ativos!$B$3:$B$42,MATCH($C556,Ativos!$A$3:$A$42,0)),""))</f>
        <v/>
      </c>
      <c r="E556" s="40" t="str">
        <f aca="false">IF($C556="","",INDEX(Planos!$C$3:$C$27,24))</f>
        <v/>
      </c>
      <c r="F556" s="40" t="str">
        <f aca="false">IF($C556="","",INDEX(Planos!$D$3:$D$27,24))</f>
        <v/>
      </c>
      <c r="G556" s="41" t="n">
        <f aca="false">IF($C556="",0,INDEX(Planos!$F$3:$F$27,24)+(2-1)*INDEX(Planos!$E$3:$E$27,24))</f>
        <v>0</v>
      </c>
      <c r="H556" s="40" t="str">
        <f aca="false">IF($C556="","",INDEX(Planos!$H$3:$H$27,24))</f>
        <v/>
      </c>
      <c r="I556" s="41" t="str">
        <f aca="false">IF($C556="","",IF(INDEX(Planos!$J$3:$AG$27,$A556,$B556)=0,"",INDEX(Planos!$J$3:$AG$27,$A556,$B556)))</f>
        <v/>
      </c>
      <c r="J556" s="26" t="str">
        <f aca="false">IF($C556="","",IF($I556&lt;&gt;"","Realizada",IF($G556&lt;INT(Parâmetros!$C$4),"Atrasada","Agendada")))</f>
        <v/>
      </c>
      <c r="K556" s="42" t="str">
        <f aca="false">IF($C556="","",IF($I556&lt;&gt;"",$I556-$G556,IF($J556="Atrasada",INT(Parâmetros!$C$4)-$G556,"")))</f>
        <v/>
      </c>
      <c r="L556" s="26" t="str">
        <f aca="false">IF($J556&lt;&gt;"Realizada","",IF($K556&lt;=0,"No prazo",IF($K556&lt;=7,"Até 7 dias",IF($K556&lt;=30,"Até 30 dias","Acima de 30"))))</f>
        <v/>
      </c>
      <c r="M556" s="26" t="str">
        <f aca="false">IF($C556="","",COUNTIFS($G$3:$G556,$G556))</f>
        <v/>
      </c>
      <c r="N556" s="26" t="str">
        <f aca="false">IF($C556="","",$G556&amp;"|"&amp;$M556)</f>
        <v/>
      </c>
    </row>
    <row r="557" customFormat="false" ht="18" hidden="false" customHeight="true" outlineLevel="0" collapsed="false">
      <c r="A557" s="26" t="n">
        <v>24</v>
      </c>
      <c r="B557" s="26" t="n">
        <v>3</v>
      </c>
      <c r="C557" s="26" t="str">
        <f aca="false">IF(INDEX(Planos!$B$3:$B$27,24)="","",IF(3&gt;INDEX(Planos!$G$3:$G$27,24),"",INDEX(Planos!$B$3:$B$27,24)))</f>
        <v/>
      </c>
      <c r="D557" s="40" t="str">
        <f aca="false">IF($C557="","",IFERROR(INDEX(Ativos!$B$3:$B$42,MATCH($C557,Ativos!$A$3:$A$42,0)),""))</f>
        <v/>
      </c>
      <c r="E557" s="40" t="str">
        <f aca="false">IF($C557="","",INDEX(Planos!$C$3:$C$27,24))</f>
        <v/>
      </c>
      <c r="F557" s="40" t="str">
        <f aca="false">IF($C557="","",INDEX(Planos!$D$3:$D$27,24))</f>
        <v/>
      </c>
      <c r="G557" s="41" t="n">
        <f aca="false">IF($C557="",0,INDEX(Planos!$F$3:$F$27,24)+(3-1)*INDEX(Planos!$E$3:$E$27,24))</f>
        <v>0</v>
      </c>
      <c r="H557" s="40" t="str">
        <f aca="false">IF($C557="","",INDEX(Planos!$H$3:$H$27,24))</f>
        <v/>
      </c>
      <c r="I557" s="41" t="str">
        <f aca="false">IF($C557="","",IF(INDEX(Planos!$J$3:$AG$27,$A557,$B557)=0,"",INDEX(Planos!$J$3:$AG$27,$A557,$B557)))</f>
        <v/>
      </c>
      <c r="J557" s="26" t="str">
        <f aca="false">IF($C557="","",IF($I557&lt;&gt;"","Realizada",IF($G557&lt;INT(Parâmetros!$C$4),"Atrasada","Agendada")))</f>
        <v/>
      </c>
      <c r="K557" s="42" t="str">
        <f aca="false">IF($C557="","",IF($I557&lt;&gt;"",$I557-$G557,IF($J557="Atrasada",INT(Parâmetros!$C$4)-$G557,"")))</f>
        <v/>
      </c>
      <c r="L557" s="26" t="str">
        <f aca="false">IF($J557&lt;&gt;"Realizada","",IF($K557&lt;=0,"No prazo",IF($K557&lt;=7,"Até 7 dias",IF($K557&lt;=30,"Até 30 dias","Acima de 30"))))</f>
        <v/>
      </c>
      <c r="M557" s="26" t="str">
        <f aca="false">IF($C557="","",COUNTIFS($G$3:$G557,$G557))</f>
        <v/>
      </c>
      <c r="N557" s="26" t="str">
        <f aca="false">IF($C557="","",$G557&amp;"|"&amp;$M557)</f>
        <v/>
      </c>
    </row>
    <row r="558" customFormat="false" ht="18" hidden="false" customHeight="true" outlineLevel="0" collapsed="false">
      <c r="A558" s="26" t="n">
        <v>24</v>
      </c>
      <c r="B558" s="26" t="n">
        <v>4</v>
      </c>
      <c r="C558" s="26" t="str">
        <f aca="false">IF(INDEX(Planos!$B$3:$B$27,24)="","",IF(4&gt;INDEX(Planos!$G$3:$G$27,24),"",INDEX(Planos!$B$3:$B$27,24)))</f>
        <v/>
      </c>
      <c r="D558" s="40" t="str">
        <f aca="false">IF($C558="","",IFERROR(INDEX(Ativos!$B$3:$B$42,MATCH($C558,Ativos!$A$3:$A$42,0)),""))</f>
        <v/>
      </c>
      <c r="E558" s="40" t="str">
        <f aca="false">IF($C558="","",INDEX(Planos!$C$3:$C$27,24))</f>
        <v/>
      </c>
      <c r="F558" s="40" t="str">
        <f aca="false">IF($C558="","",INDEX(Planos!$D$3:$D$27,24))</f>
        <v/>
      </c>
      <c r="G558" s="41" t="n">
        <f aca="false">IF($C558="",0,INDEX(Planos!$F$3:$F$27,24)+(4-1)*INDEX(Planos!$E$3:$E$27,24))</f>
        <v>0</v>
      </c>
      <c r="H558" s="40" t="str">
        <f aca="false">IF($C558="","",INDEX(Planos!$H$3:$H$27,24))</f>
        <v/>
      </c>
      <c r="I558" s="41" t="str">
        <f aca="false">IF($C558="","",IF(INDEX(Planos!$J$3:$AG$27,$A558,$B558)=0,"",INDEX(Planos!$J$3:$AG$27,$A558,$B558)))</f>
        <v/>
      </c>
      <c r="J558" s="26" t="str">
        <f aca="false">IF($C558="","",IF($I558&lt;&gt;"","Realizada",IF($G558&lt;INT(Parâmetros!$C$4),"Atrasada","Agendada")))</f>
        <v/>
      </c>
      <c r="K558" s="42" t="str">
        <f aca="false">IF($C558="","",IF($I558&lt;&gt;"",$I558-$G558,IF($J558="Atrasada",INT(Parâmetros!$C$4)-$G558,"")))</f>
        <v/>
      </c>
      <c r="L558" s="26" t="str">
        <f aca="false">IF($J558&lt;&gt;"Realizada","",IF($K558&lt;=0,"No prazo",IF($K558&lt;=7,"Até 7 dias",IF($K558&lt;=30,"Até 30 dias","Acima de 30"))))</f>
        <v/>
      </c>
      <c r="M558" s="26" t="str">
        <f aca="false">IF($C558="","",COUNTIFS($G$3:$G558,$G558))</f>
        <v/>
      </c>
      <c r="N558" s="26" t="str">
        <f aca="false">IF($C558="","",$G558&amp;"|"&amp;$M558)</f>
        <v/>
      </c>
    </row>
    <row r="559" customFormat="false" ht="18" hidden="false" customHeight="true" outlineLevel="0" collapsed="false">
      <c r="A559" s="26" t="n">
        <v>24</v>
      </c>
      <c r="B559" s="26" t="n">
        <v>5</v>
      </c>
      <c r="C559" s="26" t="str">
        <f aca="false">IF(INDEX(Planos!$B$3:$B$27,24)="","",IF(5&gt;INDEX(Planos!$G$3:$G$27,24),"",INDEX(Planos!$B$3:$B$27,24)))</f>
        <v/>
      </c>
      <c r="D559" s="40" t="str">
        <f aca="false">IF($C559="","",IFERROR(INDEX(Ativos!$B$3:$B$42,MATCH($C559,Ativos!$A$3:$A$42,0)),""))</f>
        <v/>
      </c>
      <c r="E559" s="40" t="str">
        <f aca="false">IF($C559="","",INDEX(Planos!$C$3:$C$27,24))</f>
        <v/>
      </c>
      <c r="F559" s="40" t="str">
        <f aca="false">IF($C559="","",INDEX(Planos!$D$3:$D$27,24))</f>
        <v/>
      </c>
      <c r="G559" s="41" t="n">
        <f aca="false">IF($C559="",0,INDEX(Planos!$F$3:$F$27,24)+(5-1)*INDEX(Planos!$E$3:$E$27,24))</f>
        <v>0</v>
      </c>
      <c r="H559" s="40" t="str">
        <f aca="false">IF($C559="","",INDEX(Planos!$H$3:$H$27,24))</f>
        <v/>
      </c>
      <c r="I559" s="41" t="str">
        <f aca="false">IF($C559="","",IF(INDEX(Planos!$J$3:$AG$27,$A559,$B559)=0,"",INDEX(Planos!$J$3:$AG$27,$A559,$B559)))</f>
        <v/>
      </c>
      <c r="J559" s="26" t="str">
        <f aca="false">IF($C559="","",IF($I559&lt;&gt;"","Realizada",IF($G559&lt;INT(Parâmetros!$C$4),"Atrasada","Agendada")))</f>
        <v/>
      </c>
      <c r="K559" s="42" t="str">
        <f aca="false">IF($C559="","",IF($I559&lt;&gt;"",$I559-$G559,IF($J559="Atrasada",INT(Parâmetros!$C$4)-$G559,"")))</f>
        <v/>
      </c>
      <c r="L559" s="26" t="str">
        <f aca="false">IF($J559&lt;&gt;"Realizada","",IF($K559&lt;=0,"No prazo",IF($K559&lt;=7,"Até 7 dias",IF($K559&lt;=30,"Até 30 dias","Acima de 30"))))</f>
        <v/>
      </c>
      <c r="M559" s="26" t="str">
        <f aca="false">IF($C559="","",COUNTIFS($G$3:$G559,$G559))</f>
        <v/>
      </c>
      <c r="N559" s="26" t="str">
        <f aca="false">IF($C559="","",$G559&amp;"|"&amp;$M559)</f>
        <v/>
      </c>
    </row>
    <row r="560" customFormat="false" ht="18" hidden="false" customHeight="true" outlineLevel="0" collapsed="false">
      <c r="A560" s="26" t="n">
        <v>24</v>
      </c>
      <c r="B560" s="26" t="n">
        <v>6</v>
      </c>
      <c r="C560" s="26" t="str">
        <f aca="false">IF(INDEX(Planos!$B$3:$B$27,24)="","",IF(6&gt;INDEX(Planos!$G$3:$G$27,24),"",INDEX(Planos!$B$3:$B$27,24)))</f>
        <v/>
      </c>
      <c r="D560" s="40" t="str">
        <f aca="false">IF($C560="","",IFERROR(INDEX(Ativos!$B$3:$B$42,MATCH($C560,Ativos!$A$3:$A$42,0)),""))</f>
        <v/>
      </c>
      <c r="E560" s="40" t="str">
        <f aca="false">IF($C560="","",INDEX(Planos!$C$3:$C$27,24))</f>
        <v/>
      </c>
      <c r="F560" s="40" t="str">
        <f aca="false">IF($C560="","",INDEX(Planos!$D$3:$D$27,24))</f>
        <v/>
      </c>
      <c r="G560" s="41" t="n">
        <f aca="false">IF($C560="",0,INDEX(Planos!$F$3:$F$27,24)+(6-1)*INDEX(Planos!$E$3:$E$27,24))</f>
        <v>0</v>
      </c>
      <c r="H560" s="40" t="str">
        <f aca="false">IF($C560="","",INDEX(Planos!$H$3:$H$27,24))</f>
        <v/>
      </c>
      <c r="I560" s="41" t="str">
        <f aca="false">IF($C560="","",IF(INDEX(Planos!$J$3:$AG$27,$A560,$B560)=0,"",INDEX(Planos!$J$3:$AG$27,$A560,$B560)))</f>
        <v/>
      </c>
      <c r="J560" s="26" t="str">
        <f aca="false">IF($C560="","",IF($I560&lt;&gt;"","Realizada",IF($G560&lt;INT(Parâmetros!$C$4),"Atrasada","Agendada")))</f>
        <v/>
      </c>
      <c r="K560" s="42" t="str">
        <f aca="false">IF($C560="","",IF($I560&lt;&gt;"",$I560-$G560,IF($J560="Atrasada",INT(Parâmetros!$C$4)-$G560,"")))</f>
        <v/>
      </c>
      <c r="L560" s="26" t="str">
        <f aca="false">IF($J560&lt;&gt;"Realizada","",IF($K560&lt;=0,"No prazo",IF($K560&lt;=7,"Até 7 dias",IF($K560&lt;=30,"Até 30 dias","Acima de 30"))))</f>
        <v/>
      </c>
      <c r="M560" s="26" t="str">
        <f aca="false">IF($C560="","",COUNTIFS($G$3:$G560,$G560))</f>
        <v/>
      </c>
      <c r="N560" s="26" t="str">
        <f aca="false">IF($C560="","",$G560&amp;"|"&amp;$M560)</f>
        <v/>
      </c>
    </row>
    <row r="561" customFormat="false" ht="18" hidden="false" customHeight="true" outlineLevel="0" collapsed="false">
      <c r="A561" s="26" t="n">
        <v>24</v>
      </c>
      <c r="B561" s="26" t="n">
        <v>7</v>
      </c>
      <c r="C561" s="26" t="str">
        <f aca="false">IF(INDEX(Planos!$B$3:$B$27,24)="","",IF(7&gt;INDEX(Planos!$G$3:$G$27,24),"",INDEX(Planos!$B$3:$B$27,24)))</f>
        <v/>
      </c>
      <c r="D561" s="40" t="str">
        <f aca="false">IF($C561="","",IFERROR(INDEX(Ativos!$B$3:$B$42,MATCH($C561,Ativos!$A$3:$A$42,0)),""))</f>
        <v/>
      </c>
      <c r="E561" s="40" t="str">
        <f aca="false">IF($C561="","",INDEX(Planos!$C$3:$C$27,24))</f>
        <v/>
      </c>
      <c r="F561" s="40" t="str">
        <f aca="false">IF($C561="","",INDEX(Planos!$D$3:$D$27,24))</f>
        <v/>
      </c>
      <c r="G561" s="41" t="n">
        <f aca="false">IF($C561="",0,INDEX(Planos!$F$3:$F$27,24)+(7-1)*INDEX(Planos!$E$3:$E$27,24))</f>
        <v>0</v>
      </c>
      <c r="H561" s="40" t="str">
        <f aca="false">IF($C561="","",INDEX(Planos!$H$3:$H$27,24))</f>
        <v/>
      </c>
      <c r="I561" s="41" t="str">
        <f aca="false">IF($C561="","",IF(INDEX(Planos!$J$3:$AG$27,$A561,$B561)=0,"",INDEX(Planos!$J$3:$AG$27,$A561,$B561)))</f>
        <v/>
      </c>
      <c r="J561" s="26" t="str">
        <f aca="false">IF($C561="","",IF($I561&lt;&gt;"","Realizada",IF($G561&lt;INT(Parâmetros!$C$4),"Atrasada","Agendada")))</f>
        <v/>
      </c>
      <c r="K561" s="42" t="str">
        <f aca="false">IF($C561="","",IF($I561&lt;&gt;"",$I561-$G561,IF($J561="Atrasada",INT(Parâmetros!$C$4)-$G561,"")))</f>
        <v/>
      </c>
      <c r="L561" s="26" t="str">
        <f aca="false">IF($J561&lt;&gt;"Realizada","",IF($K561&lt;=0,"No prazo",IF($K561&lt;=7,"Até 7 dias",IF($K561&lt;=30,"Até 30 dias","Acima de 30"))))</f>
        <v/>
      </c>
      <c r="M561" s="26" t="str">
        <f aca="false">IF($C561="","",COUNTIFS($G$3:$G561,$G561))</f>
        <v/>
      </c>
      <c r="N561" s="26" t="str">
        <f aca="false">IF($C561="","",$G561&amp;"|"&amp;$M561)</f>
        <v/>
      </c>
    </row>
    <row r="562" customFormat="false" ht="18" hidden="false" customHeight="true" outlineLevel="0" collapsed="false">
      <c r="A562" s="26" t="n">
        <v>24</v>
      </c>
      <c r="B562" s="26" t="n">
        <v>8</v>
      </c>
      <c r="C562" s="26" t="str">
        <f aca="false">IF(INDEX(Planos!$B$3:$B$27,24)="","",IF(8&gt;INDEX(Planos!$G$3:$G$27,24),"",INDEX(Planos!$B$3:$B$27,24)))</f>
        <v/>
      </c>
      <c r="D562" s="40" t="str">
        <f aca="false">IF($C562="","",IFERROR(INDEX(Ativos!$B$3:$B$42,MATCH($C562,Ativos!$A$3:$A$42,0)),""))</f>
        <v/>
      </c>
      <c r="E562" s="40" t="str">
        <f aca="false">IF($C562="","",INDEX(Planos!$C$3:$C$27,24))</f>
        <v/>
      </c>
      <c r="F562" s="40" t="str">
        <f aca="false">IF($C562="","",INDEX(Planos!$D$3:$D$27,24))</f>
        <v/>
      </c>
      <c r="G562" s="41" t="n">
        <f aca="false">IF($C562="",0,INDEX(Planos!$F$3:$F$27,24)+(8-1)*INDEX(Planos!$E$3:$E$27,24))</f>
        <v>0</v>
      </c>
      <c r="H562" s="40" t="str">
        <f aca="false">IF($C562="","",INDEX(Planos!$H$3:$H$27,24))</f>
        <v/>
      </c>
      <c r="I562" s="41" t="str">
        <f aca="false">IF($C562="","",IF(INDEX(Planos!$J$3:$AG$27,$A562,$B562)=0,"",INDEX(Planos!$J$3:$AG$27,$A562,$B562)))</f>
        <v/>
      </c>
      <c r="J562" s="26" t="str">
        <f aca="false">IF($C562="","",IF($I562&lt;&gt;"","Realizada",IF($G562&lt;INT(Parâmetros!$C$4),"Atrasada","Agendada")))</f>
        <v/>
      </c>
      <c r="K562" s="42" t="str">
        <f aca="false">IF($C562="","",IF($I562&lt;&gt;"",$I562-$G562,IF($J562="Atrasada",INT(Parâmetros!$C$4)-$G562,"")))</f>
        <v/>
      </c>
      <c r="L562" s="26" t="str">
        <f aca="false">IF($J562&lt;&gt;"Realizada","",IF($K562&lt;=0,"No prazo",IF($K562&lt;=7,"Até 7 dias",IF($K562&lt;=30,"Até 30 dias","Acima de 30"))))</f>
        <v/>
      </c>
      <c r="M562" s="26" t="str">
        <f aca="false">IF($C562="","",COUNTIFS($G$3:$G562,$G562))</f>
        <v/>
      </c>
      <c r="N562" s="26" t="str">
        <f aca="false">IF($C562="","",$G562&amp;"|"&amp;$M562)</f>
        <v/>
      </c>
    </row>
    <row r="563" customFormat="false" ht="18" hidden="false" customHeight="true" outlineLevel="0" collapsed="false">
      <c r="A563" s="26" t="n">
        <v>24</v>
      </c>
      <c r="B563" s="26" t="n">
        <v>9</v>
      </c>
      <c r="C563" s="26" t="str">
        <f aca="false">IF(INDEX(Planos!$B$3:$B$27,24)="","",IF(9&gt;INDEX(Planos!$G$3:$G$27,24),"",INDEX(Planos!$B$3:$B$27,24)))</f>
        <v/>
      </c>
      <c r="D563" s="40" t="str">
        <f aca="false">IF($C563="","",IFERROR(INDEX(Ativos!$B$3:$B$42,MATCH($C563,Ativos!$A$3:$A$42,0)),""))</f>
        <v/>
      </c>
      <c r="E563" s="40" t="str">
        <f aca="false">IF($C563="","",INDEX(Planos!$C$3:$C$27,24))</f>
        <v/>
      </c>
      <c r="F563" s="40" t="str">
        <f aca="false">IF($C563="","",INDEX(Planos!$D$3:$D$27,24))</f>
        <v/>
      </c>
      <c r="G563" s="41" t="n">
        <f aca="false">IF($C563="",0,INDEX(Planos!$F$3:$F$27,24)+(9-1)*INDEX(Planos!$E$3:$E$27,24))</f>
        <v>0</v>
      </c>
      <c r="H563" s="40" t="str">
        <f aca="false">IF($C563="","",INDEX(Planos!$H$3:$H$27,24))</f>
        <v/>
      </c>
      <c r="I563" s="41" t="str">
        <f aca="false">IF($C563="","",IF(INDEX(Planos!$J$3:$AG$27,$A563,$B563)=0,"",INDEX(Planos!$J$3:$AG$27,$A563,$B563)))</f>
        <v/>
      </c>
      <c r="J563" s="26" t="str">
        <f aca="false">IF($C563="","",IF($I563&lt;&gt;"","Realizada",IF($G563&lt;INT(Parâmetros!$C$4),"Atrasada","Agendada")))</f>
        <v/>
      </c>
      <c r="K563" s="42" t="str">
        <f aca="false">IF($C563="","",IF($I563&lt;&gt;"",$I563-$G563,IF($J563="Atrasada",INT(Parâmetros!$C$4)-$G563,"")))</f>
        <v/>
      </c>
      <c r="L563" s="26" t="str">
        <f aca="false">IF($J563&lt;&gt;"Realizada","",IF($K563&lt;=0,"No prazo",IF($K563&lt;=7,"Até 7 dias",IF($K563&lt;=30,"Até 30 dias","Acima de 30"))))</f>
        <v/>
      </c>
      <c r="M563" s="26" t="str">
        <f aca="false">IF($C563="","",COUNTIFS($G$3:$G563,$G563))</f>
        <v/>
      </c>
      <c r="N563" s="26" t="str">
        <f aca="false">IF($C563="","",$G563&amp;"|"&amp;$M563)</f>
        <v/>
      </c>
    </row>
    <row r="564" customFormat="false" ht="18" hidden="false" customHeight="true" outlineLevel="0" collapsed="false">
      <c r="A564" s="26" t="n">
        <v>24</v>
      </c>
      <c r="B564" s="26" t="n">
        <v>10</v>
      </c>
      <c r="C564" s="26" t="str">
        <f aca="false">IF(INDEX(Planos!$B$3:$B$27,24)="","",IF(10&gt;INDEX(Planos!$G$3:$G$27,24),"",INDEX(Planos!$B$3:$B$27,24)))</f>
        <v/>
      </c>
      <c r="D564" s="40" t="str">
        <f aca="false">IF($C564="","",IFERROR(INDEX(Ativos!$B$3:$B$42,MATCH($C564,Ativos!$A$3:$A$42,0)),""))</f>
        <v/>
      </c>
      <c r="E564" s="40" t="str">
        <f aca="false">IF($C564="","",INDEX(Planos!$C$3:$C$27,24))</f>
        <v/>
      </c>
      <c r="F564" s="40" t="str">
        <f aca="false">IF($C564="","",INDEX(Planos!$D$3:$D$27,24))</f>
        <v/>
      </c>
      <c r="G564" s="41" t="n">
        <f aca="false">IF($C564="",0,INDEX(Planos!$F$3:$F$27,24)+(10-1)*INDEX(Planos!$E$3:$E$27,24))</f>
        <v>0</v>
      </c>
      <c r="H564" s="40" t="str">
        <f aca="false">IF($C564="","",INDEX(Planos!$H$3:$H$27,24))</f>
        <v/>
      </c>
      <c r="I564" s="41" t="str">
        <f aca="false">IF($C564="","",IF(INDEX(Planos!$J$3:$AG$27,$A564,$B564)=0,"",INDEX(Planos!$J$3:$AG$27,$A564,$B564)))</f>
        <v/>
      </c>
      <c r="J564" s="26" t="str">
        <f aca="false">IF($C564="","",IF($I564&lt;&gt;"","Realizada",IF($G564&lt;INT(Parâmetros!$C$4),"Atrasada","Agendada")))</f>
        <v/>
      </c>
      <c r="K564" s="42" t="str">
        <f aca="false">IF($C564="","",IF($I564&lt;&gt;"",$I564-$G564,IF($J564="Atrasada",INT(Parâmetros!$C$4)-$G564,"")))</f>
        <v/>
      </c>
      <c r="L564" s="26" t="str">
        <f aca="false">IF($J564&lt;&gt;"Realizada","",IF($K564&lt;=0,"No prazo",IF($K564&lt;=7,"Até 7 dias",IF($K564&lt;=30,"Até 30 dias","Acima de 30"))))</f>
        <v/>
      </c>
      <c r="M564" s="26" t="str">
        <f aca="false">IF($C564="","",COUNTIFS($G$3:$G564,$G564))</f>
        <v/>
      </c>
      <c r="N564" s="26" t="str">
        <f aca="false">IF($C564="","",$G564&amp;"|"&amp;$M564)</f>
        <v/>
      </c>
    </row>
    <row r="565" customFormat="false" ht="18" hidden="false" customHeight="true" outlineLevel="0" collapsed="false">
      <c r="A565" s="26" t="n">
        <v>24</v>
      </c>
      <c r="B565" s="26" t="n">
        <v>11</v>
      </c>
      <c r="C565" s="26" t="str">
        <f aca="false">IF(INDEX(Planos!$B$3:$B$27,24)="","",IF(11&gt;INDEX(Planos!$G$3:$G$27,24),"",INDEX(Planos!$B$3:$B$27,24)))</f>
        <v/>
      </c>
      <c r="D565" s="40" t="str">
        <f aca="false">IF($C565="","",IFERROR(INDEX(Ativos!$B$3:$B$42,MATCH($C565,Ativos!$A$3:$A$42,0)),""))</f>
        <v/>
      </c>
      <c r="E565" s="40" t="str">
        <f aca="false">IF($C565="","",INDEX(Planos!$C$3:$C$27,24))</f>
        <v/>
      </c>
      <c r="F565" s="40" t="str">
        <f aca="false">IF($C565="","",INDEX(Planos!$D$3:$D$27,24))</f>
        <v/>
      </c>
      <c r="G565" s="41" t="n">
        <f aca="false">IF($C565="",0,INDEX(Planos!$F$3:$F$27,24)+(11-1)*INDEX(Planos!$E$3:$E$27,24))</f>
        <v>0</v>
      </c>
      <c r="H565" s="40" t="str">
        <f aca="false">IF($C565="","",INDEX(Planos!$H$3:$H$27,24))</f>
        <v/>
      </c>
      <c r="I565" s="41" t="str">
        <f aca="false">IF($C565="","",IF(INDEX(Planos!$J$3:$AG$27,$A565,$B565)=0,"",INDEX(Planos!$J$3:$AG$27,$A565,$B565)))</f>
        <v/>
      </c>
      <c r="J565" s="26" t="str">
        <f aca="false">IF($C565="","",IF($I565&lt;&gt;"","Realizada",IF($G565&lt;INT(Parâmetros!$C$4),"Atrasada","Agendada")))</f>
        <v/>
      </c>
      <c r="K565" s="42" t="str">
        <f aca="false">IF($C565="","",IF($I565&lt;&gt;"",$I565-$G565,IF($J565="Atrasada",INT(Parâmetros!$C$4)-$G565,"")))</f>
        <v/>
      </c>
      <c r="L565" s="26" t="str">
        <f aca="false">IF($J565&lt;&gt;"Realizada","",IF($K565&lt;=0,"No prazo",IF($K565&lt;=7,"Até 7 dias",IF($K565&lt;=30,"Até 30 dias","Acima de 30"))))</f>
        <v/>
      </c>
      <c r="M565" s="26" t="str">
        <f aca="false">IF($C565="","",COUNTIFS($G$3:$G565,$G565))</f>
        <v/>
      </c>
      <c r="N565" s="26" t="str">
        <f aca="false">IF($C565="","",$G565&amp;"|"&amp;$M565)</f>
        <v/>
      </c>
    </row>
    <row r="566" customFormat="false" ht="18" hidden="false" customHeight="true" outlineLevel="0" collapsed="false">
      <c r="A566" s="26" t="n">
        <v>24</v>
      </c>
      <c r="B566" s="26" t="n">
        <v>12</v>
      </c>
      <c r="C566" s="26" t="str">
        <f aca="false">IF(INDEX(Planos!$B$3:$B$27,24)="","",IF(12&gt;INDEX(Planos!$G$3:$G$27,24),"",INDEX(Planos!$B$3:$B$27,24)))</f>
        <v/>
      </c>
      <c r="D566" s="40" t="str">
        <f aca="false">IF($C566="","",IFERROR(INDEX(Ativos!$B$3:$B$42,MATCH($C566,Ativos!$A$3:$A$42,0)),""))</f>
        <v/>
      </c>
      <c r="E566" s="40" t="str">
        <f aca="false">IF($C566="","",INDEX(Planos!$C$3:$C$27,24))</f>
        <v/>
      </c>
      <c r="F566" s="40" t="str">
        <f aca="false">IF($C566="","",INDEX(Planos!$D$3:$D$27,24))</f>
        <v/>
      </c>
      <c r="G566" s="41" t="n">
        <f aca="false">IF($C566="",0,INDEX(Planos!$F$3:$F$27,24)+(12-1)*INDEX(Planos!$E$3:$E$27,24))</f>
        <v>0</v>
      </c>
      <c r="H566" s="40" t="str">
        <f aca="false">IF($C566="","",INDEX(Planos!$H$3:$H$27,24))</f>
        <v/>
      </c>
      <c r="I566" s="41" t="str">
        <f aca="false">IF($C566="","",IF(INDEX(Planos!$J$3:$AG$27,$A566,$B566)=0,"",INDEX(Planos!$J$3:$AG$27,$A566,$B566)))</f>
        <v/>
      </c>
      <c r="J566" s="26" t="str">
        <f aca="false">IF($C566="","",IF($I566&lt;&gt;"","Realizada",IF($G566&lt;INT(Parâmetros!$C$4),"Atrasada","Agendada")))</f>
        <v/>
      </c>
      <c r="K566" s="42" t="str">
        <f aca="false">IF($C566="","",IF($I566&lt;&gt;"",$I566-$G566,IF($J566="Atrasada",INT(Parâmetros!$C$4)-$G566,"")))</f>
        <v/>
      </c>
      <c r="L566" s="26" t="str">
        <f aca="false">IF($J566&lt;&gt;"Realizada","",IF($K566&lt;=0,"No prazo",IF($K566&lt;=7,"Até 7 dias",IF($K566&lt;=30,"Até 30 dias","Acima de 30"))))</f>
        <v/>
      </c>
      <c r="M566" s="26" t="str">
        <f aca="false">IF($C566="","",COUNTIFS($G$3:$G566,$G566))</f>
        <v/>
      </c>
      <c r="N566" s="26" t="str">
        <f aca="false">IF($C566="","",$G566&amp;"|"&amp;$M566)</f>
        <v/>
      </c>
    </row>
    <row r="567" customFormat="false" ht="18" hidden="false" customHeight="true" outlineLevel="0" collapsed="false">
      <c r="A567" s="26" t="n">
        <v>24</v>
      </c>
      <c r="B567" s="26" t="n">
        <v>13</v>
      </c>
      <c r="C567" s="26" t="str">
        <f aca="false">IF(INDEX(Planos!$B$3:$B$27,24)="","",IF(13&gt;INDEX(Planos!$G$3:$G$27,24),"",INDEX(Planos!$B$3:$B$27,24)))</f>
        <v/>
      </c>
      <c r="D567" s="40" t="str">
        <f aca="false">IF($C567="","",IFERROR(INDEX(Ativos!$B$3:$B$42,MATCH($C567,Ativos!$A$3:$A$42,0)),""))</f>
        <v/>
      </c>
      <c r="E567" s="40" t="str">
        <f aca="false">IF($C567="","",INDEX(Planos!$C$3:$C$27,24))</f>
        <v/>
      </c>
      <c r="F567" s="40" t="str">
        <f aca="false">IF($C567="","",INDEX(Planos!$D$3:$D$27,24))</f>
        <v/>
      </c>
      <c r="G567" s="41" t="n">
        <f aca="false">IF($C567="",0,INDEX(Planos!$F$3:$F$27,24)+(13-1)*INDEX(Planos!$E$3:$E$27,24))</f>
        <v>0</v>
      </c>
      <c r="H567" s="40" t="str">
        <f aca="false">IF($C567="","",INDEX(Planos!$H$3:$H$27,24))</f>
        <v/>
      </c>
      <c r="I567" s="41" t="str">
        <f aca="false">IF($C567="","",IF(INDEX(Planos!$J$3:$AG$27,$A567,$B567)=0,"",INDEX(Planos!$J$3:$AG$27,$A567,$B567)))</f>
        <v/>
      </c>
      <c r="J567" s="26" t="str">
        <f aca="false">IF($C567="","",IF($I567&lt;&gt;"","Realizada",IF($G567&lt;INT(Parâmetros!$C$4),"Atrasada","Agendada")))</f>
        <v/>
      </c>
      <c r="K567" s="42" t="str">
        <f aca="false">IF($C567="","",IF($I567&lt;&gt;"",$I567-$G567,IF($J567="Atrasada",INT(Parâmetros!$C$4)-$G567,"")))</f>
        <v/>
      </c>
      <c r="L567" s="26" t="str">
        <f aca="false">IF($J567&lt;&gt;"Realizada","",IF($K567&lt;=0,"No prazo",IF($K567&lt;=7,"Até 7 dias",IF($K567&lt;=30,"Até 30 dias","Acima de 30"))))</f>
        <v/>
      </c>
      <c r="M567" s="26" t="str">
        <f aca="false">IF($C567="","",COUNTIFS($G$3:$G567,$G567))</f>
        <v/>
      </c>
      <c r="N567" s="26" t="str">
        <f aca="false">IF($C567="","",$G567&amp;"|"&amp;$M567)</f>
        <v/>
      </c>
    </row>
    <row r="568" customFormat="false" ht="18" hidden="false" customHeight="true" outlineLevel="0" collapsed="false">
      <c r="A568" s="26" t="n">
        <v>24</v>
      </c>
      <c r="B568" s="26" t="n">
        <v>14</v>
      </c>
      <c r="C568" s="26" t="str">
        <f aca="false">IF(INDEX(Planos!$B$3:$B$27,24)="","",IF(14&gt;INDEX(Planos!$G$3:$G$27,24),"",INDEX(Planos!$B$3:$B$27,24)))</f>
        <v/>
      </c>
      <c r="D568" s="40" t="str">
        <f aca="false">IF($C568="","",IFERROR(INDEX(Ativos!$B$3:$B$42,MATCH($C568,Ativos!$A$3:$A$42,0)),""))</f>
        <v/>
      </c>
      <c r="E568" s="40" t="str">
        <f aca="false">IF($C568="","",INDEX(Planos!$C$3:$C$27,24))</f>
        <v/>
      </c>
      <c r="F568" s="40" t="str">
        <f aca="false">IF($C568="","",INDEX(Planos!$D$3:$D$27,24))</f>
        <v/>
      </c>
      <c r="G568" s="41" t="n">
        <f aca="false">IF($C568="",0,INDEX(Planos!$F$3:$F$27,24)+(14-1)*INDEX(Planos!$E$3:$E$27,24))</f>
        <v>0</v>
      </c>
      <c r="H568" s="40" t="str">
        <f aca="false">IF($C568="","",INDEX(Planos!$H$3:$H$27,24))</f>
        <v/>
      </c>
      <c r="I568" s="41" t="str">
        <f aca="false">IF($C568="","",IF(INDEX(Planos!$J$3:$AG$27,$A568,$B568)=0,"",INDEX(Planos!$J$3:$AG$27,$A568,$B568)))</f>
        <v/>
      </c>
      <c r="J568" s="26" t="str">
        <f aca="false">IF($C568="","",IF($I568&lt;&gt;"","Realizada",IF($G568&lt;INT(Parâmetros!$C$4),"Atrasada","Agendada")))</f>
        <v/>
      </c>
      <c r="K568" s="42" t="str">
        <f aca="false">IF($C568="","",IF($I568&lt;&gt;"",$I568-$G568,IF($J568="Atrasada",INT(Parâmetros!$C$4)-$G568,"")))</f>
        <v/>
      </c>
      <c r="L568" s="26" t="str">
        <f aca="false">IF($J568&lt;&gt;"Realizada","",IF($K568&lt;=0,"No prazo",IF($K568&lt;=7,"Até 7 dias",IF($K568&lt;=30,"Até 30 dias","Acima de 30"))))</f>
        <v/>
      </c>
      <c r="M568" s="26" t="str">
        <f aca="false">IF($C568="","",COUNTIFS($G$3:$G568,$G568))</f>
        <v/>
      </c>
      <c r="N568" s="26" t="str">
        <f aca="false">IF($C568="","",$G568&amp;"|"&amp;$M568)</f>
        <v/>
      </c>
    </row>
    <row r="569" customFormat="false" ht="18" hidden="false" customHeight="true" outlineLevel="0" collapsed="false">
      <c r="A569" s="26" t="n">
        <v>24</v>
      </c>
      <c r="B569" s="26" t="n">
        <v>15</v>
      </c>
      <c r="C569" s="26" t="str">
        <f aca="false">IF(INDEX(Planos!$B$3:$B$27,24)="","",IF(15&gt;INDEX(Planos!$G$3:$G$27,24),"",INDEX(Planos!$B$3:$B$27,24)))</f>
        <v/>
      </c>
      <c r="D569" s="40" t="str">
        <f aca="false">IF($C569="","",IFERROR(INDEX(Ativos!$B$3:$B$42,MATCH($C569,Ativos!$A$3:$A$42,0)),""))</f>
        <v/>
      </c>
      <c r="E569" s="40" t="str">
        <f aca="false">IF($C569="","",INDEX(Planos!$C$3:$C$27,24))</f>
        <v/>
      </c>
      <c r="F569" s="40" t="str">
        <f aca="false">IF($C569="","",INDEX(Planos!$D$3:$D$27,24))</f>
        <v/>
      </c>
      <c r="G569" s="41" t="n">
        <f aca="false">IF($C569="",0,INDEX(Planos!$F$3:$F$27,24)+(15-1)*INDEX(Planos!$E$3:$E$27,24))</f>
        <v>0</v>
      </c>
      <c r="H569" s="40" t="str">
        <f aca="false">IF($C569="","",INDEX(Planos!$H$3:$H$27,24))</f>
        <v/>
      </c>
      <c r="I569" s="41" t="str">
        <f aca="false">IF($C569="","",IF(INDEX(Planos!$J$3:$AG$27,$A569,$B569)=0,"",INDEX(Planos!$J$3:$AG$27,$A569,$B569)))</f>
        <v/>
      </c>
      <c r="J569" s="26" t="str">
        <f aca="false">IF($C569="","",IF($I569&lt;&gt;"","Realizada",IF($G569&lt;INT(Parâmetros!$C$4),"Atrasada","Agendada")))</f>
        <v/>
      </c>
      <c r="K569" s="42" t="str">
        <f aca="false">IF($C569="","",IF($I569&lt;&gt;"",$I569-$G569,IF($J569="Atrasada",INT(Parâmetros!$C$4)-$G569,"")))</f>
        <v/>
      </c>
      <c r="L569" s="26" t="str">
        <f aca="false">IF($J569&lt;&gt;"Realizada","",IF($K569&lt;=0,"No prazo",IF($K569&lt;=7,"Até 7 dias",IF($K569&lt;=30,"Até 30 dias","Acima de 30"))))</f>
        <v/>
      </c>
      <c r="M569" s="26" t="str">
        <f aca="false">IF($C569="","",COUNTIFS($G$3:$G569,$G569))</f>
        <v/>
      </c>
      <c r="N569" s="26" t="str">
        <f aca="false">IF($C569="","",$G569&amp;"|"&amp;$M569)</f>
        <v/>
      </c>
    </row>
    <row r="570" customFormat="false" ht="18" hidden="false" customHeight="true" outlineLevel="0" collapsed="false">
      <c r="A570" s="26" t="n">
        <v>24</v>
      </c>
      <c r="B570" s="26" t="n">
        <v>16</v>
      </c>
      <c r="C570" s="26" t="str">
        <f aca="false">IF(INDEX(Planos!$B$3:$B$27,24)="","",IF(16&gt;INDEX(Planos!$G$3:$G$27,24),"",INDEX(Planos!$B$3:$B$27,24)))</f>
        <v/>
      </c>
      <c r="D570" s="40" t="str">
        <f aca="false">IF($C570="","",IFERROR(INDEX(Ativos!$B$3:$B$42,MATCH($C570,Ativos!$A$3:$A$42,0)),""))</f>
        <v/>
      </c>
      <c r="E570" s="40" t="str">
        <f aca="false">IF($C570="","",INDEX(Planos!$C$3:$C$27,24))</f>
        <v/>
      </c>
      <c r="F570" s="40" t="str">
        <f aca="false">IF($C570="","",INDEX(Planos!$D$3:$D$27,24))</f>
        <v/>
      </c>
      <c r="G570" s="41" t="n">
        <f aca="false">IF($C570="",0,INDEX(Planos!$F$3:$F$27,24)+(16-1)*INDEX(Planos!$E$3:$E$27,24))</f>
        <v>0</v>
      </c>
      <c r="H570" s="40" t="str">
        <f aca="false">IF($C570="","",INDEX(Planos!$H$3:$H$27,24))</f>
        <v/>
      </c>
      <c r="I570" s="41" t="str">
        <f aca="false">IF($C570="","",IF(INDEX(Planos!$J$3:$AG$27,$A570,$B570)=0,"",INDEX(Planos!$J$3:$AG$27,$A570,$B570)))</f>
        <v/>
      </c>
      <c r="J570" s="26" t="str">
        <f aca="false">IF($C570="","",IF($I570&lt;&gt;"","Realizada",IF($G570&lt;INT(Parâmetros!$C$4),"Atrasada","Agendada")))</f>
        <v/>
      </c>
      <c r="K570" s="42" t="str">
        <f aca="false">IF($C570="","",IF($I570&lt;&gt;"",$I570-$G570,IF($J570="Atrasada",INT(Parâmetros!$C$4)-$G570,"")))</f>
        <v/>
      </c>
      <c r="L570" s="26" t="str">
        <f aca="false">IF($J570&lt;&gt;"Realizada","",IF($K570&lt;=0,"No prazo",IF($K570&lt;=7,"Até 7 dias",IF($K570&lt;=30,"Até 30 dias","Acima de 30"))))</f>
        <v/>
      </c>
      <c r="M570" s="26" t="str">
        <f aca="false">IF($C570="","",COUNTIFS($G$3:$G570,$G570))</f>
        <v/>
      </c>
      <c r="N570" s="26" t="str">
        <f aca="false">IF($C570="","",$G570&amp;"|"&amp;$M570)</f>
        <v/>
      </c>
    </row>
    <row r="571" customFormat="false" ht="18" hidden="false" customHeight="true" outlineLevel="0" collapsed="false">
      <c r="A571" s="26" t="n">
        <v>24</v>
      </c>
      <c r="B571" s="26" t="n">
        <v>17</v>
      </c>
      <c r="C571" s="26" t="str">
        <f aca="false">IF(INDEX(Planos!$B$3:$B$27,24)="","",IF(17&gt;INDEX(Planos!$G$3:$G$27,24),"",INDEX(Planos!$B$3:$B$27,24)))</f>
        <v/>
      </c>
      <c r="D571" s="40" t="str">
        <f aca="false">IF($C571="","",IFERROR(INDEX(Ativos!$B$3:$B$42,MATCH($C571,Ativos!$A$3:$A$42,0)),""))</f>
        <v/>
      </c>
      <c r="E571" s="40" t="str">
        <f aca="false">IF($C571="","",INDEX(Planos!$C$3:$C$27,24))</f>
        <v/>
      </c>
      <c r="F571" s="40" t="str">
        <f aca="false">IF($C571="","",INDEX(Planos!$D$3:$D$27,24))</f>
        <v/>
      </c>
      <c r="G571" s="41" t="n">
        <f aca="false">IF($C571="",0,INDEX(Planos!$F$3:$F$27,24)+(17-1)*INDEX(Planos!$E$3:$E$27,24))</f>
        <v>0</v>
      </c>
      <c r="H571" s="40" t="str">
        <f aca="false">IF($C571="","",INDEX(Planos!$H$3:$H$27,24))</f>
        <v/>
      </c>
      <c r="I571" s="41" t="str">
        <f aca="false">IF($C571="","",IF(INDEX(Planos!$J$3:$AG$27,$A571,$B571)=0,"",INDEX(Planos!$J$3:$AG$27,$A571,$B571)))</f>
        <v/>
      </c>
      <c r="J571" s="26" t="str">
        <f aca="false">IF($C571="","",IF($I571&lt;&gt;"","Realizada",IF($G571&lt;INT(Parâmetros!$C$4),"Atrasada","Agendada")))</f>
        <v/>
      </c>
      <c r="K571" s="42" t="str">
        <f aca="false">IF($C571="","",IF($I571&lt;&gt;"",$I571-$G571,IF($J571="Atrasada",INT(Parâmetros!$C$4)-$G571,"")))</f>
        <v/>
      </c>
      <c r="L571" s="26" t="str">
        <f aca="false">IF($J571&lt;&gt;"Realizada","",IF($K571&lt;=0,"No prazo",IF($K571&lt;=7,"Até 7 dias",IF($K571&lt;=30,"Até 30 dias","Acima de 30"))))</f>
        <v/>
      </c>
      <c r="M571" s="26" t="str">
        <f aca="false">IF($C571="","",COUNTIFS($G$3:$G571,$G571))</f>
        <v/>
      </c>
      <c r="N571" s="26" t="str">
        <f aca="false">IF($C571="","",$G571&amp;"|"&amp;$M571)</f>
        <v/>
      </c>
    </row>
    <row r="572" customFormat="false" ht="18" hidden="false" customHeight="true" outlineLevel="0" collapsed="false">
      <c r="A572" s="26" t="n">
        <v>24</v>
      </c>
      <c r="B572" s="26" t="n">
        <v>18</v>
      </c>
      <c r="C572" s="26" t="str">
        <f aca="false">IF(INDEX(Planos!$B$3:$B$27,24)="","",IF(18&gt;INDEX(Planos!$G$3:$G$27,24),"",INDEX(Planos!$B$3:$B$27,24)))</f>
        <v/>
      </c>
      <c r="D572" s="40" t="str">
        <f aca="false">IF($C572="","",IFERROR(INDEX(Ativos!$B$3:$B$42,MATCH($C572,Ativos!$A$3:$A$42,0)),""))</f>
        <v/>
      </c>
      <c r="E572" s="40" t="str">
        <f aca="false">IF($C572="","",INDEX(Planos!$C$3:$C$27,24))</f>
        <v/>
      </c>
      <c r="F572" s="40" t="str">
        <f aca="false">IF($C572="","",INDEX(Planos!$D$3:$D$27,24))</f>
        <v/>
      </c>
      <c r="G572" s="41" t="n">
        <f aca="false">IF($C572="",0,INDEX(Planos!$F$3:$F$27,24)+(18-1)*INDEX(Planos!$E$3:$E$27,24))</f>
        <v>0</v>
      </c>
      <c r="H572" s="40" t="str">
        <f aca="false">IF($C572="","",INDEX(Planos!$H$3:$H$27,24))</f>
        <v/>
      </c>
      <c r="I572" s="41" t="str">
        <f aca="false">IF($C572="","",IF(INDEX(Planos!$J$3:$AG$27,$A572,$B572)=0,"",INDEX(Planos!$J$3:$AG$27,$A572,$B572)))</f>
        <v/>
      </c>
      <c r="J572" s="26" t="str">
        <f aca="false">IF($C572="","",IF($I572&lt;&gt;"","Realizada",IF($G572&lt;INT(Parâmetros!$C$4),"Atrasada","Agendada")))</f>
        <v/>
      </c>
      <c r="K572" s="42" t="str">
        <f aca="false">IF($C572="","",IF($I572&lt;&gt;"",$I572-$G572,IF($J572="Atrasada",INT(Parâmetros!$C$4)-$G572,"")))</f>
        <v/>
      </c>
      <c r="L572" s="26" t="str">
        <f aca="false">IF($J572&lt;&gt;"Realizada","",IF($K572&lt;=0,"No prazo",IF($K572&lt;=7,"Até 7 dias",IF($K572&lt;=30,"Até 30 dias","Acima de 30"))))</f>
        <v/>
      </c>
      <c r="M572" s="26" t="str">
        <f aca="false">IF($C572="","",COUNTIFS($G$3:$G572,$G572))</f>
        <v/>
      </c>
      <c r="N572" s="26" t="str">
        <f aca="false">IF($C572="","",$G572&amp;"|"&amp;$M572)</f>
        <v/>
      </c>
    </row>
    <row r="573" customFormat="false" ht="18" hidden="false" customHeight="true" outlineLevel="0" collapsed="false">
      <c r="A573" s="26" t="n">
        <v>24</v>
      </c>
      <c r="B573" s="26" t="n">
        <v>19</v>
      </c>
      <c r="C573" s="26" t="str">
        <f aca="false">IF(INDEX(Planos!$B$3:$B$27,24)="","",IF(19&gt;INDEX(Planos!$G$3:$G$27,24),"",INDEX(Planos!$B$3:$B$27,24)))</f>
        <v/>
      </c>
      <c r="D573" s="40" t="str">
        <f aca="false">IF($C573="","",IFERROR(INDEX(Ativos!$B$3:$B$42,MATCH($C573,Ativos!$A$3:$A$42,0)),""))</f>
        <v/>
      </c>
      <c r="E573" s="40" t="str">
        <f aca="false">IF($C573="","",INDEX(Planos!$C$3:$C$27,24))</f>
        <v/>
      </c>
      <c r="F573" s="40" t="str">
        <f aca="false">IF($C573="","",INDEX(Planos!$D$3:$D$27,24))</f>
        <v/>
      </c>
      <c r="G573" s="41" t="n">
        <f aca="false">IF($C573="",0,INDEX(Planos!$F$3:$F$27,24)+(19-1)*INDEX(Planos!$E$3:$E$27,24))</f>
        <v>0</v>
      </c>
      <c r="H573" s="40" t="str">
        <f aca="false">IF($C573="","",INDEX(Planos!$H$3:$H$27,24))</f>
        <v/>
      </c>
      <c r="I573" s="41" t="str">
        <f aca="false">IF($C573="","",IF(INDEX(Planos!$J$3:$AG$27,$A573,$B573)=0,"",INDEX(Planos!$J$3:$AG$27,$A573,$B573)))</f>
        <v/>
      </c>
      <c r="J573" s="26" t="str">
        <f aca="false">IF($C573="","",IF($I573&lt;&gt;"","Realizada",IF($G573&lt;INT(Parâmetros!$C$4),"Atrasada","Agendada")))</f>
        <v/>
      </c>
      <c r="K573" s="42" t="str">
        <f aca="false">IF($C573="","",IF($I573&lt;&gt;"",$I573-$G573,IF($J573="Atrasada",INT(Parâmetros!$C$4)-$G573,"")))</f>
        <v/>
      </c>
      <c r="L573" s="26" t="str">
        <f aca="false">IF($J573&lt;&gt;"Realizada","",IF($K573&lt;=0,"No prazo",IF($K573&lt;=7,"Até 7 dias",IF($K573&lt;=30,"Até 30 dias","Acima de 30"))))</f>
        <v/>
      </c>
      <c r="M573" s="26" t="str">
        <f aca="false">IF($C573="","",COUNTIFS($G$3:$G573,$G573))</f>
        <v/>
      </c>
      <c r="N573" s="26" t="str">
        <f aca="false">IF($C573="","",$G573&amp;"|"&amp;$M573)</f>
        <v/>
      </c>
    </row>
    <row r="574" customFormat="false" ht="18" hidden="false" customHeight="true" outlineLevel="0" collapsed="false">
      <c r="A574" s="26" t="n">
        <v>24</v>
      </c>
      <c r="B574" s="26" t="n">
        <v>20</v>
      </c>
      <c r="C574" s="26" t="str">
        <f aca="false">IF(INDEX(Planos!$B$3:$B$27,24)="","",IF(20&gt;INDEX(Planos!$G$3:$G$27,24),"",INDEX(Planos!$B$3:$B$27,24)))</f>
        <v/>
      </c>
      <c r="D574" s="40" t="str">
        <f aca="false">IF($C574="","",IFERROR(INDEX(Ativos!$B$3:$B$42,MATCH($C574,Ativos!$A$3:$A$42,0)),""))</f>
        <v/>
      </c>
      <c r="E574" s="40" t="str">
        <f aca="false">IF($C574="","",INDEX(Planos!$C$3:$C$27,24))</f>
        <v/>
      </c>
      <c r="F574" s="40" t="str">
        <f aca="false">IF($C574="","",INDEX(Planos!$D$3:$D$27,24))</f>
        <v/>
      </c>
      <c r="G574" s="41" t="n">
        <f aca="false">IF($C574="",0,INDEX(Planos!$F$3:$F$27,24)+(20-1)*INDEX(Planos!$E$3:$E$27,24))</f>
        <v>0</v>
      </c>
      <c r="H574" s="40" t="str">
        <f aca="false">IF($C574="","",INDEX(Planos!$H$3:$H$27,24))</f>
        <v/>
      </c>
      <c r="I574" s="41" t="str">
        <f aca="false">IF($C574="","",IF(INDEX(Planos!$J$3:$AG$27,$A574,$B574)=0,"",INDEX(Planos!$J$3:$AG$27,$A574,$B574)))</f>
        <v/>
      </c>
      <c r="J574" s="26" t="str">
        <f aca="false">IF($C574="","",IF($I574&lt;&gt;"","Realizada",IF($G574&lt;INT(Parâmetros!$C$4),"Atrasada","Agendada")))</f>
        <v/>
      </c>
      <c r="K574" s="42" t="str">
        <f aca="false">IF($C574="","",IF($I574&lt;&gt;"",$I574-$G574,IF($J574="Atrasada",INT(Parâmetros!$C$4)-$G574,"")))</f>
        <v/>
      </c>
      <c r="L574" s="26" t="str">
        <f aca="false">IF($J574&lt;&gt;"Realizada","",IF($K574&lt;=0,"No prazo",IF($K574&lt;=7,"Até 7 dias",IF($K574&lt;=30,"Até 30 dias","Acima de 30"))))</f>
        <v/>
      </c>
      <c r="M574" s="26" t="str">
        <f aca="false">IF($C574="","",COUNTIFS($G$3:$G574,$G574))</f>
        <v/>
      </c>
      <c r="N574" s="26" t="str">
        <f aca="false">IF($C574="","",$G574&amp;"|"&amp;$M574)</f>
        <v/>
      </c>
    </row>
    <row r="575" customFormat="false" ht="18" hidden="false" customHeight="true" outlineLevel="0" collapsed="false">
      <c r="A575" s="26" t="n">
        <v>24</v>
      </c>
      <c r="B575" s="26" t="n">
        <v>21</v>
      </c>
      <c r="C575" s="26" t="str">
        <f aca="false">IF(INDEX(Planos!$B$3:$B$27,24)="","",IF(21&gt;INDEX(Planos!$G$3:$G$27,24),"",INDEX(Planos!$B$3:$B$27,24)))</f>
        <v/>
      </c>
      <c r="D575" s="40" t="str">
        <f aca="false">IF($C575="","",IFERROR(INDEX(Ativos!$B$3:$B$42,MATCH($C575,Ativos!$A$3:$A$42,0)),""))</f>
        <v/>
      </c>
      <c r="E575" s="40" t="str">
        <f aca="false">IF($C575="","",INDEX(Planos!$C$3:$C$27,24))</f>
        <v/>
      </c>
      <c r="F575" s="40" t="str">
        <f aca="false">IF($C575="","",INDEX(Planos!$D$3:$D$27,24))</f>
        <v/>
      </c>
      <c r="G575" s="41" t="n">
        <f aca="false">IF($C575="",0,INDEX(Planos!$F$3:$F$27,24)+(21-1)*INDEX(Planos!$E$3:$E$27,24))</f>
        <v>0</v>
      </c>
      <c r="H575" s="40" t="str">
        <f aca="false">IF($C575="","",INDEX(Planos!$H$3:$H$27,24))</f>
        <v/>
      </c>
      <c r="I575" s="41" t="str">
        <f aca="false">IF($C575="","",IF(INDEX(Planos!$J$3:$AG$27,$A575,$B575)=0,"",INDEX(Planos!$J$3:$AG$27,$A575,$B575)))</f>
        <v/>
      </c>
      <c r="J575" s="26" t="str">
        <f aca="false">IF($C575="","",IF($I575&lt;&gt;"","Realizada",IF($G575&lt;INT(Parâmetros!$C$4),"Atrasada","Agendada")))</f>
        <v/>
      </c>
      <c r="K575" s="42" t="str">
        <f aca="false">IF($C575="","",IF($I575&lt;&gt;"",$I575-$G575,IF($J575="Atrasada",INT(Parâmetros!$C$4)-$G575,"")))</f>
        <v/>
      </c>
      <c r="L575" s="26" t="str">
        <f aca="false">IF($J575&lt;&gt;"Realizada","",IF($K575&lt;=0,"No prazo",IF($K575&lt;=7,"Até 7 dias",IF($K575&lt;=30,"Até 30 dias","Acima de 30"))))</f>
        <v/>
      </c>
      <c r="M575" s="26" t="str">
        <f aca="false">IF($C575="","",COUNTIFS($G$3:$G575,$G575))</f>
        <v/>
      </c>
      <c r="N575" s="26" t="str">
        <f aca="false">IF($C575="","",$G575&amp;"|"&amp;$M575)</f>
        <v/>
      </c>
    </row>
    <row r="576" customFormat="false" ht="18" hidden="false" customHeight="true" outlineLevel="0" collapsed="false">
      <c r="A576" s="26" t="n">
        <v>24</v>
      </c>
      <c r="B576" s="26" t="n">
        <v>22</v>
      </c>
      <c r="C576" s="26" t="str">
        <f aca="false">IF(INDEX(Planos!$B$3:$B$27,24)="","",IF(22&gt;INDEX(Planos!$G$3:$G$27,24),"",INDEX(Planos!$B$3:$B$27,24)))</f>
        <v/>
      </c>
      <c r="D576" s="40" t="str">
        <f aca="false">IF($C576="","",IFERROR(INDEX(Ativos!$B$3:$B$42,MATCH($C576,Ativos!$A$3:$A$42,0)),""))</f>
        <v/>
      </c>
      <c r="E576" s="40" t="str">
        <f aca="false">IF($C576="","",INDEX(Planos!$C$3:$C$27,24))</f>
        <v/>
      </c>
      <c r="F576" s="40" t="str">
        <f aca="false">IF($C576="","",INDEX(Planos!$D$3:$D$27,24))</f>
        <v/>
      </c>
      <c r="G576" s="41" t="n">
        <f aca="false">IF($C576="",0,INDEX(Planos!$F$3:$F$27,24)+(22-1)*INDEX(Planos!$E$3:$E$27,24))</f>
        <v>0</v>
      </c>
      <c r="H576" s="40" t="str">
        <f aca="false">IF($C576="","",INDEX(Planos!$H$3:$H$27,24))</f>
        <v/>
      </c>
      <c r="I576" s="41" t="str">
        <f aca="false">IF($C576="","",IF(INDEX(Planos!$J$3:$AG$27,$A576,$B576)=0,"",INDEX(Planos!$J$3:$AG$27,$A576,$B576)))</f>
        <v/>
      </c>
      <c r="J576" s="26" t="str">
        <f aca="false">IF($C576="","",IF($I576&lt;&gt;"","Realizada",IF($G576&lt;INT(Parâmetros!$C$4),"Atrasada","Agendada")))</f>
        <v/>
      </c>
      <c r="K576" s="42" t="str">
        <f aca="false">IF($C576="","",IF($I576&lt;&gt;"",$I576-$G576,IF($J576="Atrasada",INT(Parâmetros!$C$4)-$G576,"")))</f>
        <v/>
      </c>
      <c r="L576" s="26" t="str">
        <f aca="false">IF($J576&lt;&gt;"Realizada","",IF($K576&lt;=0,"No prazo",IF($K576&lt;=7,"Até 7 dias",IF($K576&lt;=30,"Até 30 dias","Acima de 30"))))</f>
        <v/>
      </c>
      <c r="M576" s="26" t="str">
        <f aca="false">IF($C576="","",COUNTIFS($G$3:$G576,$G576))</f>
        <v/>
      </c>
      <c r="N576" s="26" t="str">
        <f aca="false">IF($C576="","",$G576&amp;"|"&amp;$M576)</f>
        <v/>
      </c>
    </row>
    <row r="577" customFormat="false" ht="18" hidden="false" customHeight="true" outlineLevel="0" collapsed="false">
      <c r="A577" s="26" t="n">
        <v>24</v>
      </c>
      <c r="B577" s="26" t="n">
        <v>23</v>
      </c>
      <c r="C577" s="26" t="str">
        <f aca="false">IF(INDEX(Planos!$B$3:$B$27,24)="","",IF(23&gt;INDEX(Planos!$G$3:$G$27,24),"",INDEX(Planos!$B$3:$B$27,24)))</f>
        <v/>
      </c>
      <c r="D577" s="40" t="str">
        <f aca="false">IF($C577="","",IFERROR(INDEX(Ativos!$B$3:$B$42,MATCH($C577,Ativos!$A$3:$A$42,0)),""))</f>
        <v/>
      </c>
      <c r="E577" s="40" t="str">
        <f aca="false">IF($C577="","",INDEX(Planos!$C$3:$C$27,24))</f>
        <v/>
      </c>
      <c r="F577" s="40" t="str">
        <f aca="false">IF($C577="","",INDEX(Planos!$D$3:$D$27,24))</f>
        <v/>
      </c>
      <c r="G577" s="41" t="n">
        <f aca="false">IF($C577="",0,INDEX(Planos!$F$3:$F$27,24)+(23-1)*INDEX(Planos!$E$3:$E$27,24))</f>
        <v>0</v>
      </c>
      <c r="H577" s="40" t="str">
        <f aca="false">IF($C577="","",INDEX(Planos!$H$3:$H$27,24))</f>
        <v/>
      </c>
      <c r="I577" s="41" t="str">
        <f aca="false">IF($C577="","",IF(INDEX(Planos!$J$3:$AG$27,$A577,$B577)=0,"",INDEX(Planos!$J$3:$AG$27,$A577,$B577)))</f>
        <v/>
      </c>
      <c r="J577" s="26" t="str">
        <f aca="false">IF($C577="","",IF($I577&lt;&gt;"","Realizada",IF($G577&lt;INT(Parâmetros!$C$4),"Atrasada","Agendada")))</f>
        <v/>
      </c>
      <c r="K577" s="42" t="str">
        <f aca="false">IF($C577="","",IF($I577&lt;&gt;"",$I577-$G577,IF($J577="Atrasada",INT(Parâmetros!$C$4)-$G577,"")))</f>
        <v/>
      </c>
      <c r="L577" s="26" t="str">
        <f aca="false">IF($J577&lt;&gt;"Realizada","",IF($K577&lt;=0,"No prazo",IF($K577&lt;=7,"Até 7 dias",IF($K577&lt;=30,"Até 30 dias","Acima de 30"))))</f>
        <v/>
      </c>
      <c r="M577" s="26" t="str">
        <f aca="false">IF($C577="","",COUNTIFS($G$3:$G577,$G577))</f>
        <v/>
      </c>
      <c r="N577" s="26" t="str">
        <f aca="false">IF($C577="","",$G577&amp;"|"&amp;$M577)</f>
        <v/>
      </c>
    </row>
    <row r="578" customFormat="false" ht="18" hidden="false" customHeight="true" outlineLevel="0" collapsed="false">
      <c r="A578" s="26" t="n">
        <v>24</v>
      </c>
      <c r="B578" s="26" t="n">
        <v>24</v>
      </c>
      <c r="C578" s="26" t="str">
        <f aca="false">IF(INDEX(Planos!$B$3:$B$27,24)="","",IF(24&gt;INDEX(Planos!$G$3:$G$27,24),"",INDEX(Planos!$B$3:$B$27,24)))</f>
        <v/>
      </c>
      <c r="D578" s="40" t="str">
        <f aca="false">IF($C578="","",IFERROR(INDEX(Ativos!$B$3:$B$42,MATCH($C578,Ativos!$A$3:$A$42,0)),""))</f>
        <v/>
      </c>
      <c r="E578" s="40" t="str">
        <f aca="false">IF($C578="","",INDEX(Planos!$C$3:$C$27,24))</f>
        <v/>
      </c>
      <c r="F578" s="40" t="str">
        <f aca="false">IF($C578="","",INDEX(Planos!$D$3:$D$27,24))</f>
        <v/>
      </c>
      <c r="G578" s="41" t="n">
        <f aca="false">IF($C578="",0,INDEX(Planos!$F$3:$F$27,24)+(24-1)*INDEX(Planos!$E$3:$E$27,24))</f>
        <v>0</v>
      </c>
      <c r="H578" s="40" t="str">
        <f aca="false">IF($C578="","",INDEX(Planos!$H$3:$H$27,24))</f>
        <v/>
      </c>
      <c r="I578" s="41" t="str">
        <f aca="false">IF($C578="","",IF(INDEX(Planos!$J$3:$AG$27,$A578,$B578)=0,"",INDEX(Planos!$J$3:$AG$27,$A578,$B578)))</f>
        <v/>
      </c>
      <c r="J578" s="26" t="str">
        <f aca="false">IF($C578="","",IF($I578&lt;&gt;"","Realizada",IF($G578&lt;INT(Parâmetros!$C$4),"Atrasada","Agendada")))</f>
        <v/>
      </c>
      <c r="K578" s="42" t="str">
        <f aca="false">IF($C578="","",IF($I578&lt;&gt;"",$I578-$G578,IF($J578="Atrasada",INT(Parâmetros!$C$4)-$G578,"")))</f>
        <v/>
      </c>
      <c r="L578" s="26" t="str">
        <f aca="false">IF($J578&lt;&gt;"Realizada","",IF($K578&lt;=0,"No prazo",IF($K578&lt;=7,"Até 7 dias",IF($K578&lt;=30,"Até 30 dias","Acima de 30"))))</f>
        <v/>
      </c>
      <c r="M578" s="26" t="str">
        <f aca="false">IF($C578="","",COUNTIFS($G$3:$G578,$G578))</f>
        <v/>
      </c>
      <c r="N578" s="26" t="str">
        <f aca="false">IF($C578="","",$G578&amp;"|"&amp;$M578)</f>
        <v/>
      </c>
    </row>
    <row r="579" customFormat="false" ht="18" hidden="false" customHeight="true" outlineLevel="0" collapsed="false">
      <c r="A579" s="26" t="n">
        <v>25</v>
      </c>
      <c r="B579" s="26" t="n">
        <v>1</v>
      </c>
      <c r="C579" s="26" t="str">
        <f aca="false">IF(INDEX(Planos!$B$3:$B$27,25)="","",IF(1&gt;INDEX(Planos!$G$3:$G$27,25),"",INDEX(Planos!$B$3:$B$27,25)))</f>
        <v/>
      </c>
      <c r="D579" s="40" t="str">
        <f aca="false">IF($C579="","",IFERROR(INDEX(Ativos!$B$3:$B$42,MATCH($C579,Ativos!$A$3:$A$42,0)),""))</f>
        <v/>
      </c>
      <c r="E579" s="40" t="str">
        <f aca="false">IF($C579="","",INDEX(Planos!$C$3:$C$27,25))</f>
        <v/>
      </c>
      <c r="F579" s="40" t="str">
        <f aca="false">IF($C579="","",INDEX(Planos!$D$3:$D$27,25))</f>
        <v/>
      </c>
      <c r="G579" s="41" t="n">
        <f aca="false">IF($C579="",0,INDEX(Planos!$F$3:$F$27,25)+(1-1)*INDEX(Planos!$E$3:$E$27,25))</f>
        <v>0</v>
      </c>
      <c r="H579" s="40" t="str">
        <f aca="false">IF($C579="","",INDEX(Planos!$H$3:$H$27,25))</f>
        <v/>
      </c>
      <c r="I579" s="41" t="str">
        <f aca="false">IF($C579="","",IF(INDEX(Planos!$J$3:$AG$27,$A579,$B579)=0,"",INDEX(Planos!$J$3:$AG$27,$A579,$B579)))</f>
        <v/>
      </c>
      <c r="J579" s="26" t="str">
        <f aca="false">IF($C579="","",IF($I579&lt;&gt;"","Realizada",IF($G579&lt;INT(Parâmetros!$C$4),"Atrasada","Agendada")))</f>
        <v/>
      </c>
      <c r="K579" s="42" t="str">
        <f aca="false">IF($C579="","",IF($I579&lt;&gt;"",$I579-$G579,IF($J579="Atrasada",INT(Parâmetros!$C$4)-$G579,"")))</f>
        <v/>
      </c>
      <c r="L579" s="26" t="str">
        <f aca="false">IF($J579&lt;&gt;"Realizada","",IF($K579&lt;=0,"No prazo",IF($K579&lt;=7,"Até 7 dias",IF($K579&lt;=30,"Até 30 dias","Acima de 30"))))</f>
        <v/>
      </c>
      <c r="M579" s="26" t="str">
        <f aca="false">IF($C579="","",COUNTIFS($G$3:$G579,$G579))</f>
        <v/>
      </c>
      <c r="N579" s="26" t="str">
        <f aca="false">IF($C579="","",$G579&amp;"|"&amp;$M579)</f>
        <v/>
      </c>
    </row>
    <row r="580" customFormat="false" ht="18" hidden="false" customHeight="true" outlineLevel="0" collapsed="false">
      <c r="A580" s="26" t="n">
        <v>25</v>
      </c>
      <c r="B580" s="26" t="n">
        <v>2</v>
      </c>
      <c r="C580" s="26" t="str">
        <f aca="false">IF(INDEX(Planos!$B$3:$B$27,25)="","",IF(2&gt;INDEX(Planos!$G$3:$G$27,25),"",INDEX(Planos!$B$3:$B$27,25)))</f>
        <v/>
      </c>
      <c r="D580" s="40" t="str">
        <f aca="false">IF($C580="","",IFERROR(INDEX(Ativos!$B$3:$B$42,MATCH($C580,Ativos!$A$3:$A$42,0)),""))</f>
        <v/>
      </c>
      <c r="E580" s="40" t="str">
        <f aca="false">IF($C580="","",INDEX(Planos!$C$3:$C$27,25))</f>
        <v/>
      </c>
      <c r="F580" s="40" t="str">
        <f aca="false">IF($C580="","",INDEX(Planos!$D$3:$D$27,25))</f>
        <v/>
      </c>
      <c r="G580" s="41" t="n">
        <f aca="false">IF($C580="",0,INDEX(Planos!$F$3:$F$27,25)+(2-1)*INDEX(Planos!$E$3:$E$27,25))</f>
        <v>0</v>
      </c>
      <c r="H580" s="40" t="str">
        <f aca="false">IF($C580="","",INDEX(Planos!$H$3:$H$27,25))</f>
        <v/>
      </c>
      <c r="I580" s="41" t="str">
        <f aca="false">IF($C580="","",IF(INDEX(Planos!$J$3:$AG$27,$A580,$B580)=0,"",INDEX(Planos!$J$3:$AG$27,$A580,$B580)))</f>
        <v/>
      </c>
      <c r="J580" s="26" t="str">
        <f aca="false">IF($C580="","",IF($I580&lt;&gt;"","Realizada",IF($G580&lt;INT(Parâmetros!$C$4),"Atrasada","Agendada")))</f>
        <v/>
      </c>
      <c r="K580" s="42" t="str">
        <f aca="false">IF($C580="","",IF($I580&lt;&gt;"",$I580-$G580,IF($J580="Atrasada",INT(Parâmetros!$C$4)-$G580,"")))</f>
        <v/>
      </c>
      <c r="L580" s="26" t="str">
        <f aca="false">IF($J580&lt;&gt;"Realizada","",IF($K580&lt;=0,"No prazo",IF($K580&lt;=7,"Até 7 dias",IF($K580&lt;=30,"Até 30 dias","Acima de 30"))))</f>
        <v/>
      </c>
      <c r="M580" s="26" t="str">
        <f aca="false">IF($C580="","",COUNTIFS($G$3:$G580,$G580))</f>
        <v/>
      </c>
      <c r="N580" s="26" t="str">
        <f aca="false">IF($C580="","",$G580&amp;"|"&amp;$M580)</f>
        <v/>
      </c>
    </row>
    <row r="581" customFormat="false" ht="18" hidden="false" customHeight="true" outlineLevel="0" collapsed="false">
      <c r="A581" s="26" t="n">
        <v>25</v>
      </c>
      <c r="B581" s="26" t="n">
        <v>3</v>
      </c>
      <c r="C581" s="26" t="str">
        <f aca="false">IF(INDEX(Planos!$B$3:$B$27,25)="","",IF(3&gt;INDEX(Planos!$G$3:$G$27,25),"",INDEX(Planos!$B$3:$B$27,25)))</f>
        <v/>
      </c>
      <c r="D581" s="40" t="str">
        <f aca="false">IF($C581="","",IFERROR(INDEX(Ativos!$B$3:$B$42,MATCH($C581,Ativos!$A$3:$A$42,0)),""))</f>
        <v/>
      </c>
      <c r="E581" s="40" t="str">
        <f aca="false">IF($C581="","",INDEX(Planos!$C$3:$C$27,25))</f>
        <v/>
      </c>
      <c r="F581" s="40" t="str">
        <f aca="false">IF($C581="","",INDEX(Planos!$D$3:$D$27,25))</f>
        <v/>
      </c>
      <c r="G581" s="41" t="n">
        <f aca="false">IF($C581="",0,INDEX(Planos!$F$3:$F$27,25)+(3-1)*INDEX(Planos!$E$3:$E$27,25))</f>
        <v>0</v>
      </c>
      <c r="H581" s="40" t="str">
        <f aca="false">IF($C581="","",INDEX(Planos!$H$3:$H$27,25))</f>
        <v/>
      </c>
      <c r="I581" s="41" t="str">
        <f aca="false">IF($C581="","",IF(INDEX(Planos!$J$3:$AG$27,$A581,$B581)=0,"",INDEX(Planos!$J$3:$AG$27,$A581,$B581)))</f>
        <v/>
      </c>
      <c r="J581" s="26" t="str">
        <f aca="false">IF($C581="","",IF($I581&lt;&gt;"","Realizada",IF($G581&lt;INT(Parâmetros!$C$4),"Atrasada","Agendada")))</f>
        <v/>
      </c>
      <c r="K581" s="42" t="str">
        <f aca="false">IF($C581="","",IF($I581&lt;&gt;"",$I581-$G581,IF($J581="Atrasada",INT(Parâmetros!$C$4)-$G581,"")))</f>
        <v/>
      </c>
      <c r="L581" s="26" t="str">
        <f aca="false">IF($J581&lt;&gt;"Realizada","",IF($K581&lt;=0,"No prazo",IF($K581&lt;=7,"Até 7 dias",IF($K581&lt;=30,"Até 30 dias","Acima de 30"))))</f>
        <v/>
      </c>
      <c r="M581" s="26" t="str">
        <f aca="false">IF($C581="","",COUNTIFS($G$3:$G581,$G581))</f>
        <v/>
      </c>
      <c r="N581" s="26" t="str">
        <f aca="false">IF($C581="","",$G581&amp;"|"&amp;$M581)</f>
        <v/>
      </c>
    </row>
    <row r="582" customFormat="false" ht="18" hidden="false" customHeight="true" outlineLevel="0" collapsed="false">
      <c r="A582" s="26" t="n">
        <v>25</v>
      </c>
      <c r="B582" s="26" t="n">
        <v>4</v>
      </c>
      <c r="C582" s="26" t="str">
        <f aca="false">IF(INDEX(Planos!$B$3:$B$27,25)="","",IF(4&gt;INDEX(Planos!$G$3:$G$27,25),"",INDEX(Planos!$B$3:$B$27,25)))</f>
        <v/>
      </c>
      <c r="D582" s="40" t="str">
        <f aca="false">IF($C582="","",IFERROR(INDEX(Ativos!$B$3:$B$42,MATCH($C582,Ativos!$A$3:$A$42,0)),""))</f>
        <v/>
      </c>
      <c r="E582" s="40" t="str">
        <f aca="false">IF($C582="","",INDEX(Planos!$C$3:$C$27,25))</f>
        <v/>
      </c>
      <c r="F582" s="40" t="str">
        <f aca="false">IF($C582="","",INDEX(Planos!$D$3:$D$27,25))</f>
        <v/>
      </c>
      <c r="G582" s="41" t="n">
        <f aca="false">IF($C582="",0,INDEX(Planos!$F$3:$F$27,25)+(4-1)*INDEX(Planos!$E$3:$E$27,25))</f>
        <v>0</v>
      </c>
      <c r="H582" s="40" t="str">
        <f aca="false">IF($C582="","",INDEX(Planos!$H$3:$H$27,25))</f>
        <v/>
      </c>
      <c r="I582" s="41" t="str">
        <f aca="false">IF($C582="","",IF(INDEX(Planos!$J$3:$AG$27,$A582,$B582)=0,"",INDEX(Planos!$J$3:$AG$27,$A582,$B582)))</f>
        <v/>
      </c>
      <c r="J582" s="26" t="str">
        <f aca="false">IF($C582="","",IF($I582&lt;&gt;"","Realizada",IF($G582&lt;INT(Parâmetros!$C$4),"Atrasada","Agendada")))</f>
        <v/>
      </c>
      <c r="K582" s="42" t="str">
        <f aca="false">IF($C582="","",IF($I582&lt;&gt;"",$I582-$G582,IF($J582="Atrasada",INT(Parâmetros!$C$4)-$G582,"")))</f>
        <v/>
      </c>
      <c r="L582" s="26" t="str">
        <f aca="false">IF($J582&lt;&gt;"Realizada","",IF($K582&lt;=0,"No prazo",IF($K582&lt;=7,"Até 7 dias",IF($K582&lt;=30,"Até 30 dias","Acima de 30"))))</f>
        <v/>
      </c>
      <c r="M582" s="26" t="str">
        <f aca="false">IF($C582="","",COUNTIFS($G$3:$G582,$G582))</f>
        <v/>
      </c>
      <c r="N582" s="26" t="str">
        <f aca="false">IF($C582="","",$G582&amp;"|"&amp;$M582)</f>
        <v/>
      </c>
    </row>
    <row r="583" customFormat="false" ht="18" hidden="false" customHeight="true" outlineLevel="0" collapsed="false">
      <c r="A583" s="26" t="n">
        <v>25</v>
      </c>
      <c r="B583" s="26" t="n">
        <v>5</v>
      </c>
      <c r="C583" s="26" t="str">
        <f aca="false">IF(INDEX(Planos!$B$3:$B$27,25)="","",IF(5&gt;INDEX(Planos!$G$3:$G$27,25),"",INDEX(Planos!$B$3:$B$27,25)))</f>
        <v/>
      </c>
      <c r="D583" s="40" t="str">
        <f aca="false">IF($C583="","",IFERROR(INDEX(Ativos!$B$3:$B$42,MATCH($C583,Ativos!$A$3:$A$42,0)),""))</f>
        <v/>
      </c>
      <c r="E583" s="40" t="str">
        <f aca="false">IF($C583="","",INDEX(Planos!$C$3:$C$27,25))</f>
        <v/>
      </c>
      <c r="F583" s="40" t="str">
        <f aca="false">IF($C583="","",INDEX(Planos!$D$3:$D$27,25))</f>
        <v/>
      </c>
      <c r="G583" s="41" t="n">
        <f aca="false">IF($C583="",0,INDEX(Planos!$F$3:$F$27,25)+(5-1)*INDEX(Planos!$E$3:$E$27,25))</f>
        <v>0</v>
      </c>
      <c r="H583" s="40" t="str">
        <f aca="false">IF($C583="","",INDEX(Planos!$H$3:$H$27,25))</f>
        <v/>
      </c>
      <c r="I583" s="41" t="str">
        <f aca="false">IF($C583="","",IF(INDEX(Planos!$J$3:$AG$27,$A583,$B583)=0,"",INDEX(Planos!$J$3:$AG$27,$A583,$B583)))</f>
        <v/>
      </c>
      <c r="J583" s="26" t="str">
        <f aca="false">IF($C583="","",IF($I583&lt;&gt;"","Realizada",IF($G583&lt;INT(Parâmetros!$C$4),"Atrasada","Agendada")))</f>
        <v/>
      </c>
      <c r="K583" s="42" t="str">
        <f aca="false">IF($C583="","",IF($I583&lt;&gt;"",$I583-$G583,IF($J583="Atrasada",INT(Parâmetros!$C$4)-$G583,"")))</f>
        <v/>
      </c>
      <c r="L583" s="26" t="str">
        <f aca="false">IF($J583&lt;&gt;"Realizada","",IF($K583&lt;=0,"No prazo",IF($K583&lt;=7,"Até 7 dias",IF($K583&lt;=30,"Até 30 dias","Acima de 30"))))</f>
        <v/>
      </c>
      <c r="M583" s="26" t="str">
        <f aca="false">IF($C583="","",COUNTIFS($G$3:$G583,$G583))</f>
        <v/>
      </c>
      <c r="N583" s="26" t="str">
        <f aca="false">IF($C583="","",$G583&amp;"|"&amp;$M583)</f>
        <v/>
      </c>
    </row>
    <row r="584" customFormat="false" ht="18" hidden="false" customHeight="true" outlineLevel="0" collapsed="false">
      <c r="A584" s="26" t="n">
        <v>25</v>
      </c>
      <c r="B584" s="26" t="n">
        <v>6</v>
      </c>
      <c r="C584" s="26" t="str">
        <f aca="false">IF(INDEX(Planos!$B$3:$B$27,25)="","",IF(6&gt;INDEX(Planos!$G$3:$G$27,25),"",INDEX(Planos!$B$3:$B$27,25)))</f>
        <v/>
      </c>
      <c r="D584" s="40" t="str">
        <f aca="false">IF($C584="","",IFERROR(INDEX(Ativos!$B$3:$B$42,MATCH($C584,Ativos!$A$3:$A$42,0)),""))</f>
        <v/>
      </c>
      <c r="E584" s="40" t="str">
        <f aca="false">IF($C584="","",INDEX(Planos!$C$3:$C$27,25))</f>
        <v/>
      </c>
      <c r="F584" s="40" t="str">
        <f aca="false">IF($C584="","",INDEX(Planos!$D$3:$D$27,25))</f>
        <v/>
      </c>
      <c r="G584" s="41" t="n">
        <f aca="false">IF($C584="",0,INDEX(Planos!$F$3:$F$27,25)+(6-1)*INDEX(Planos!$E$3:$E$27,25))</f>
        <v>0</v>
      </c>
      <c r="H584" s="40" t="str">
        <f aca="false">IF($C584="","",INDEX(Planos!$H$3:$H$27,25))</f>
        <v/>
      </c>
      <c r="I584" s="41" t="str">
        <f aca="false">IF($C584="","",IF(INDEX(Planos!$J$3:$AG$27,$A584,$B584)=0,"",INDEX(Planos!$J$3:$AG$27,$A584,$B584)))</f>
        <v/>
      </c>
      <c r="J584" s="26" t="str">
        <f aca="false">IF($C584="","",IF($I584&lt;&gt;"","Realizada",IF($G584&lt;INT(Parâmetros!$C$4),"Atrasada","Agendada")))</f>
        <v/>
      </c>
      <c r="K584" s="42" t="str">
        <f aca="false">IF($C584="","",IF($I584&lt;&gt;"",$I584-$G584,IF($J584="Atrasada",INT(Parâmetros!$C$4)-$G584,"")))</f>
        <v/>
      </c>
      <c r="L584" s="26" t="str">
        <f aca="false">IF($J584&lt;&gt;"Realizada","",IF($K584&lt;=0,"No prazo",IF($K584&lt;=7,"Até 7 dias",IF($K584&lt;=30,"Até 30 dias","Acima de 30"))))</f>
        <v/>
      </c>
      <c r="M584" s="26" t="str">
        <f aca="false">IF($C584="","",COUNTIFS($G$3:$G584,$G584))</f>
        <v/>
      </c>
      <c r="N584" s="26" t="str">
        <f aca="false">IF($C584="","",$G584&amp;"|"&amp;$M584)</f>
        <v/>
      </c>
    </row>
    <row r="585" customFormat="false" ht="18" hidden="false" customHeight="true" outlineLevel="0" collapsed="false">
      <c r="A585" s="26" t="n">
        <v>25</v>
      </c>
      <c r="B585" s="26" t="n">
        <v>7</v>
      </c>
      <c r="C585" s="26" t="str">
        <f aca="false">IF(INDEX(Planos!$B$3:$B$27,25)="","",IF(7&gt;INDEX(Planos!$G$3:$G$27,25),"",INDEX(Planos!$B$3:$B$27,25)))</f>
        <v/>
      </c>
      <c r="D585" s="40" t="str">
        <f aca="false">IF($C585="","",IFERROR(INDEX(Ativos!$B$3:$B$42,MATCH($C585,Ativos!$A$3:$A$42,0)),""))</f>
        <v/>
      </c>
      <c r="E585" s="40" t="str">
        <f aca="false">IF($C585="","",INDEX(Planos!$C$3:$C$27,25))</f>
        <v/>
      </c>
      <c r="F585" s="40" t="str">
        <f aca="false">IF($C585="","",INDEX(Planos!$D$3:$D$27,25))</f>
        <v/>
      </c>
      <c r="G585" s="41" t="n">
        <f aca="false">IF($C585="",0,INDEX(Planos!$F$3:$F$27,25)+(7-1)*INDEX(Planos!$E$3:$E$27,25))</f>
        <v>0</v>
      </c>
      <c r="H585" s="40" t="str">
        <f aca="false">IF($C585="","",INDEX(Planos!$H$3:$H$27,25))</f>
        <v/>
      </c>
      <c r="I585" s="41" t="str">
        <f aca="false">IF($C585="","",IF(INDEX(Planos!$J$3:$AG$27,$A585,$B585)=0,"",INDEX(Planos!$J$3:$AG$27,$A585,$B585)))</f>
        <v/>
      </c>
      <c r="J585" s="26" t="str">
        <f aca="false">IF($C585="","",IF($I585&lt;&gt;"","Realizada",IF($G585&lt;INT(Parâmetros!$C$4),"Atrasada","Agendada")))</f>
        <v/>
      </c>
      <c r="K585" s="42" t="str">
        <f aca="false">IF($C585="","",IF($I585&lt;&gt;"",$I585-$G585,IF($J585="Atrasada",INT(Parâmetros!$C$4)-$G585,"")))</f>
        <v/>
      </c>
      <c r="L585" s="26" t="str">
        <f aca="false">IF($J585&lt;&gt;"Realizada","",IF($K585&lt;=0,"No prazo",IF($K585&lt;=7,"Até 7 dias",IF($K585&lt;=30,"Até 30 dias","Acima de 30"))))</f>
        <v/>
      </c>
      <c r="M585" s="26" t="str">
        <f aca="false">IF($C585="","",COUNTIFS($G$3:$G585,$G585))</f>
        <v/>
      </c>
      <c r="N585" s="26" t="str">
        <f aca="false">IF($C585="","",$G585&amp;"|"&amp;$M585)</f>
        <v/>
      </c>
    </row>
    <row r="586" customFormat="false" ht="18" hidden="false" customHeight="true" outlineLevel="0" collapsed="false">
      <c r="A586" s="26" t="n">
        <v>25</v>
      </c>
      <c r="B586" s="26" t="n">
        <v>8</v>
      </c>
      <c r="C586" s="26" t="str">
        <f aca="false">IF(INDEX(Planos!$B$3:$B$27,25)="","",IF(8&gt;INDEX(Planos!$G$3:$G$27,25),"",INDEX(Planos!$B$3:$B$27,25)))</f>
        <v/>
      </c>
      <c r="D586" s="40" t="str">
        <f aca="false">IF($C586="","",IFERROR(INDEX(Ativos!$B$3:$B$42,MATCH($C586,Ativos!$A$3:$A$42,0)),""))</f>
        <v/>
      </c>
      <c r="E586" s="40" t="str">
        <f aca="false">IF($C586="","",INDEX(Planos!$C$3:$C$27,25))</f>
        <v/>
      </c>
      <c r="F586" s="40" t="str">
        <f aca="false">IF($C586="","",INDEX(Planos!$D$3:$D$27,25))</f>
        <v/>
      </c>
      <c r="G586" s="41" t="n">
        <f aca="false">IF($C586="",0,INDEX(Planos!$F$3:$F$27,25)+(8-1)*INDEX(Planos!$E$3:$E$27,25))</f>
        <v>0</v>
      </c>
      <c r="H586" s="40" t="str">
        <f aca="false">IF($C586="","",INDEX(Planos!$H$3:$H$27,25))</f>
        <v/>
      </c>
      <c r="I586" s="41" t="str">
        <f aca="false">IF($C586="","",IF(INDEX(Planos!$J$3:$AG$27,$A586,$B586)=0,"",INDEX(Planos!$J$3:$AG$27,$A586,$B586)))</f>
        <v/>
      </c>
      <c r="J586" s="26" t="str">
        <f aca="false">IF($C586="","",IF($I586&lt;&gt;"","Realizada",IF($G586&lt;INT(Parâmetros!$C$4),"Atrasada","Agendada")))</f>
        <v/>
      </c>
      <c r="K586" s="42" t="str">
        <f aca="false">IF($C586="","",IF($I586&lt;&gt;"",$I586-$G586,IF($J586="Atrasada",INT(Parâmetros!$C$4)-$G586,"")))</f>
        <v/>
      </c>
      <c r="L586" s="26" t="str">
        <f aca="false">IF($J586&lt;&gt;"Realizada","",IF($K586&lt;=0,"No prazo",IF($K586&lt;=7,"Até 7 dias",IF($K586&lt;=30,"Até 30 dias","Acima de 30"))))</f>
        <v/>
      </c>
      <c r="M586" s="26" t="str">
        <f aca="false">IF($C586="","",COUNTIFS($G$3:$G586,$G586))</f>
        <v/>
      </c>
      <c r="N586" s="26" t="str">
        <f aca="false">IF($C586="","",$G586&amp;"|"&amp;$M586)</f>
        <v/>
      </c>
    </row>
    <row r="587" customFormat="false" ht="18" hidden="false" customHeight="true" outlineLevel="0" collapsed="false">
      <c r="A587" s="26" t="n">
        <v>25</v>
      </c>
      <c r="B587" s="26" t="n">
        <v>9</v>
      </c>
      <c r="C587" s="26" t="str">
        <f aca="false">IF(INDEX(Planos!$B$3:$B$27,25)="","",IF(9&gt;INDEX(Planos!$G$3:$G$27,25),"",INDEX(Planos!$B$3:$B$27,25)))</f>
        <v/>
      </c>
      <c r="D587" s="40" t="str">
        <f aca="false">IF($C587="","",IFERROR(INDEX(Ativos!$B$3:$B$42,MATCH($C587,Ativos!$A$3:$A$42,0)),""))</f>
        <v/>
      </c>
      <c r="E587" s="40" t="str">
        <f aca="false">IF($C587="","",INDEX(Planos!$C$3:$C$27,25))</f>
        <v/>
      </c>
      <c r="F587" s="40" t="str">
        <f aca="false">IF($C587="","",INDEX(Planos!$D$3:$D$27,25))</f>
        <v/>
      </c>
      <c r="G587" s="41" t="n">
        <f aca="false">IF($C587="",0,INDEX(Planos!$F$3:$F$27,25)+(9-1)*INDEX(Planos!$E$3:$E$27,25))</f>
        <v>0</v>
      </c>
      <c r="H587" s="40" t="str">
        <f aca="false">IF($C587="","",INDEX(Planos!$H$3:$H$27,25))</f>
        <v/>
      </c>
      <c r="I587" s="41" t="str">
        <f aca="false">IF($C587="","",IF(INDEX(Planos!$J$3:$AG$27,$A587,$B587)=0,"",INDEX(Planos!$J$3:$AG$27,$A587,$B587)))</f>
        <v/>
      </c>
      <c r="J587" s="26" t="str">
        <f aca="false">IF($C587="","",IF($I587&lt;&gt;"","Realizada",IF($G587&lt;INT(Parâmetros!$C$4),"Atrasada","Agendada")))</f>
        <v/>
      </c>
      <c r="K587" s="42" t="str">
        <f aca="false">IF($C587="","",IF($I587&lt;&gt;"",$I587-$G587,IF($J587="Atrasada",INT(Parâmetros!$C$4)-$G587,"")))</f>
        <v/>
      </c>
      <c r="L587" s="26" t="str">
        <f aca="false">IF($J587&lt;&gt;"Realizada","",IF($K587&lt;=0,"No prazo",IF($K587&lt;=7,"Até 7 dias",IF($K587&lt;=30,"Até 30 dias","Acima de 30"))))</f>
        <v/>
      </c>
      <c r="M587" s="26" t="str">
        <f aca="false">IF($C587="","",COUNTIFS($G$3:$G587,$G587))</f>
        <v/>
      </c>
      <c r="N587" s="26" t="str">
        <f aca="false">IF($C587="","",$G587&amp;"|"&amp;$M587)</f>
        <v/>
      </c>
    </row>
    <row r="588" customFormat="false" ht="18" hidden="false" customHeight="true" outlineLevel="0" collapsed="false">
      <c r="A588" s="26" t="n">
        <v>25</v>
      </c>
      <c r="B588" s="26" t="n">
        <v>10</v>
      </c>
      <c r="C588" s="26" t="str">
        <f aca="false">IF(INDEX(Planos!$B$3:$B$27,25)="","",IF(10&gt;INDEX(Planos!$G$3:$G$27,25),"",INDEX(Planos!$B$3:$B$27,25)))</f>
        <v/>
      </c>
      <c r="D588" s="40" t="str">
        <f aca="false">IF($C588="","",IFERROR(INDEX(Ativos!$B$3:$B$42,MATCH($C588,Ativos!$A$3:$A$42,0)),""))</f>
        <v/>
      </c>
      <c r="E588" s="40" t="str">
        <f aca="false">IF($C588="","",INDEX(Planos!$C$3:$C$27,25))</f>
        <v/>
      </c>
      <c r="F588" s="40" t="str">
        <f aca="false">IF($C588="","",INDEX(Planos!$D$3:$D$27,25))</f>
        <v/>
      </c>
      <c r="G588" s="41" t="n">
        <f aca="false">IF($C588="",0,INDEX(Planos!$F$3:$F$27,25)+(10-1)*INDEX(Planos!$E$3:$E$27,25))</f>
        <v>0</v>
      </c>
      <c r="H588" s="40" t="str">
        <f aca="false">IF($C588="","",INDEX(Planos!$H$3:$H$27,25))</f>
        <v/>
      </c>
      <c r="I588" s="41" t="str">
        <f aca="false">IF($C588="","",IF(INDEX(Planos!$J$3:$AG$27,$A588,$B588)=0,"",INDEX(Planos!$J$3:$AG$27,$A588,$B588)))</f>
        <v/>
      </c>
      <c r="J588" s="26" t="str">
        <f aca="false">IF($C588="","",IF($I588&lt;&gt;"","Realizada",IF($G588&lt;INT(Parâmetros!$C$4),"Atrasada","Agendada")))</f>
        <v/>
      </c>
      <c r="K588" s="42" t="str">
        <f aca="false">IF($C588="","",IF($I588&lt;&gt;"",$I588-$G588,IF($J588="Atrasada",INT(Parâmetros!$C$4)-$G588,"")))</f>
        <v/>
      </c>
      <c r="L588" s="26" t="str">
        <f aca="false">IF($J588&lt;&gt;"Realizada","",IF($K588&lt;=0,"No prazo",IF($K588&lt;=7,"Até 7 dias",IF($K588&lt;=30,"Até 30 dias","Acima de 30"))))</f>
        <v/>
      </c>
      <c r="M588" s="26" t="str">
        <f aca="false">IF($C588="","",COUNTIFS($G$3:$G588,$G588))</f>
        <v/>
      </c>
      <c r="N588" s="26" t="str">
        <f aca="false">IF($C588="","",$G588&amp;"|"&amp;$M588)</f>
        <v/>
      </c>
    </row>
    <row r="589" customFormat="false" ht="18" hidden="false" customHeight="true" outlineLevel="0" collapsed="false">
      <c r="A589" s="26" t="n">
        <v>25</v>
      </c>
      <c r="B589" s="26" t="n">
        <v>11</v>
      </c>
      <c r="C589" s="26" t="str">
        <f aca="false">IF(INDEX(Planos!$B$3:$B$27,25)="","",IF(11&gt;INDEX(Planos!$G$3:$G$27,25),"",INDEX(Planos!$B$3:$B$27,25)))</f>
        <v/>
      </c>
      <c r="D589" s="40" t="str">
        <f aca="false">IF($C589="","",IFERROR(INDEX(Ativos!$B$3:$B$42,MATCH($C589,Ativos!$A$3:$A$42,0)),""))</f>
        <v/>
      </c>
      <c r="E589" s="40" t="str">
        <f aca="false">IF($C589="","",INDEX(Planos!$C$3:$C$27,25))</f>
        <v/>
      </c>
      <c r="F589" s="40" t="str">
        <f aca="false">IF($C589="","",INDEX(Planos!$D$3:$D$27,25))</f>
        <v/>
      </c>
      <c r="G589" s="41" t="n">
        <f aca="false">IF($C589="",0,INDEX(Planos!$F$3:$F$27,25)+(11-1)*INDEX(Planos!$E$3:$E$27,25))</f>
        <v>0</v>
      </c>
      <c r="H589" s="40" t="str">
        <f aca="false">IF($C589="","",INDEX(Planos!$H$3:$H$27,25))</f>
        <v/>
      </c>
      <c r="I589" s="41" t="str">
        <f aca="false">IF($C589="","",IF(INDEX(Planos!$J$3:$AG$27,$A589,$B589)=0,"",INDEX(Planos!$J$3:$AG$27,$A589,$B589)))</f>
        <v/>
      </c>
      <c r="J589" s="26" t="str">
        <f aca="false">IF($C589="","",IF($I589&lt;&gt;"","Realizada",IF($G589&lt;INT(Parâmetros!$C$4),"Atrasada","Agendada")))</f>
        <v/>
      </c>
      <c r="K589" s="42" t="str">
        <f aca="false">IF($C589="","",IF($I589&lt;&gt;"",$I589-$G589,IF($J589="Atrasada",INT(Parâmetros!$C$4)-$G589,"")))</f>
        <v/>
      </c>
      <c r="L589" s="26" t="str">
        <f aca="false">IF($J589&lt;&gt;"Realizada","",IF($K589&lt;=0,"No prazo",IF($K589&lt;=7,"Até 7 dias",IF($K589&lt;=30,"Até 30 dias","Acima de 30"))))</f>
        <v/>
      </c>
      <c r="M589" s="26" t="str">
        <f aca="false">IF($C589="","",COUNTIFS($G$3:$G589,$G589))</f>
        <v/>
      </c>
      <c r="N589" s="26" t="str">
        <f aca="false">IF($C589="","",$G589&amp;"|"&amp;$M589)</f>
        <v/>
      </c>
    </row>
    <row r="590" customFormat="false" ht="18" hidden="false" customHeight="true" outlineLevel="0" collapsed="false">
      <c r="A590" s="26" t="n">
        <v>25</v>
      </c>
      <c r="B590" s="26" t="n">
        <v>12</v>
      </c>
      <c r="C590" s="26" t="str">
        <f aca="false">IF(INDEX(Planos!$B$3:$B$27,25)="","",IF(12&gt;INDEX(Planos!$G$3:$G$27,25),"",INDEX(Planos!$B$3:$B$27,25)))</f>
        <v/>
      </c>
      <c r="D590" s="40" t="str">
        <f aca="false">IF($C590="","",IFERROR(INDEX(Ativos!$B$3:$B$42,MATCH($C590,Ativos!$A$3:$A$42,0)),""))</f>
        <v/>
      </c>
      <c r="E590" s="40" t="str">
        <f aca="false">IF($C590="","",INDEX(Planos!$C$3:$C$27,25))</f>
        <v/>
      </c>
      <c r="F590" s="40" t="str">
        <f aca="false">IF($C590="","",INDEX(Planos!$D$3:$D$27,25))</f>
        <v/>
      </c>
      <c r="G590" s="41" t="n">
        <f aca="false">IF($C590="",0,INDEX(Planos!$F$3:$F$27,25)+(12-1)*INDEX(Planos!$E$3:$E$27,25))</f>
        <v>0</v>
      </c>
      <c r="H590" s="40" t="str">
        <f aca="false">IF($C590="","",INDEX(Planos!$H$3:$H$27,25))</f>
        <v/>
      </c>
      <c r="I590" s="41" t="str">
        <f aca="false">IF($C590="","",IF(INDEX(Planos!$J$3:$AG$27,$A590,$B590)=0,"",INDEX(Planos!$J$3:$AG$27,$A590,$B590)))</f>
        <v/>
      </c>
      <c r="J590" s="26" t="str">
        <f aca="false">IF($C590="","",IF($I590&lt;&gt;"","Realizada",IF($G590&lt;INT(Parâmetros!$C$4),"Atrasada","Agendada")))</f>
        <v/>
      </c>
      <c r="K590" s="42" t="str">
        <f aca="false">IF($C590="","",IF($I590&lt;&gt;"",$I590-$G590,IF($J590="Atrasada",INT(Parâmetros!$C$4)-$G590,"")))</f>
        <v/>
      </c>
      <c r="L590" s="26" t="str">
        <f aca="false">IF($J590&lt;&gt;"Realizada","",IF($K590&lt;=0,"No prazo",IF($K590&lt;=7,"Até 7 dias",IF($K590&lt;=30,"Até 30 dias","Acima de 30"))))</f>
        <v/>
      </c>
      <c r="M590" s="26" t="str">
        <f aca="false">IF($C590="","",COUNTIFS($G$3:$G590,$G590))</f>
        <v/>
      </c>
      <c r="N590" s="26" t="str">
        <f aca="false">IF($C590="","",$G590&amp;"|"&amp;$M590)</f>
        <v/>
      </c>
    </row>
    <row r="591" customFormat="false" ht="18" hidden="false" customHeight="true" outlineLevel="0" collapsed="false">
      <c r="A591" s="26" t="n">
        <v>25</v>
      </c>
      <c r="B591" s="26" t="n">
        <v>13</v>
      </c>
      <c r="C591" s="26" t="str">
        <f aca="false">IF(INDEX(Planos!$B$3:$B$27,25)="","",IF(13&gt;INDEX(Planos!$G$3:$G$27,25),"",INDEX(Planos!$B$3:$B$27,25)))</f>
        <v/>
      </c>
      <c r="D591" s="40" t="str">
        <f aca="false">IF($C591="","",IFERROR(INDEX(Ativos!$B$3:$B$42,MATCH($C591,Ativos!$A$3:$A$42,0)),""))</f>
        <v/>
      </c>
      <c r="E591" s="40" t="str">
        <f aca="false">IF($C591="","",INDEX(Planos!$C$3:$C$27,25))</f>
        <v/>
      </c>
      <c r="F591" s="40" t="str">
        <f aca="false">IF($C591="","",INDEX(Planos!$D$3:$D$27,25))</f>
        <v/>
      </c>
      <c r="G591" s="41" t="n">
        <f aca="false">IF($C591="",0,INDEX(Planos!$F$3:$F$27,25)+(13-1)*INDEX(Planos!$E$3:$E$27,25))</f>
        <v>0</v>
      </c>
      <c r="H591" s="40" t="str">
        <f aca="false">IF($C591="","",INDEX(Planos!$H$3:$H$27,25))</f>
        <v/>
      </c>
      <c r="I591" s="41" t="str">
        <f aca="false">IF($C591="","",IF(INDEX(Planos!$J$3:$AG$27,$A591,$B591)=0,"",INDEX(Planos!$J$3:$AG$27,$A591,$B591)))</f>
        <v/>
      </c>
      <c r="J591" s="26" t="str">
        <f aca="false">IF($C591="","",IF($I591&lt;&gt;"","Realizada",IF($G591&lt;INT(Parâmetros!$C$4),"Atrasada","Agendada")))</f>
        <v/>
      </c>
      <c r="K591" s="42" t="str">
        <f aca="false">IF($C591="","",IF($I591&lt;&gt;"",$I591-$G591,IF($J591="Atrasada",INT(Parâmetros!$C$4)-$G591,"")))</f>
        <v/>
      </c>
      <c r="L591" s="26" t="str">
        <f aca="false">IF($J591&lt;&gt;"Realizada","",IF($K591&lt;=0,"No prazo",IF($K591&lt;=7,"Até 7 dias",IF($K591&lt;=30,"Até 30 dias","Acima de 30"))))</f>
        <v/>
      </c>
      <c r="M591" s="26" t="str">
        <f aca="false">IF($C591="","",COUNTIFS($G$3:$G591,$G591))</f>
        <v/>
      </c>
      <c r="N591" s="26" t="str">
        <f aca="false">IF($C591="","",$G591&amp;"|"&amp;$M591)</f>
        <v/>
      </c>
    </row>
    <row r="592" customFormat="false" ht="18" hidden="false" customHeight="true" outlineLevel="0" collapsed="false">
      <c r="A592" s="26" t="n">
        <v>25</v>
      </c>
      <c r="B592" s="26" t="n">
        <v>14</v>
      </c>
      <c r="C592" s="26" t="str">
        <f aca="false">IF(INDEX(Planos!$B$3:$B$27,25)="","",IF(14&gt;INDEX(Planos!$G$3:$G$27,25),"",INDEX(Planos!$B$3:$B$27,25)))</f>
        <v/>
      </c>
      <c r="D592" s="40" t="str">
        <f aca="false">IF($C592="","",IFERROR(INDEX(Ativos!$B$3:$B$42,MATCH($C592,Ativos!$A$3:$A$42,0)),""))</f>
        <v/>
      </c>
      <c r="E592" s="40" t="str">
        <f aca="false">IF($C592="","",INDEX(Planos!$C$3:$C$27,25))</f>
        <v/>
      </c>
      <c r="F592" s="40" t="str">
        <f aca="false">IF($C592="","",INDEX(Planos!$D$3:$D$27,25))</f>
        <v/>
      </c>
      <c r="G592" s="41" t="n">
        <f aca="false">IF($C592="",0,INDEX(Planos!$F$3:$F$27,25)+(14-1)*INDEX(Planos!$E$3:$E$27,25))</f>
        <v>0</v>
      </c>
      <c r="H592" s="40" t="str">
        <f aca="false">IF($C592="","",INDEX(Planos!$H$3:$H$27,25))</f>
        <v/>
      </c>
      <c r="I592" s="41" t="str">
        <f aca="false">IF($C592="","",IF(INDEX(Planos!$J$3:$AG$27,$A592,$B592)=0,"",INDEX(Planos!$J$3:$AG$27,$A592,$B592)))</f>
        <v/>
      </c>
      <c r="J592" s="26" t="str">
        <f aca="false">IF($C592="","",IF($I592&lt;&gt;"","Realizada",IF($G592&lt;INT(Parâmetros!$C$4),"Atrasada","Agendada")))</f>
        <v/>
      </c>
      <c r="K592" s="42" t="str">
        <f aca="false">IF($C592="","",IF($I592&lt;&gt;"",$I592-$G592,IF($J592="Atrasada",INT(Parâmetros!$C$4)-$G592,"")))</f>
        <v/>
      </c>
      <c r="L592" s="26" t="str">
        <f aca="false">IF($J592&lt;&gt;"Realizada","",IF($K592&lt;=0,"No prazo",IF($K592&lt;=7,"Até 7 dias",IF($K592&lt;=30,"Até 30 dias","Acima de 30"))))</f>
        <v/>
      </c>
      <c r="M592" s="26" t="str">
        <f aca="false">IF($C592="","",COUNTIFS($G$3:$G592,$G592))</f>
        <v/>
      </c>
      <c r="N592" s="26" t="str">
        <f aca="false">IF($C592="","",$G592&amp;"|"&amp;$M592)</f>
        <v/>
      </c>
    </row>
    <row r="593" customFormat="false" ht="18" hidden="false" customHeight="true" outlineLevel="0" collapsed="false">
      <c r="A593" s="26" t="n">
        <v>25</v>
      </c>
      <c r="B593" s="26" t="n">
        <v>15</v>
      </c>
      <c r="C593" s="26" t="str">
        <f aca="false">IF(INDEX(Planos!$B$3:$B$27,25)="","",IF(15&gt;INDEX(Planos!$G$3:$G$27,25),"",INDEX(Planos!$B$3:$B$27,25)))</f>
        <v/>
      </c>
      <c r="D593" s="40" t="str">
        <f aca="false">IF($C593="","",IFERROR(INDEX(Ativos!$B$3:$B$42,MATCH($C593,Ativos!$A$3:$A$42,0)),""))</f>
        <v/>
      </c>
      <c r="E593" s="40" t="str">
        <f aca="false">IF($C593="","",INDEX(Planos!$C$3:$C$27,25))</f>
        <v/>
      </c>
      <c r="F593" s="40" t="str">
        <f aca="false">IF($C593="","",INDEX(Planos!$D$3:$D$27,25))</f>
        <v/>
      </c>
      <c r="G593" s="41" t="n">
        <f aca="false">IF($C593="",0,INDEX(Planos!$F$3:$F$27,25)+(15-1)*INDEX(Planos!$E$3:$E$27,25))</f>
        <v>0</v>
      </c>
      <c r="H593" s="40" t="str">
        <f aca="false">IF($C593="","",INDEX(Planos!$H$3:$H$27,25))</f>
        <v/>
      </c>
      <c r="I593" s="41" t="str">
        <f aca="false">IF($C593="","",IF(INDEX(Planos!$J$3:$AG$27,$A593,$B593)=0,"",INDEX(Planos!$J$3:$AG$27,$A593,$B593)))</f>
        <v/>
      </c>
      <c r="J593" s="26" t="str">
        <f aca="false">IF($C593="","",IF($I593&lt;&gt;"","Realizada",IF($G593&lt;INT(Parâmetros!$C$4),"Atrasada","Agendada")))</f>
        <v/>
      </c>
      <c r="K593" s="42" t="str">
        <f aca="false">IF($C593="","",IF($I593&lt;&gt;"",$I593-$G593,IF($J593="Atrasada",INT(Parâmetros!$C$4)-$G593,"")))</f>
        <v/>
      </c>
      <c r="L593" s="26" t="str">
        <f aca="false">IF($J593&lt;&gt;"Realizada","",IF($K593&lt;=0,"No prazo",IF($K593&lt;=7,"Até 7 dias",IF($K593&lt;=30,"Até 30 dias","Acima de 30"))))</f>
        <v/>
      </c>
      <c r="M593" s="26" t="str">
        <f aca="false">IF($C593="","",COUNTIFS($G$3:$G593,$G593))</f>
        <v/>
      </c>
      <c r="N593" s="26" t="str">
        <f aca="false">IF($C593="","",$G593&amp;"|"&amp;$M593)</f>
        <v/>
      </c>
    </row>
    <row r="594" customFormat="false" ht="18" hidden="false" customHeight="true" outlineLevel="0" collapsed="false">
      <c r="A594" s="26" t="n">
        <v>25</v>
      </c>
      <c r="B594" s="26" t="n">
        <v>16</v>
      </c>
      <c r="C594" s="26" t="str">
        <f aca="false">IF(INDEX(Planos!$B$3:$B$27,25)="","",IF(16&gt;INDEX(Planos!$G$3:$G$27,25),"",INDEX(Planos!$B$3:$B$27,25)))</f>
        <v/>
      </c>
      <c r="D594" s="40" t="str">
        <f aca="false">IF($C594="","",IFERROR(INDEX(Ativos!$B$3:$B$42,MATCH($C594,Ativos!$A$3:$A$42,0)),""))</f>
        <v/>
      </c>
      <c r="E594" s="40" t="str">
        <f aca="false">IF($C594="","",INDEX(Planos!$C$3:$C$27,25))</f>
        <v/>
      </c>
      <c r="F594" s="40" t="str">
        <f aca="false">IF($C594="","",INDEX(Planos!$D$3:$D$27,25))</f>
        <v/>
      </c>
      <c r="G594" s="41" t="n">
        <f aca="false">IF($C594="",0,INDEX(Planos!$F$3:$F$27,25)+(16-1)*INDEX(Planos!$E$3:$E$27,25))</f>
        <v>0</v>
      </c>
      <c r="H594" s="40" t="str">
        <f aca="false">IF($C594="","",INDEX(Planos!$H$3:$H$27,25))</f>
        <v/>
      </c>
      <c r="I594" s="41" t="str">
        <f aca="false">IF($C594="","",IF(INDEX(Planos!$J$3:$AG$27,$A594,$B594)=0,"",INDEX(Planos!$J$3:$AG$27,$A594,$B594)))</f>
        <v/>
      </c>
      <c r="J594" s="26" t="str">
        <f aca="false">IF($C594="","",IF($I594&lt;&gt;"","Realizada",IF($G594&lt;INT(Parâmetros!$C$4),"Atrasada","Agendada")))</f>
        <v/>
      </c>
      <c r="K594" s="42" t="str">
        <f aca="false">IF($C594="","",IF($I594&lt;&gt;"",$I594-$G594,IF($J594="Atrasada",INT(Parâmetros!$C$4)-$G594,"")))</f>
        <v/>
      </c>
      <c r="L594" s="26" t="str">
        <f aca="false">IF($J594&lt;&gt;"Realizada","",IF($K594&lt;=0,"No prazo",IF($K594&lt;=7,"Até 7 dias",IF($K594&lt;=30,"Até 30 dias","Acima de 30"))))</f>
        <v/>
      </c>
      <c r="M594" s="26" t="str">
        <f aca="false">IF($C594="","",COUNTIFS($G$3:$G594,$G594))</f>
        <v/>
      </c>
      <c r="N594" s="26" t="str">
        <f aca="false">IF($C594="","",$G594&amp;"|"&amp;$M594)</f>
        <v/>
      </c>
    </row>
    <row r="595" customFormat="false" ht="18" hidden="false" customHeight="true" outlineLevel="0" collapsed="false">
      <c r="A595" s="26" t="n">
        <v>25</v>
      </c>
      <c r="B595" s="26" t="n">
        <v>17</v>
      </c>
      <c r="C595" s="26" t="str">
        <f aca="false">IF(INDEX(Planos!$B$3:$B$27,25)="","",IF(17&gt;INDEX(Planos!$G$3:$G$27,25),"",INDEX(Planos!$B$3:$B$27,25)))</f>
        <v/>
      </c>
      <c r="D595" s="40" t="str">
        <f aca="false">IF($C595="","",IFERROR(INDEX(Ativos!$B$3:$B$42,MATCH($C595,Ativos!$A$3:$A$42,0)),""))</f>
        <v/>
      </c>
      <c r="E595" s="40" t="str">
        <f aca="false">IF($C595="","",INDEX(Planos!$C$3:$C$27,25))</f>
        <v/>
      </c>
      <c r="F595" s="40" t="str">
        <f aca="false">IF($C595="","",INDEX(Planos!$D$3:$D$27,25))</f>
        <v/>
      </c>
      <c r="G595" s="41" t="n">
        <f aca="false">IF($C595="",0,INDEX(Planos!$F$3:$F$27,25)+(17-1)*INDEX(Planos!$E$3:$E$27,25))</f>
        <v>0</v>
      </c>
      <c r="H595" s="40" t="str">
        <f aca="false">IF($C595="","",INDEX(Planos!$H$3:$H$27,25))</f>
        <v/>
      </c>
      <c r="I595" s="41" t="str">
        <f aca="false">IF($C595="","",IF(INDEX(Planos!$J$3:$AG$27,$A595,$B595)=0,"",INDEX(Planos!$J$3:$AG$27,$A595,$B595)))</f>
        <v/>
      </c>
      <c r="J595" s="26" t="str">
        <f aca="false">IF($C595="","",IF($I595&lt;&gt;"","Realizada",IF($G595&lt;INT(Parâmetros!$C$4),"Atrasada","Agendada")))</f>
        <v/>
      </c>
      <c r="K595" s="42" t="str">
        <f aca="false">IF($C595="","",IF($I595&lt;&gt;"",$I595-$G595,IF($J595="Atrasada",INT(Parâmetros!$C$4)-$G595,"")))</f>
        <v/>
      </c>
      <c r="L595" s="26" t="str">
        <f aca="false">IF($J595&lt;&gt;"Realizada","",IF($K595&lt;=0,"No prazo",IF($K595&lt;=7,"Até 7 dias",IF($K595&lt;=30,"Até 30 dias","Acima de 30"))))</f>
        <v/>
      </c>
      <c r="M595" s="26" t="str">
        <f aca="false">IF($C595="","",COUNTIFS($G$3:$G595,$G595))</f>
        <v/>
      </c>
      <c r="N595" s="26" t="str">
        <f aca="false">IF($C595="","",$G595&amp;"|"&amp;$M595)</f>
        <v/>
      </c>
    </row>
    <row r="596" customFormat="false" ht="18" hidden="false" customHeight="true" outlineLevel="0" collapsed="false">
      <c r="A596" s="26" t="n">
        <v>25</v>
      </c>
      <c r="B596" s="26" t="n">
        <v>18</v>
      </c>
      <c r="C596" s="26" t="str">
        <f aca="false">IF(INDEX(Planos!$B$3:$B$27,25)="","",IF(18&gt;INDEX(Planos!$G$3:$G$27,25),"",INDEX(Planos!$B$3:$B$27,25)))</f>
        <v/>
      </c>
      <c r="D596" s="40" t="str">
        <f aca="false">IF($C596="","",IFERROR(INDEX(Ativos!$B$3:$B$42,MATCH($C596,Ativos!$A$3:$A$42,0)),""))</f>
        <v/>
      </c>
      <c r="E596" s="40" t="str">
        <f aca="false">IF($C596="","",INDEX(Planos!$C$3:$C$27,25))</f>
        <v/>
      </c>
      <c r="F596" s="40" t="str">
        <f aca="false">IF($C596="","",INDEX(Planos!$D$3:$D$27,25))</f>
        <v/>
      </c>
      <c r="G596" s="41" t="n">
        <f aca="false">IF($C596="",0,INDEX(Planos!$F$3:$F$27,25)+(18-1)*INDEX(Planos!$E$3:$E$27,25))</f>
        <v>0</v>
      </c>
      <c r="H596" s="40" t="str">
        <f aca="false">IF($C596="","",INDEX(Planos!$H$3:$H$27,25))</f>
        <v/>
      </c>
      <c r="I596" s="41" t="str">
        <f aca="false">IF($C596="","",IF(INDEX(Planos!$J$3:$AG$27,$A596,$B596)=0,"",INDEX(Planos!$J$3:$AG$27,$A596,$B596)))</f>
        <v/>
      </c>
      <c r="J596" s="26" t="str">
        <f aca="false">IF($C596="","",IF($I596&lt;&gt;"","Realizada",IF($G596&lt;INT(Parâmetros!$C$4),"Atrasada","Agendada")))</f>
        <v/>
      </c>
      <c r="K596" s="42" t="str">
        <f aca="false">IF($C596="","",IF($I596&lt;&gt;"",$I596-$G596,IF($J596="Atrasada",INT(Parâmetros!$C$4)-$G596,"")))</f>
        <v/>
      </c>
      <c r="L596" s="26" t="str">
        <f aca="false">IF($J596&lt;&gt;"Realizada","",IF($K596&lt;=0,"No prazo",IF($K596&lt;=7,"Até 7 dias",IF($K596&lt;=30,"Até 30 dias","Acima de 30"))))</f>
        <v/>
      </c>
      <c r="M596" s="26" t="str">
        <f aca="false">IF($C596="","",COUNTIFS($G$3:$G596,$G596))</f>
        <v/>
      </c>
      <c r="N596" s="26" t="str">
        <f aca="false">IF($C596="","",$G596&amp;"|"&amp;$M596)</f>
        <v/>
      </c>
    </row>
    <row r="597" customFormat="false" ht="18" hidden="false" customHeight="true" outlineLevel="0" collapsed="false">
      <c r="A597" s="26" t="n">
        <v>25</v>
      </c>
      <c r="B597" s="26" t="n">
        <v>19</v>
      </c>
      <c r="C597" s="26" t="str">
        <f aca="false">IF(INDEX(Planos!$B$3:$B$27,25)="","",IF(19&gt;INDEX(Planos!$G$3:$G$27,25),"",INDEX(Planos!$B$3:$B$27,25)))</f>
        <v/>
      </c>
      <c r="D597" s="40" t="str">
        <f aca="false">IF($C597="","",IFERROR(INDEX(Ativos!$B$3:$B$42,MATCH($C597,Ativos!$A$3:$A$42,0)),""))</f>
        <v/>
      </c>
      <c r="E597" s="40" t="str">
        <f aca="false">IF($C597="","",INDEX(Planos!$C$3:$C$27,25))</f>
        <v/>
      </c>
      <c r="F597" s="40" t="str">
        <f aca="false">IF($C597="","",INDEX(Planos!$D$3:$D$27,25))</f>
        <v/>
      </c>
      <c r="G597" s="41" t="n">
        <f aca="false">IF($C597="",0,INDEX(Planos!$F$3:$F$27,25)+(19-1)*INDEX(Planos!$E$3:$E$27,25))</f>
        <v>0</v>
      </c>
      <c r="H597" s="40" t="str">
        <f aca="false">IF($C597="","",INDEX(Planos!$H$3:$H$27,25))</f>
        <v/>
      </c>
      <c r="I597" s="41" t="str">
        <f aca="false">IF($C597="","",IF(INDEX(Planos!$J$3:$AG$27,$A597,$B597)=0,"",INDEX(Planos!$J$3:$AG$27,$A597,$B597)))</f>
        <v/>
      </c>
      <c r="J597" s="26" t="str">
        <f aca="false">IF($C597="","",IF($I597&lt;&gt;"","Realizada",IF($G597&lt;INT(Parâmetros!$C$4),"Atrasada","Agendada")))</f>
        <v/>
      </c>
      <c r="K597" s="42" t="str">
        <f aca="false">IF($C597="","",IF($I597&lt;&gt;"",$I597-$G597,IF($J597="Atrasada",INT(Parâmetros!$C$4)-$G597,"")))</f>
        <v/>
      </c>
      <c r="L597" s="26" t="str">
        <f aca="false">IF($J597&lt;&gt;"Realizada","",IF($K597&lt;=0,"No prazo",IF($K597&lt;=7,"Até 7 dias",IF($K597&lt;=30,"Até 30 dias","Acima de 30"))))</f>
        <v/>
      </c>
      <c r="M597" s="26" t="str">
        <f aca="false">IF($C597="","",COUNTIFS($G$3:$G597,$G597))</f>
        <v/>
      </c>
      <c r="N597" s="26" t="str">
        <f aca="false">IF($C597="","",$G597&amp;"|"&amp;$M597)</f>
        <v/>
      </c>
    </row>
    <row r="598" customFormat="false" ht="18" hidden="false" customHeight="true" outlineLevel="0" collapsed="false">
      <c r="A598" s="26" t="n">
        <v>25</v>
      </c>
      <c r="B598" s="26" t="n">
        <v>20</v>
      </c>
      <c r="C598" s="26" t="str">
        <f aca="false">IF(INDEX(Planos!$B$3:$B$27,25)="","",IF(20&gt;INDEX(Planos!$G$3:$G$27,25),"",INDEX(Planos!$B$3:$B$27,25)))</f>
        <v/>
      </c>
      <c r="D598" s="40" t="str">
        <f aca="false">IF($C598="","",IFERROR(INDEX(Ativos!$B$3:$B$42,MATCH($C598,Ativos!$A$3:$A$42,0)),""))</f>
        <v/>
      </c>
      <c r="E598" s="40" t="str">
        <f aca="false">IF($C598="","",INDEX(Planos!$C$3:$C$27,25))</f>
        <v/>
      </c>
      <c r="F598" s="40" t="str">
        <f aca="false">IF($C598="","",INDEX(Planos!$D$3:$D$27,25))</f>
        <v/>
      </c>
      <c r="G598" s="41" t="n">
        <f aca="false">IF($C598="",0,INDEX(Planos!$F$3:$F$27,25)+(20-1)*INDEX(Planos!$E$3:$E$27,25))</f>
        <v>0</v>
      </c>
      <c r="H598" s="40" t="str">
        <f aca="false">IF($C598="","",INDEX(Planos!$H$3:$H$27,25))</f>
        <v/>
      </c>
      <c r="I598" s="41" t="str">
        <f aca="false">IF($C598="","",IF(INDEX(Planos!$J$3:$AG$27,$A598,$B598)=0,"",INDEX(Planos!$J$3:$AG$27,$A598,$B598)))</f>
        <v/>
      </c>
      <c r="J598" s="26" t="str">
        <f aca="false">IF($C598="","",IF($I598&lt;&gt;"","Realizada",IF($G598&lt;INT(Parâmetros!$C$4),"Atrasada","Agendada")))</f>
        <v/>
      </c>
      <c r="K598" s="42" t="str">
        <f aca="false">IF($C598="","",IF($I598&lt;&gt;"",$I598-$G598,IF($J598="Atrasada",INT(Parâmetros!$C$4)-$G598,"")))</f>
        <v/>
      </c>
      <c r="L598" s="26" t="str">
        <f aca="false">IF($J598&lt;&gt;"Realizada","",IF($K598&lt;=0,"No prazo",IF($K598&lt;=7,"Até 7 dias",IF($K598&lt;=30,"Até 30 dias","Acima de 30"))))</f>
        <v/>
      </c>
      <c r="M598" s="26" t="str">
        <f aca="false">IF($C598="","",COUNTIFS($G$3:$G598,$G598))</f>
        <v/>
      </c>
      <c r="N598" s="26" t="str">
        <f aca="false">IF($C598="","",$G598&amp;"|"&amp;$M598)</f>
        <v/>
      </c>
    </row>
    <row r="599" customFormat="false" ht="18" hidden="false" customHeight="true" outlineLevel="0" collapsed="false">
      <c r="A599" s="26" t="n">
        <v>25</v>
      </c>
      <c r="B599" s="26" t="n">
        <v>21</v>
      </c>
      <c r="C599" s="26" t="str">
        <f aca="false">IF(INDEX(Planos!$B$3:$B$27,25)="","",IF(21&gt;INDEX(Planos!$G$3:$G$27,25),"",INDEX(Planos!$B$3:$B$27,25)))</f>
        <v/>
      </c>
      <c r="D599" s="40" t="str">
        <f aca="false">IF($C599="","",IFERROR(INDEX(Ativos!$B$3:$B$42,MATCH($C599,Ativos!$A$3:$A$42,0)),""))</f>
        <v/>
      </c>
      <c r="E599" s="40" t="str">
        <f aca="false">IF($C599="","",INDEX(Planos!$C$3:$C$27,25))</f>
        <v/>
      </c>
      <c r="F599" s="40" t="str">
        <f aca="false">IF($C599="","",INDEX(Planos!$D$3:$D$27,25))</f>
        <v/>
      </c>
      <c r="G599" s="41" t="n">
        <f aca="false">IF($C599="",0,INDEX(Planos!$F$3:$F$27,25)+(21-1)*INDEX(Planos!$E$3:$E$27,25))</f>
        <v>0</v>
      </c>
      <c r="H599" s="40" t="str">
        <f aca="false">IF($C599="","",INDEX(Planos!$H$3:$H$27,25))</f>
        <v/>
      </c>
      <c r="I599" s="41" t="str">
        <f aca="false">IF($C599="","",IF(INDEX(Planos!$J$3:$AG$27,$A599,$B599)=0,"",INDEX(Planos!$J$3:$AG$27,$A599,$B599)))</f>
        <v/>
      </c>
      <c r="J599" s="26" t="str">
        <f aca="false">IF($C599="","",IF($I599&lt;&gt;"","Realizada",IF($G599&lt;INT(Parâmetros!$C$4),"Atrasada","Agendada")))</f>
        <v/>
      </c>
      <c r="K599" s="42" t="str">
        <f aca="false">IF($C599="","",IF($I599&lt;&gt;"",$I599-$G599,IF($J599="Atrasada",INT(Parâmetros!$C$4)-$G599,"")))</f>
        <v/>
      </c>
      <c r="L599" s="26" t="str">
        <f aca="false">IF($J599&lt;&gt;"Realizada","",IF($K599&lt;=0,"No prazo",IF($K599&lt;=7,"Até 7 dias",IF($K599&lt;=30,"Até 30 dias","Acima de 30"))))</f>
        <v/>
      </c>
      <c r="M599" s="26" t="str">
        <f aca="false">IF($C599="","",COUNTIFS($G$3:$G599,$G599))</f>
        <v/>
      </c>
      <c r="N599" s="26" t="str">
        <f aca="false">IF($C599="","",$G599&amp;"|"&amp;$M599)</f>
        <v/>
      </c>
    </row>
    <row r="600" customFormat="false" ht="18" hidden="false" customHeight="true" outlineLevel="0" collapsed="false">
      <c r="A600" s="26" t="n">
        <v>25</v>
      </c>
      <c r="B600" s="26" t="n">
        <v>22</v>
      </c>
      <c r="C600" s="26" t="str">
        <f aca="false">IF(INDEX(Planos!$B$3:$B$27,25)="","",IF(22&gt;INDEX(Planos!$G$3:$G$27,25),"",INDEX(Planos!$B$3:$B$27,25)))</f>
        <v/>
      </c>
      <c r="D600" s="40" t="str">
        <f aca="false">IF($C600="","",IFERROR(INDEX(Ativos!$B$3:$B$42,MATCH($C600,Ativos!$A$3:$A$42,0)),""))</f>
        <v/>
      </c>
      <c r="E600" s="40" t="str">
        <f aca="false">IF($C600="","",INDEX(Planos!$C$3:$C$27,25))</f>
        <v/>
      </c>
      <c r="F600" s="40" t="str">
        <f aca="false">IF($C600="","",INDEX(Planos!$D$3:$D$27,25))</f>
        <v/>
      </c>
      <c r="G600" s="41" t="n">
        <f aca="false">IF($C600="",0,INDEX(Planos!$F$3:$F$27,25)+(22-1)*INDEX(Planos!$E$3:$E$27,25))</f>
        <v>0</v>
      </c>
      <c r="H600" s="40" t="str">
        <f aca="false">IF($C600="","",INDEX(Planos!$H$3:$H$27,25))</f>
        <v/>
      </c>
      <c r="I600" s="41" t="str">
        <f aca="false">IF($C600="","",IF(INDEX(Planos!$J$3:$AG$27,$A600,$B600)=0,"",INDEX(Planos!$J$3:$AG$27,$A600,$B600)))</f>
        <v/>
      </c>
      <c r="J600" s="26" t="str">
        <f aca="false">IF($C600="","",IF($I600&lt;&gt;"","Realizada",IF($G600&lt;INT(Parâmetros!$C$4),"Atrasada","Agendada")))</f>
        <v/>
      </c>
      <c r="K600" s="42" t="str">
        <f aca="false">IF($C600="","",IF($I600&lt;&gt;"",$I600-$G600,IF($J600="Atrasada",INT(Parâmetros!$C$4)-$G600,"")))</f>
        <v/>
      </c>
      <c r="L600" s="26" t="str">
        <f aca="false">IF($J600&lt;&gt;"Realizada","",IF($K600&lt;=0,"No prazo",IF($K600&lt;=7,"Até 7 dias",IF($K600&lt;=30,"Até 30 dias","Acima de 30"))))</f>
        <v/>
      </c>
      <c r="M600" s="26" t="str">
        <f aca="false">IF($C600="","",COUNTIFS($G$3:$G600,$G600))</f>
        <v/>
      </c>
      <c r="N600" s="26" t="str">
        <f aca="false">IF($C600="","",$G600&amp;"|"&amp;$M600)</f>
        <v/>
      </c>
    </row>
    <row r="601" customFormat="false" ht="18" hidden="false" customHeight="true" outlineLevel="0" collapsed="false">
      <c r="A601" s="26" t="n">
        <v>25</v>
      </c>
      <c r="B601" s="26" t="n">
        <v>23</v>
      </c>
      <c r="C601" s="26" t="str">
        <f aca="false">IF(INDEX(Planos!$B$3:$B$27,25)="","",IF(23&gt;INDEX(Planos!$G$3:$G$27,25),"",INDEX(Planos!$B$3:$B$27,25)))</f>
        <v/>
      </c>
      <c r="D601" s="40" t="str">
        <f aca="false">IF($C601="","",IFERROR(INDEX(Ativos!$B$3:$B$42,MATCH($C601,Ativos!$A$3:$A$42,0)),""))</f>
        <v/>
      </c>
      <c r="E601" s="40" t="str">
        <f aca="false">IF($C601="","",INDEX(Planos!$C$3:$C$27,25))</f>
        <v/>
      </c>
      <c r="F601" s="40" t="str">
        <f aca="false">IF($C601="","",INDEX(Planos!$D$3:$D$27,25))</f>
        <v/>
      </c>
      <c r="G601" s="41" t="n">
        <f aca="false">IF($C601="",0,INDEX(Planos!$F$3:$F$27,25)+(23-1)*INDEX(Planos!$E$3:$E$27,25))</f>
        <v>0</v>
      </c>
      <c r="H601" s="40" t="str">
        <f aca="false">IF($C601="","",INDEX(Planos!$H$3:$H$27,25))</f>
        <v/>
      </c>
      <c r="I601" s="41" t="str">
        <f aca="false">IF($C601="","",IF(INDEX(Planos!$J$3:$AG$27,$A601,$B601)=0,"",INDEX(Planos!$J$3:$AG$27,$A601,$B601)))</f>
        <v/>
      </c>
      <c r="J601" s="26" t="str">
        <f aca="false">IF($C601="","",IF($I601&lt;&gt;"","Realizada",IF($G601&lt;INT(Parâmetros!$C$4),"Atrasada","Agendada")))</f>
        <v/>
      </c>
      <c r="K601" s="42" t="str">
        <f aca="false">IF($C601="","",IF($I601&lt;&gt;"",$I601-$G601,IF($J601="Atrasada",INT(Parâmetros!$C$4)-$G601,"")))</f>
        <v/>
      </c>
      <c r="L601" s="26" t="str">
        <f aca="false">IF($J601&lt;&gt;"Realizada","",IF($K601&lt;=0,"No prazo",IF($K601&lt;=7,"Até 7 dias",IF($K601&lt;=30,"Até 30 dias","Acima de 30"))))</f>
        <v/>
      </c>
      <c r="M601" s="26" t="str">
        <f aca="false">IF($C601="","",COUNTIFS($G$3:$G601,$G601))</f>
        <v/>
      </c>
      <c r="N601" s="26" t="str">
        <f aca="false">IF($C601="","",$G601&amp;"|"&amp;$M601)</f>
        <v/>
      </c>
    </row>
    <row r="602" customFormat="false" ht="18" hidden="false" customHeight="true" outlineLevel="0" collapsed="false">
      <c r="A602" s="26" t="n">
        <v>25</v>
      </c>
      <c r="B602" s="26" t="n">
        <v>24</v>
      </c>
      <c r="C602" s="26" t="str">
        <f aca="false">IF(INDEX(Planos!$B$3:$B$27,25)="","",IF(24&gt;INDEX(Planos!$G$3:$G$27,25),"",INDEX(Planos!$B$3:$B$27,25)))</f>
        <v/>
      </c>
      <c r="D602" s="40" t="str">
        <f aca="false">IF($C602="","",IFERROR(INDEX(Ativos!$B$3:$B$42,MATCH($C602,Ativos!$A$3:$A$42,0)),""))</f>
        <v/>
      </c>
      <c r="E602" s="40" t="str">
        <f aca="false">IF($C602="","",INDEX(Planos!$C$3:$C$27,25))</f>
        <v/>
      </c>
      <c r="F602" s="40" t="str">
        <f aca="false">IF($C602="","",INDEX(Planos!$D$3:$D$27,25))</f>
        <v/>
      </c>
      <c r="G602" s="41" t="n">
        <f aca="false">IF($C602="",0,INDEX(Planos!$F$3:$F$27,25)+(24-1)*INDEX(Planos!$E$3:$E$27,25))</f>
        <v>0</v>
      </c>
      <c r="H602" s="40" t="str">
        <f aca="false">IF($C602="","",INDEX(Planos!$H$3:$H$27,25))</f>
        <v/>
      </c>
      <c r="I602" s="41" t="str">
        <f aca="false">IF($C602="","",IF(INDEX(Planos!$J$3:$AG$27,$A602,$B602)=0,"",INDEX(Planos!$J$3:$AG$27,$A602,$B602)))</f>
        <v/>
      </c>
      <c r="J602" s="26" t="str">
        <f aca="false">IF($C602="","",IF($I602&lt;&gt;"","Realizada",IF($G602&lt;INT(Parâmetros!$C$4),"Atrasada","Agendada")))</f>
        <v/>
      </c>
      <c r="K602" s="42" t="str">
        <f aca="false">IF($C602="","",IF($I602&lt;&gt;"",$I602-$G602,IF($J602="Atrasada",INT(Parâmetros!$C$4)-$G602,"")))</f>
        <v/>
      </c>
      <c r="L602" s="26" t="str">
        <f aca="false">IF($J602&lt;&gt;"Realizada","",IF($K602&lt;=0,"No prazo",IF($K602&lt;=7,"Até 7 dias",IF($K602&lt;=30,"Até 30 dias","Acima de 30"))))</f>
        <v/>
      </c>
      <c r="M602" s="26" t="str">
        <f aca="false">IF($C602="","",COUNTIFS($G$3:$G602,$G602))</f>
        <v/>
      </c>
      <c r="N602" s="26" t="str">
        <f aca="false">IF($C602="","",$G602&amp;"|"&amp;$M602)</f>
        <v/>
      </c>
    </row>
  </sheetData>
  <sheetProtection sheet="true" sort="false" autoFilter="false"/>
  <autoFilter ref="A2:L602"/>
  <conditionalFormatting sqref="J3:J602">
    <cfRule type="cellIs" priority="2" operator="equal" aboveAverage="0" equalAverage="0" bottom="0" percent="0" rank="0" text="" dxfId="13">
      <formula>"Realizada"</formula>
    </cfRule>
    <cfRule type="cellIs" priority="3" operator="equal" aboveAverage="0" equalAverage="0" bottom="0" percent="0" rank="0" text="" dxfId="14">
      <formula>"Atrasada"</formula>
    </cfRule>
    <cfRule type="cellIs" priority="4" operator="equal" aboveAverage="0" equalAverage="0" bottom="0" percent="0" rank="0" text="" dxfId="15">
      <formula>"Agendada"</formula>
    </cfRule>
  </conditionalFormatting>
  <printOptions headings="false" gridLines="false" gridLinesSet="true" horizontalCentered="true" verticalCentered="false"/>
  <pageMargins left="0.75" right="0.75" top="1" bottom="1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&amp;L&amp;8 Cronograma de Manutenção Preventiva · Andonize&amp;R&amp;8 &amp;P/&amp;N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F38C4"/>
    <pageSetUpPr fitToPage="true"/>
  </sheetPr>
  <dimension ref="A1:J4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2" topLeftCell="B3" activePane="bottomRight" state="frozen"/>
      <selection pane="topLeft" activeCell="A1" activeCellId="0" sqref="A1"/>
      <selection pane="topRight" activeCell="B1" activeCellId="0" sqref="B1"/>
      <selection pane="bottomLeft" activeCell="A3" activeCellId="0" sqref="A3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40"/>
    <col collapsed="false" customWidth="true" hidden="false" outlineLevel="0" max="3" min="3" style="0" width="28"/>
    <col collapsed="false" customWidth="true" hidden="false" outlineLevel="0" max="4" min="4" style="0" width="10"/>
    <col collapsed="false" customWidth="true" hidden="false" outlineLevel="0" max="5" min="5" style="0" width="14"/>
    <col collapsed="false" customWidth="true" hidden="false" outlineLevel="0" max="7" min="6" style="0" width="13"/>
    <col collapsed="false" customWidth="true" hidden="false" outlineLevel="0" max="8" min="8" style="0" width="12"/>
    <col collapsed="false" customWidth="true" hidden="false" outlineLevel="0" max="9" min="9" style="0" width="13"/>
    <col collapsed="false" customWidth="true" hidden="false" outlineLevel="0" max="10" min="10" style="0" width="20"/>
  </cols>
  <sheetData>
    <row r="1" customFormat="false" ht="17.35" hidden="false" customHeight="false" outlineLevel="0" collapsed="false">
      <c r="A1" s="13" t="s">
        <v>130</v>
      </c>
      <c r="C1" s="21" t="s">
        <v>131</v>
      </c>
    </row>
    <row r="2" customFormat="false" ht="33.75" hidden="false" customHeight="true" outlineLevel="0" collapsed="false">
      <c r="A2" s="22" t="s">
        <v>121</v>
      </c>
      <c r="B2" s="22" t="s">
        <v>122</v>
      </c>
      <c r="C2" s="22" t="s">
        <v>132</v>
      </c>
      <c r="D2" s="22" t="s">
        <v>89</v>
      </c>
      <c r="E2" s="22" t="s">
        <v>133</v>
      </c>
      <c r="F2" s="22" t="s">
        <v>134</v>
      </c>
      <c r="G2" s="22" t="s">
        <v>135</v>
      </c>
      <c r="H2" s="22" t="s">
        <v>136</v>
      </c>
      <c r="I2" s="22" t="s">
        <v>137</v>
      </c>
      <c r="J2" s="22" t="s">
        <v>138</v>
      </c>
    </row>
    <row r="3" customFormat="false" ht="18" hidden="false" customHeight="true" outlineLevel="0" collapsed="false">
      <c r="A3" s="43" t="str">
        <f aca="false">IF(Ativos!$A3="","",Ativos!$A3)</f>
        <v>TM-001</v>
      </c>
      <c r="B3" s="23" t="str">
        <f aca="false">IF($A3="","",Ativos!$B3)</f>
        <v>Torno mecânico universal 1.000 mm</v>
      </c>
      <c r="C3" s="23" t="str">
        <f aca="false">IF($A3="","",Ativos!$C3)</f>
        <v>Metalúrgica Vale Norte</v>
      </c>
      <c r="D3" s="29" t="n">
        <f aca="false">IF($A3="","",COUNTIF(Planos!$B$3:$B$27,$A3))</f>
        <v>2</v>
      </c>
      <c r="E3" s="29" t="n">
        <f aca="false">IF($A3="","",COUNTIFS('Cronograma (calculado)'!$C$3:$C$602,$A3,'Cronograma (calculado)'!$G$3:$G$602,"&lt;="&amp;INT(Parâmetros!$C$4)))</f>
        <v>7</v>
      </c>
      <c r="F3" s="29" t="n">
        <f aca="false">IF($A3="","",COUNTIFS('Cronograma (calculado)'!$C$3:$C$602,$A3,'Cronograma (calculado)'!$G$3:$G$602,"&lt;="&amp;INT(Parâmetros!$C$4),'Cronograma (calculado)'!$J$3:$J$602,"Realizada"))</f>
        <v>6</v>
      </c>
      <c r="G3" s="44" t="n">
        <f aca="false">IF($A3="","",COUNTIFS('Cronograma (calculado)'!$C$3:$C$602,$A3,'Cronograma (calculado)'!$J$3:$J$602,"Atrasada"))</f>
        <v>1</v>
      </c>
      <c r="H3" s="29" t="n">
        <f aca="false">IF($A3="","",COUNTIFS('Cronograma (calculado)'!$C$3:$C$602,$A3,'Cronograma (calculado)'!$J$3:$J$602,"Atrasada")+COUNTIFS('Cronograma (calculado)'!$C$3:$C$602,$A3,'Cronograma (calculado)'!$J$3:$J$602,"Agendada"))</f>
        <v>30</v>
      </c>
      <c r="I3" s="45" t="n">
        <f aca="false">IF($A3="","",IF($E3=0,"",$F3/$E3*100))</f>
        <v>85.7142857142857</v>
      </c>
      <c r="J3" s="28" t="n">
        <f aca="false">IF($A3="","",IF($H3=0,"Nenhuma agendada",100000-SUMPRODUCT(MAX(('Cronograma (calculado)'!$C$3:$C$602=$A3)*('Cronograma (calculado)'!$J$3:$J$602&lt;&gt;"Realizada")*('Cronograma (calculado)'!$J$3:$J$602&lt;&gt;"")*(100000-'Cronograma (calculado)'!$G$3:$G$602)))))</f>
        <v>46206</v>
      </c>
    </row>
    <row r="4" customFormat="false" ht="18" hidden="false" customHeight="true" outlineLevel="0" collapsed="false">
      <c r="A4" s="43" t="str">
        <f aca="false">IF(Ativos!$A4="","",Ativos!$A4)</f>
        <v>PH-001</v>
      </c>
      <c r="B4" s="23" t="str">
        <f aca="false">IF($A4="","",Ativos!$B4)</f>
        <v>Prensa hidráulica 100 t</v>
      </c>
      <c r="C4" s="23" t="str">
        <f aca="false">IF($A4="","",Ativos!$C4)</f>
        <v>Metalúrgica Vale Norte</v>
      </c>
      <c r="D4" s="29" t="n">
        <f aca="false">IF($A4="","",COUNTIF(Planos!$B$3:$B$27,$A4))</f>
        <v>1</v>
      </c>
      <c r="E4" s="29" t="n">
        <f aca="false">IF($A4="","",COUNTIFS('Cronograma (calculado)'!$C$3:$C$602,$A4,'Cronograma (calculado)'!$G$3:$G$602,"&lt;="&amp;INT(Parâmetros!$C$4)))</f>
        <v>4</v>
      </c>
      <c r="F4" s="29" t="n">
        <f aca="false">IF($A4="","",COUNTIFS('Cronograma (calculado)'!$C$3:$C$602,$A4,'Cronograma (calculado)'!$G$3:$G$602,"&lt;="&amp;INT(Parâmetros!$C$4),'Cronograma (calculado)'!$J$3:$J$602,"Realizada"))</f>
        <v>2</v>
      </c>
      <c r="G4" s="44" t="n">
        <f aca="false">IF($A4="","",COUNTIFS('Cronograma (calculado)'!$C$3:$C$602,$A4,'Cronograma (calculado)'!$J$3:$J$602,"Atrasada"))</f>
        <v>2</v>
      </c>
      <c r="H4" s="29" t="n">
        <f aca="false">IF($A4="","",COUNTIFS('Cronograma (calculado)'!$C$3:$C$602,$A4,'Cronograma (calculado)'!$J$3:$J$602,"Atrasada")+COUNTIFS('Cronograma (calculado)'!$C$3:$C$602,$A4,'Cronograma (calculado)'!$J$3:$J$602,"Agendada"))</f>
        <v>22</v>
      </c>
      <c r="I4" s="45" t="n">
        <f aca="false">IF($A4="","",IF($E4=0,"",$F4/$E4*100))</f>
        <v>50</v>
      </c>
      <c r="J4" s="28" t="n">
        <f aca="false">IF($A4="","",IF($H4=0,"Nenhuma agendada",100000-SUMPRODUCT(MAX(('Cronograma (calculado)'!$C$3:$C$602=$A4)*('Cronograma (calculado)'!$J$3:$J$602&lt;&gt;"Realizada")*('Cronograma (calculado)'!$J$3:$J$602&lt;&gt;"")*(100000-'Cronograma (calculado)'!$G$3:$G$602)))))</f>
        <v>46180</v>
      </c>
    </row>
    <row r="5" customFormat="false" ht="18" hidden="false" customHeight="true" outlineLevel="0" collapsed="false">
      <c r="A5" s="43" t="str">
        <f aca="false">IF(Ativos!$A5="","",Ativos!$A5)</f>
        <v>ET-001</v>
      </c>
      <c r="B5" s="23" t="str">
        <f aca="false">IF($A5="","",Ativos!$B5)</f>
        <v>Esteira transportadora 12 m</v>
      </c>
      <c r="C5" s="23" t="str">
        <f aca="false">IF($A5="","",Ativos!$C5)</f>
        <v>Metalúrgica Vale Norte</v>
      </c>
      <c r="D5" s="29" t="n">
        <f aca="false">IF($A5="","",COUNTIF(Planos!$B$3:$B$27,$A5))</f>
        <v>2</v>
      </c>
      <c r="E5" s="29" t="n">
        <f aca="false">IF($A5="","",COUNTIFS('Cronograma (calculado)'!$C$3:$C$602,$A5,'Cronograma (calculado)'!$G$3:$G$602,"&lt;="&amp;INT(Parâmetros!$C$4)))</f>
        <v>4</v>
      </c>
      <c r="F5" s="29" t="n">
        <f aca="false">IF($A5="","",COUNTIFS('Cronograma (calculado)'!$C$3:$C$602,$A5,'Cronograma (calculado)'!$G$3:$G$602,"&lt;="&amp;INT(Parâmetros!$C$4),'Cronograma (calculado)'!$J$3:$J$602,"Realizada"))</f>
        <v>4</v>
      </c>
      <c r="G5" s="44" t="n">
        <f aca="false">IF($A5="","",COUNTIFS('Cronograma (calculado)'!$C$3:$C$602,$A5,'Cronograma (calculado)'!$J$3:$J$602,"Atrasada"))</f>
        <v>0</v>
      </c>
      <c r="H5" s="29" t="n">
        <f aca="false">IF($A5="","",COUNTIFS('Cronograma (calculado)'!$C$3:$C$602,$A5,'Cronograma (calculado)'!$J$3:$J$602,"Atrasada")+COUNTIFS('Cronograma (calculado)'!$C$3:$C$602,$A5,'Cronograma (calculado)'!$J$3:$J$602,"Agendada"))</f>
        <v>15</v>
      </c>
      <c r="I5" s="45" t="n">
        <f aca="false">IF($A5="","",IF($E5=0,"",$F5/$E5*100))</f>
        <v>100</v>
      </c>
      <c r="J5" s="28" t="n">
        <f aca="false">IF($A5="","",IF($H5=0,"Nenhuma agendada",100000-SUMPRODUCT(MAX(('Cronograma (calculado)'!$C$3:$C$602=$A5)*('Cronograma (calculado)'!$J$3:$J$602&lt;&gt;"Realizada")*('Cronograma (calculado)'!$J$3:$J$602&lt;&gt;"")*(100000-'Cronograma (calculado)'!$G$3:$G$602)))))</f>
        <v>46251</v>
      </c>
    </row>
    <row r="6" customFormat="false" ht="18" hidden="false" customHeight="true" outlineLevel="0" collapsed="false">
      <c r="A6" s="43" t="str">
        <f aca="false">IF(Ativos!$A6="","",Ativos!$A6)</f>
        <v>MS-001</v>
      </c>
      <c r="B6" s="23" t="str">
        <f aca="false">IF($A6="","",Ativos!$B6)</f>
        <v>Máquina de solda MIG 350 A</v>
      </c>
      <c r="C6" s="23" t="str">
        <f aca="false">IF($A6="","",Ativos!$C6)</f>
        <v>Metalúrgica Vale Norte</v>
      </c>
      <c r="D6" s="29" t="n">
        <f aca="false">IF($A6="","",COUNTIF(Planos!$B$3:$B$27,$A6))</f>
        <v>1</v>
      </c>
      <c r="E6" s="29" t="n">
        <f aca="false">IF($A6="","",COUNTIFS('Cronograma (calculado)'!$C$3:$C$602,$A6,'Cronograma (calculado)'!$G$3:$G$602,"&lt;="&amp;INT(Parâmetros!$C$4)))</f>
        <v>2</v>
      </c>
      <c r="F6" s="29" t="n">
        <f aca="false">IF($A6="","",COUNTIFS('Cronograma (calculado)'!$C$3:$C$602,$A6,'Cronograma (calculado)'!$G$3:$G$602,"&lt;="&amp;INT(Parâmetros!$C$4),'Cronograma (calculado)'!$J$3:$J$602,"Realizada"))</f>
        <v>2</v>
      </c>
      <c r="G6" s="44" t="n">
        <f aca="false">IF($A6="","",COUNTIFS('Cronograma (calculado)'!$C$3:$C$602,$A6,'Cronograma (calculado)'!$J$3:$J$602,"Atrasada"))</f>
        <v>0</v>
      </c>
      <c r="H6" s="29" t="n">
        <f aca="false">IF($A6="","",COUNTIFS('Cronograma (calculado)'!$C$3:$C$602,$A6,'Cronograma (calculado)'!$J$3:$J$602,"Atrasada")+COUNTIFS('Cronograma (calculado)'!$C$3:$C$602,$A6,'Cronograma (calculado)'!$J$3:$J$602,"Agendada"))</f>
        <v>10</v>
      </c>
      <c r="I6" s="45" t="n">
        <f aca="false">IF($A6="","",IF($E6=0,"",$F6/$E6*100))</f>
        <v>100</v>
      </c>
      <c r="J6" s="28" t="n">
        <f aca="false">IF($A6="","",IF($H6=0,"Nenhuma agendada",100000-SUMPRODUCT(MAX(('Cronograma (calculado)'!$C$3:$C$602=$A6)*('Cronograma (calculado)'!$J$3:$J$602&lt;&gt;"Realizada")*('Cronograma (calculado)'!$J$3:$J$602&lt;&gt;"")*(100000-'Cronograma (calculado)'!$G$3:$G$602)))))</f>
        <v>46254</v>
      </c>
    </row>
    <row r="7" customFormat="false" ht="18" hidden="false" customHeight="true" outlineLevel="0" collapsed="false">
      <c r="A7" s="43" t="str">
        <f aca="false">IF(Ativos!$A7="","",Ativos!$A7)</f>
        <v>FB-001</v>
      </c>
      <c r="B7" s="23" t="str">
        <f aca="false">IF($A7="","",Ativos!$B7)</f>
        <v>Furadeira de bancada 5/8"</v>
      </c>
      <c r="C7" s="23" t="str">
        <f aca="false">IF($A7="","",Ativos!$C7)</f>
        <v>Metalúrgica Vale Norte</v>
      </c>
      <c r="D7" s="29" t="n">
        <f aca="false">IF($A7="","",COUNTIF(Planos!$B$3:$B$27,$A7))</f>
        <v>1</v>
      </c>
      <c r="E7" s="29" t="n">
        <f aca="false">IF($A7="","",COUNTIFS('Cronograma (calculado)'!$C$3:$C$602,$A7,'Cronograma (calculado)'!$G$3:$G$602,"&lt;="&amp;INT(Parâmetros!$C$4)))</f>
        <v>2</v>
      </c>
      <c r="F7" s="29" t="n">
        <f aca="false">IF($A7="","",COUNTIFS('Cronograma (calculado)'!$C$3:$C$602,$A7,'Cronograma (calculado)'!$G$3:$G$602,"&lt;="&amp;INT(Parâmetros!$C$4),'Cronograma (calculado)'!$J$3:$J$602,"Realizada"))</f>
        <v>2</v>
      </c>
      <c r="G7" s="44" t="n">
        <f aca="false">IF($A7="","",COUNTIFS('Cronograma (calculado)'!$C$3:$C$602,$A7,'Cronograma (calculado)'!$J$3:$J$602,"Atrasada"))</f>
        <v>0</v>
      </c>
      <c r="H7" s="29" t="n">
        <f aca="false">IF($A7="","",COUNTIFS('Cronograma (calculado)'!$C$3:$C$602,$A7,'Cronograma (calculado)'!$J$3:$J$602,"Atrasada")+COUNTIFS('Cronograma (calculado)'!$C$3:$C$602,$A7,'Cronograma (calculado)'!$J$3:$J$602,"Agendada"))</f>
        <v>10</v>
      </c>
      <c r="I7" s="45" t="n">
        <f aca="false">IF($A7="","",IF($E7=0,"",$F7/$E7*100))</f>
        <v>100</v>
      </c>
      <c r="J7" s="28" t="n">
        <f aca="false">IF($A7="","",IF($H7=0,"Nenhuma agendada",100000-SUMPRODUCT(MAX(('Cronograma (calculado)'!$C$3:$C$602=$A7)*('Cronograma (calculado)'!$J$3:$J$602&lt;&gt;"Realizada")*('Cronograma (calculado)'!$J$3:$J$602&lt;&gt;"")*(100000-'Cronograma (calculado)'!$G$3:$G$602)))))</f>
        <v>46258</v>
      </c>
    </row>
    <row r="8" customFormat="false" ht="18" hidden="false" customHeight="true" outlineLevel="0" collapsed="false">
      <c r="A8" s="43" t="str">
        <f aca="false">IF(Ativos!$A8="","",Ativos!$A8)</f>
        <v>CP-001</v>
      </c>
      <c r="B8" s="23" t="str">
        <f aca="false">IF($A8="","",Ativos!$B8)</f>
        <v>Compressor de ar 50 hp</v>
      </c>
      <c r="C8" s="23" t="str">
        <f aca="false">IF($A8="","",Ativos!$C8)</f>
        <v>Metalúrgica Vale Norte</v>
      </c>
      <c r="D8" s="29" t="n">
        <f aca="false">IF($A8="","",COUNTIF(Planos!$B$3:$B$27,$A8))</f>
        <v>2</v>
      </c>
      <c r="E8" s="29" t="n">
        <f aca="false">IF($A8="","",COUNTIFS('Cronograma (calculado)'!$C$3:$C$602,$A8,'Cronograma (calculado)'!$G$3:$G$602,"&lt;="&amp;INT(Parâmetros!$C$4)))</f>
        <v>5</v>
      </c>
      <c r="F8" s="29" t="n">
        <f aca="false">IF($A8="","",COUNTIFS('Cronograma (calculado)'!$C$3:$C$602,$A8,'Cronograma (calculado)'!$G$3:$G$602,"&lt;="&amp;INT(Parâmetros!$C$4),'Cronograma (calculado)'!$J$3:$J$602,"Realizada"))</f>
        <v>5</v>
      </c>
      <c r="G8" s="44" t="n">
        <f aca="false">IF($A8="","",COUNTIFS('Cronograma (calculado)'!$C$3:$C$602,$A8,'Cronograma (calculado)'!$J$3:$J$602,"Atrasada"))</f>
        <v>0</v>
      </c>
      <c r="H8" s="29" t="n">
        <f aca="false">IF($A8="","",COUNTIFS('Cronograma (calculado)'!$C$3:$C$602,$A8,'Cronograma (calculado)'!$J$3:$J$602,"Atrasada")+COUNTIFS('Cronograma (calculado)'!$C$3:$C$602,$A8,'Cronograma (calculado)'!$J$3:$J$602,"Agendada"))</f>
        <v>25</v>
      </c>
      <c r="I8" s="45" t="n">
        <f aca="false">IF($A8="","",IF($E8=0,"",$F8/$E8*100))</f>
        <v>100</v>
      </c>
      <c r="J8" s="28" t="n">
        <f aca="false">IF($A8="","",IF($H8=0,"Nenhuma agendada",100000-SUMPRODUCT(MAX(('Cronograma (calculado)'!$C$3:$C$602=$A8)*('Cronograma (calculado)'!$J$3:$J$602&lt;&gt;"Realizada")*('Cronograma (calculado)'!$J$3:$J$602&lt;&gt;"")*(100000-'Cronograma (calculado)'!$G$3:$G$602)))))</f>
        <v>46238</v>
      </c>
    </row>
    <row r="9" customFormat="false" ht="18" hidden="false" customHeight="true" outlineLevel="0" collapsed="false">
      <c r="A9" s="43" t="str">
        <f aca="false">IF(Ativos!$A9="","",Ativos!$A9)</f>
        <v>EM-001</v>
      </c>
      <c r="B9" s="23" t="str">
        <f aca="false">IF($A9="","",Ativos!$B9)</f>
        <v>Empilhadeira 2,5 t — GLP</v>
      </c>
      <c r="C9" s="23" t="str">
        <f aca="false">IF($A9="","",Ativos!$C9)</f>
        <v>Metalúrgica Vale Norte</v>
      </c>
      <c r="D9" s="29" t="n">
        <f aca="false">IF($A9="","",COUNTIF(Planos!$B$3:$B$27,$A9))</f>
        <v>1</v>
      </c>
      <c r="E9" s="29" t="n">
        <f aca="false">IF($A9="","",COUNTIFS('Cronograma (calculado)'!$C$3:$C$602,$A9,'Cronograma (calculado)'!$G$3:$G$602,"&lt;="&amp;INT(Parâmetros!$C$4)))</f>
        <v>3</v>
      </c>
      <c r="F9" s="29" t="n">
        <f aca="false">IF($A9="","",COUNTIFS('Cronograma (calculado)'!$C$3:$C$602,$A9,'Cronograma (calculado)'!$G$3:$G$602,"&lt;="&amp;INT(Parâmetros!$C$4),'Cronograma (calculado)'!$J$3:$J$602,"Realizada"))</f>
        <v>2</v>
      </c>
      <c r="G9" s="44" t="n">
        <f aca="false">IF($A9="","",COUNTIFS('Cronograma (calculado)'!$C$3:$C$602,$A9,'Cronograma (calculado)'!$J$3:$J$602,"Atrasada"))</f>
        <v>1</v>
      </c>
      <c r="H9" s="29" t="n">
        <f aca="false">IF($A9="","",COUNTIFS('Cronograma (calculado)'!$C$3:$C$602,$A9,'Cronograma (calculado)'!$J$3:$J$602,"Atrasada")+COUNTIFS('Cronograma (calculado)'!$C$3:$C$602,$A9,'Cronograma (calculado)'!$J$3:$J$602,"Agendada"))</f>
        <v>13</v>
      </c>
      <c r="I9" s="45" t="n">
        <f aca="false">IF($A9="","",IF($E9=0,"",$F9/$E9*100))</f>
        <v>66.6666666666667</v>
      </c>
      <c r="J9" s="28" t="n">
        <f aca="false">IF($A9="","",IF($H9=0,"Nenhuma agendada",100000-SUMPRODUCT(MAX(('Cronograma (calculado)'!$C$3:$C$602=$A9)*('Cronograma (calculado)'!$J$3:$J$602&lt;&gt;"Realizada")*('Cronograma (calculado)'!$J$3:$J$602&lt;&gt;"")*(100000-'Cronograma (calculado)'!$G$3:$G$602)))))</f>
        <v>46122</v>
      </c>
    </row>
    <row r="10" customFormat="false" ht="18" hidden="false" customHeight="true" outlineLevel="0" collapsed="false">
      <c r="A10" s="43" t="str">
        <f aca="false">IF(Ativos!$A10="","",Ativos!$A10)</f>
        <v>FR-001</v>
      </c>
      <c r="B10" s="23" t="str">
        <f aca="false">IF($A10="","",Ativos!$B10)</f>
        <v>Fresadora ferramenteira</v>
      </c>
      <c r="C10" s="23" t="str">
        <f aca="false">IF($A10="","",Ativos!$C10)</f>
        <v>Metalúrgica Vale Norte</v>
      </c>
      <c r="D10" s="29" t="n">
        <f aca="false">IF($A10="","",COUNTIF(Planos!$B$3:$B$27,$A10))</f>
        <v>1</v>
      </c>
      <c r="E10" s="29" t="n">
        <f aca="false">IF($A10="","",COUNTIFS('Cronograma (calculado)'!$C$3:$C$602,$A10,'Cronograma (calculado)'!$G$3:$G$602,"&lt;="&amp;INT(Parâmetros!$C$4)))</f>
        <v>1</v>
      </c>
      <c r="F10" s="29" t="n">
        <f aca="false">IF($A10="","",COUNTIFS('Cronograma (calculado)'!$C$3:$C$602,$A10,'Cronograma (calculado)'!$G$3:$G$602,"&lt;="&amp;INT(Parâmetros!$C$4),'Cronograma (calculado)'!$J$3:$J$602,"Realizada"))</f>
        <v>0</v>
      </c>
      <c r="G10" s="44" t="n">
        <f aca="false">IF($A10="","",COUNTIFS('Cronograma (calculado)'!$C$3:$C$602,$A10,'Cronograma (calculado)'!$J$3:$J$602,"Atrasada"))</f>
        <v>1</v>
      </c>
      <c r="H10" s="29" t="n">
        <f aca="false">IF($A10="","",COUNTIFS('Cronograma (calculado)'!$C$3:$C$602,$A10,'Cronograma (calculado)'!$J$3:$J$602,"Atrasada")+COUNTIFS('Cronograma (calculado)'!$C$3:$C$602,$A10,'Cronograma (calculado)'!$J$3:$J$602,"Agendada"))</f>
        <v>24</v>
      </c>
      <c r="I10" s="45" t="n">
        <f aca="false">IF($A10="","",IF($E10=0,"",$F10/$E10*100))</f>
        <v>0</v>
      </c>
      <c r="J10" s="28" t="n">
        <f aca="false">IF($A10="","",IF($H10=0,"Nenhuma agendada",100000-SUMPRODUCT(MAX(('Cronograma (calculado)'!$C$3:$C$602=$A10)*('Cronograma (calculado)'!$J$3:$J$602&lt;&gt;"Realizada")*('Cronograma (calculado)'!$J$3:$J$602&lt;&gt;"")*(100000-'Cronograma (calculado)'!$G$3:$G$602)))))</f>
        <v>46230</v>
      </c>
    </row>
    <row r="11" customFormat="false" ht="18" hidden="false" customHeight="true" outlineLevel="0" collapsed="false">
      <c r="A11" s="43" t="str">
        <f aca="false">IF(Ativos!$A11="","",Ativos!$A11)</f>
        <v/>
      </c>
      <c r="B11" s="23" t="str">
        <f aca="false">IF($A11="","",Ativos!$B11)</f>
        <v/>
      </c>
      <c r="C11" s="23" t="str">
        <f aca="false">IF($A11="","",Ativos!$C11)</f>
        <v/>
      </c>
      <c r="D11" s="29" t="str">
        <f aca="false">IF($A11="","",COUNTIF(Planos!$B$3:$B$27,$A11))</f>
        <v/>
      </c>
      <c r="E11" s="29" t="str">
        <f aca="false">IF($A11="","",COUNTIFS('Cronograma (calculado)'!$C$3:$C$602,$A11,'Cronograma (calculado)'!$G$3:$G$602,"&lt;="&amp;INT(Parâmetros!$C$4)))</f>
        <v/>
      </c>
      <c r="F11" s="29" t="str">
        <f aca="false">IF($A11="","",COUNTIFS('Cronograma (calculado)'!$C$3:$C$602,$A11,'Cronograma (calculado)'!$G$3:$G$602,"&lt;="&amp;INT(Parâmetros!$C$4),'Cronograma (calculado)'!$J$3:$J$602,"Realizada"))</f>
        <v/>
      </c>
      <c r="G11" s="44" t="str">
        <f aca="false">IF($A11="","",COUNTIFS('Cronograma (calculado)'!$C$3:$C$602,$A11,'Cronograma (calculado)'!$J$3:$J$602,"Atrasada"))</f>
        <v/>
      </c>
      <c r="H11" s="29" t="str">
        <f aca="false">IF($A11="","",COUNTIFS('Cronograma (calculado)'!$C$3:$C$602,$A11,'Cronograma (calculado)'!$J$3:$J$602,"Atrasada")+COUNTIFS('Cronograma (calculado)'!$C$3:$C$602,$A11,'Cronograma (calculado)'!$J$3:$J$602,"Agendada"))</f>
        <v/>
      </c>
      <c r="I11" s="45" t="str">
        <f aca="false">IF($A11="","",IF($E11=0,"",$F11/$E11*100))</f>
        <v/>
      </c>
      <c r="J11" s="28" t="str">
        <f aca="false">IF($A11="","",IF($H11=0,"Nenhuma agendada",100000-SUMPRODUCT(MAX(('Cronograma (calculado)'!$C$3:$C$602=$A11)*('Cronograma (calculado)'!$J$3:$J$602&lt;&gt;"Realizada")*('Cronograma (calculado)'!$J$3:$J$602&lt;&gt;"")*(100000-'Cronograma (calculado)'!$G$3:$G$602)))))</f>
        <v/>
      </c>
    </row>
    <row r="12" customFormat="false" ht="18" hidden="false" customHeight="true" outlineLevel="0" collapsed="false">
      <c r="A12" s="43" t="str">
        <f aca="false">IF(Ativos!$A12="","",Ativos!$A12)</f>
        <v/>
      </c>
      <c r="B12" s="23" t="str">
        <f aca="false">IF($A12="","",Ativos!$B12)</f>
        <v/>
      </c>
      <c r="C12" s="23" t="str">
        <f aca="false">IF($A12="","",Ativos!$C12)</f>
        <v/>
      </c>
      <c r="D12" s="29" t="str">
        <f aca="false">IF($A12="","",COUNTIF(Planos!$B$3:$B$27,$A12))</f>
        <v/>
      </c>
      <c r="E12" s="29" t="str">
        <f aca="false">IF($A12="","",COUNTIFS('Cronograma (calculado)'!$C$3:$C$602,$A12,'Cronograma (calculado)'!$G$3:$G$602,"&lt;="&amp;INT(Parâmetros!$C$4)))</f>
        <v/>
      </c>
      <c r="F12" s="29" t="str">
        <f aca="false">IF($A12="","",COUNTIFS('Cronograma (calculado)'!$C$3:$C$602,$A12,'Cronograma (calculado)'!$G$3:$G$602,"&lt;="&amp;INT(Parâmetros!$C$4),'Cronograma (calculado)'!$J$3:$J$602,"Realizada"))</f>
        <v/>
      </c>
      <c r="G12" s="44" t="str">
        <f aca="false">IF($A12="","",COUNTIFS('Cronograma (calculado)'!$C$3:$C$602,$A12,'Cronograma (calculado)'!$J$3:$J$602,"Atrasada"))</f>
        <v/>
      </c>
      <c r="H12" s="29" t="str">
        <f aca="false">IF($A12="","",COUNTIFS('Cronograma (calculado)'!$C$3:$C$602,$A12,'Cronograma (calculado)'!$J$3:$J$602,"Atrasada")+COUNTIFS('Cronograma (calculado)'!$C$3:$C$602,$A12,'Cronograma (calculado)'!$J$3:$J$602,"Agendada"))</f>
        <v/>
      </c>
      <c r="I12" s="45" t="str">
        <f aca="false">IF($A12="","",IF($E12=0,"",$F12/$E12*100))</f>
        <v/>
      </c>
      <c r="J12" s="28" t="str">
        <f aca="false">IF($A12="","",IF($H12=0,"Nenhuma agendada",100000-SUMPRODUCT(MAX(('Cronograma (calculado)'!$C$3:$C$602=$A12)*('Cronograma (calculado)'!$J$3:$J$602&lt;&gt;"Realizada")*('Cronograma (calculado)'!$J$3:$J$602&lt;&gt;"")*(100000-'Cronograma (calculado)'!$G$3:$G$602)))))</f>
        <v/>
      </c>
    </row>
    <row r="13" customFormat="false" ht="18" hidden="false" customHeight="true" outlineLevel="0" collapsed="false">
      <c r="A13" s="43" t="str">
        <f aca="false">IF(Ativos!$A13="","",Ativos!$A13)</f>
        <v/>
      </c>
      <c r="B13" s="23" t="str">
        <f aca="false">IF($A13="","",Ativos!$B13)</f>
        <v/>
      </c>
      <c r="C13" s="23" t="str">
        <f aca="false">IF($A13="","",Ativos!$C13)</f>
        <v/>
      </c>
      <c r="D13" s="29" t="str">
        <f aca="false">IF($A13="","",COUNTIF(Planos!$B$3:$B$27,$A13))</f>
        <v/>
      </c>
      <c r="E13" s="29" t="str">
        <f aca="false">IF($A13="","",COUNTIFS('Cronograma (calculado)'!$C$3:$C$602,$A13,'Cronograma (calculado)'!$G$3:$G$602,"&lt;="&amp;INT(Parâmetros!$C$4)))</f>
        <v/>
      </c>
      <c r="F13" s="29" t="str">
        <f aca="false">IF($A13="","",COUNTIFS('Cronograma (calculado)'!$C$3:$C$602,$A13,'Cronograma (calculado)'!$G$3:$G$602,"&lt;="&amp;INT(Parâmetros!$C$4),'Cronograma (calculado)'!$J$3:$J$602,"Realizada"))</f>
        <v/>
      </c>
      <c r="G13" s="44" t="str">
        <f aca="false">IF($A13="","",COUNTIFS('Cronograma (calculado)'!$C$3:$C$602,$A13,'Cronograma (calculado)'!$J$3:$J$602,"Atrasada"))</f>
        <v/>
      </c>
      <c r="H13" s="29" t="str">
        <f aca="false">IF($A13="","",COUNTIFS('Cronograma (calculado)'!$C$3:$C$602,$A13,'Cronograma (calculado)'!$J$3:$J$602,"Atrasada")+COUNTIFS('Cronograma (calculado)'!$C$3:$C$602,$A13,'Cronograma (calculado)'!$J$3:$J$602,"Agendada"))</f>
        <v/>
      </c>
      <c r="I13" s="45" t="str">
        <f aca="false">IF($A13="","",IF($E13=0,"",$F13/$E13*100))</f>
        <v/>
      </c>
      <c r="J13" s="28" t="str">
        <f aca="false">IF($A13="","",IF($H13=0,"Nenhuma agendada",100000-SUMPRODUCT(MAX(('Cronograma (calculado)'!$C$3:$C$602=$A13)*('Cronograma (calculado)'!$J$3:$J$602&lt;&gt;"Realizada")*('Cronograma (calculado)'!$J$3:$J$602&lt;&gt;"")*(100000-'Cronograma (calculado)'!$G$3:$G$602)))))</f>
        <v/>
      </c>
    </row>
    <row r="14" customFormat="false" ht="18" hidden="false" customHeight="true" outlineLevel="0" collapsed="false">
      <c r="A14" s="43" t="str">
        <f aca="false">IF(Ativos!$A14="","",Ativos!$A14)</f>
        <v/>
      </c>
      <c r="B14" s="23" t="str">
        <f aca="false">IF($A14="","",Ativos!$B14)</f>
        <v/>
      </c>
      <c r="C14" s="23" t="str">
        <f aca="false">IF($A14="","",Ativos!$C14)</f>
        <v/>
      </c>
      <c r="D14" s="29" t="str">
        <f aca="false">IF($A14="","",COUNTIF(Planos!$B$3:$B$27,$A14))</f>
        <v/>
      </c>
      <c r="E14" s="29" t="str">
        <f aca="false">IF($A14="","",COUNTIFS('Cronograma (calculado)'!$C$3:$C$602,$A14,'Cronograma (calculado)'!$G$3:$G$602,"&lt;="&amp;INT(Parâmetros!$C$4)))</f>
        <v/>
      </c>
      <c r="F14" s="29" t="str">
        <f aca="false">IF($A14="","",COUNTIFS('Cronograma (calculado)'!$C$3:$C$602,$A14,'Cronograma (calculado)'!$G$3:$G$602,"&lt;="&amp;INT(Parâmetros!$C$4),'Cronograma (calculado)'!$J$3:$J$602,"Realizada"))</f>
        <v/>
      </c>
      <c r="G14" s="44" t="str">
        <f aca="false">IF($A14="","",COUNTIFS('Cronograma (calculado)'!$C$3:$C$602,$A14,'Cronograma (calculado)'!$J$3:$J$602,"Atrasada"))</f>
        <v/>
      </c>
      <c r="H14" s="29" t="str">
        <f aca="false">IF($A14="","",COUNTIFS('Cronograma (calculado)'!$C$3:$C$602,$A14,'Cronograma (calculado)'!$J$3:$J$602,"Atrasada")+COUNTIFS('Cronograma (calculado)'!$C$3:$C$602,$A14,'Cronograma (calculado)'!$J$3:$J$602,"Agendada"))</f>
        <v/>
      </c>
      <c r="I14" s="45" t="str">
        <f aca="false">IF($A14="","",IF($E14=0,"",$F14/$E14*100))</f>
        <v/>
      </c>
      <c r="J14" s="28" t="str">
        <f aca="false">IF($A14="","",IF($H14=0,"Nenhuma agendada",100000-SUMPRODUCT(MAX(('Cronograma (calculado)'!$C$3:$C$602=$A14)*('Cronograma (calculado)'!$J$3:$J$602&lt;&gt;"Realizada")*('Cronograma (calculado)'!$J$3:$J$602&lt;&gt;"")*(100000-'Cronograma (calculado)'!$G$3:$G$602)))))</f>
        <v/>
      </c>
    </row>
    <row r="15" customFormat="false" ht="18" hidden="false" customHeight="true" outlineLevel="0" collapsed="false">
      <c r="A15" s="43" t="str">
        <f aca="false">IF(Ativos!$A15="","",Ativos!$A15)</f>
        <v/>
      </c>
      <c r="B15" s="23" t="str">
        <f aca="false">IF($A15="","",Ativos!$B15)</f>
        <v/>
      </c>
      <c r="C15" s="23" t="str">
        <f aca="false">IF($A15="","",Ativos!$C15)</f>
        <v/>
      </c>
      <c r="D15" s="29" t="str">
        <f aca="false">IF($A15="","",COUNTIF(Planos!$B$3:$B$27,$A15))</f>
        <v/>
      </c>
      <c r="E15" s="29" t="str">
        <f aca="false">IF($A15="","",COUNTIFS('Cronograma (calculado)'!$C$3:$C$602,$A15,'Cronograma (calculado)'!$G$3:$G$602,"&lt;="&amp;INT(Parâmetros!$C$4)))</f>
        <v/>
      </c>
      <c r="F15" s="29" t="str">
        <f aca="false">IF($A15="","",COUNTIFS('Cronograma (calculado)'!$C$3:$C$602,$A15,'Cronograma (calculado)'!$G$3:$G$602,"&lt;="&amp;INT(Parâmetros!$C$4),'Cronograma (calculado)'!$J$3:$J$602,"Realizada"))</f>
        <v/>
      </c>
      <c r="G15" s="44" t="str">
        <f aca="false">IF($A15="","",COUNTIFS('Cronograma (calculado)'!$C$3:$C$602,$A15,'Cronograma (calculado)'!$J$3:$J$602,"Atrasada"))</f>
        <v/>
      </c>
      <c r="H15" s="29" t="str">
        <f aca="false">IF($A15="","",COUNTIFS('Cronograma (calculado)'!$C$3:$C$602,$A15,'Cronograma (calculado)'!$J$3:$J$602,"Atrasada")+COUNTIFS('Cronograma (calculado)'!$C$3:$C$602,$A15,'Cronograma (calculado)'!$J$3:$J$602,"Agendada"))</f>
        <v/>
      </c>
      <c r="I15" s="45" t="str">
        <f aca="false">IF($A15="","",IF($E15=0,"",$F15/$E15*100))</f>
        <v/>
      </c>
      <c r="J15" s="28" t="str">
        <f aca="false">IF($A15="","",IF($H15=0,"Nenhuma agendada",100000-SUMPRODUCT(MAX(('Cronograma (calculado)'!$C$3:$C$602=$A15)*('Cronograma (calculado)'!$J$3:$J$602&lt;&gt;"Realizada")*('Cronograma (calculado)'!$J$3:$J$602&lt;&gt;"")*(100000-'Cronograma (calculado)'!$G$3:$G$602)))))</f>
        <v/>
      </c>
    </row>
    <row r="16" customFormat="false" ht="18" hidden="false" customHeight="true" outlineLevel="0" collapsed="false">
      <c r="A16" s="43" t="str">
        <f aca="false">IF(Ativos!$A16="","",Ativos!$A16)</f>
        <v/>
      </c>
      <c r="B16" s="23" t="str">
        <f aca="false">IF($A16="","",Ativos!$B16)</f>
        <v/>
      </c>
      <c r="C16" s="23" t="str">
        <f aca="false">IF($A16="","",Ativos!$C16)</f>
        <v/>
      </c>
      <c r="D16" s="29" t="str">
        <f aca="false">IF($A16="","",COUNTIF(Planos!$B$3:$B$27,$A16))</f>
        <v/>
      </c>
      <c r="E16" s="29" t="str">
        <f aca="false">IF($A16="","",COUNTIFS('Cronograma (calculado)'!$C$3:$C$602,$A16,'Cronograma (calculado)'!$G$3:$G$602,"&lt;="&amp;INT(Parâmetros!$C$4)))</f>
        <v/>
      </c>
      <c r="F16" s="29" t="str">
        <f aca="false">IF($A16="","",COUNTIFS('Cronograma (calculado)'!$C$3:$C$602,$A16,'Cronograma (calculado)'!$G$3:$G$602,"&lt;="&amp;INT(Parâmetros!$C$4),'Cronograma (calculado)'!$J$3:$J$602,"Realizada"))</f>
        <v/>
      </c>
      <c r="G16" s="44" t="str">
        <f aca="false">IF($A16="","",COUNTIFS('Cronograma (calculado)'!$C$3:$C$602,$A16,'Cronograma (calculado)'!$J$3:$J$602,"Atrasada"))</f>
        <v/>
      </c>
      <c r="H16" s="29" t="str">
        <f aca="false">IF($A16="","",COUNTIFS('Cronograma (calculado)'!$C$3:$C$602,$A16,'Cronograma (calculado)'!$J$3:$J$602,"Atrasada")+COUNTIFS('Cronograma (calculado)'!$C$3:$C$602,$A16,'Cronograma (calculado)'!$J$3:$J$602,"Agendada"))</f>
        <v/>
      </c>
      <c r="I16" s="45" t="str">
        <f aca="false">IF($A16="","",IF($E16=0,"",$F16/$E16*100))</f>
        <v/>
      </c>
      <c r="J16" s="28" t="str">
        <f aca="false">IF($A16="","",IF($H16=0,"Nenhuma agendada",100000-SUMPRODUCT(MAX(('Cronograma (calculado)'!$C$3:$C$602=$A16)*('Cronograma (calculado)'!$J$3:$J$602&lt;&gt;"Realizada")*('Cronograma (calculado)'!$J$3:$J$602&lt;&gt;"")*(100000-'Cronograma (calculado)'!$G$3:$G$602)))))</f>
        <v/>
      </c>
    </row>
    <row r="17" customFormat="false" ht="18" hidden="false" customHeight="true" outlineLevel="0" collapsed="false">
      <c r="A17" s="43" t="str">
        <f aca="false">IF(Ativos!$A17="","",Ativos!$A17)</f>
        <v/>
      </c>
      <c r="B17" s="23" t="str">
        <f aca="false">IF($A17="","",Ativos!$B17)</f>
        <v/>
      </c>
      <c r="C17" s="23" t="str">
        <f aca="false">IF($A17="","",Ativos!$C17)</f>
        <v/>
      </c>
      <c r="D17" s="29" t="str">
        <f aca="false">IF($A17="","",COUNTIF(Planos!$B$3:$B$27,$A17))</f>
        <v/>
      </c>
      <c r="E17" s="29" t="str">
        <f aca="false">IF($A17="","",COUNTIFS('Cronograma (calculado)'!$C$3:$C$602,$A17,'Cronograma (calculado)'!$G$3:$G$602,"&lt;="&amp;INT(Parâmetros!$C$4)))</f>
        <v/>
      </c>
      <c r="F17" s="29" t="str">
        <f aca="false">IF($A17="","",COUNTIFS('Cronograma (calculado)'!$C$3:$C$602,$A17,'Cronograma (calculado)'!$G$3:$G$602,"&lt;="&amp;INT(Parâmetros!$C$4),'Cronograma (calculado)'!$J$3:$J$602,"Realizada"))</f>
        <v/>
      </c>
      <c r="G17" s="44" t="str">
        <f aca="false">IF($A17="","",COUNTIFS('Cronograma (calculado)'!$C$3:$C$602,$A17,'Cronograma (calculado)'!$J$3:$J$602,"Atrasada"))</f>
        <v/>
      </c>
      <c r="H17" s="29" t="str">
        <f aca="false">IF($A17="","",COUNTIFS('Cronograma (calculado)'!$C$3:$C$602,$A17,'Cronograma (calculado)'!$J$3:$J$602,"Atrasada")+COUNTIFS('Cronograma (calculado)'!$C$3:$C$602,$A17,'Cronograma (calculado)'!$J$3:$J$602,"Agendada"))</f>
        <v/>
      </c>
      <c r="I17" s="45" t="str">
        <f aca="false">IF($A17="","",IF($E17=0,"",$F17/$E17*100))</f>
        <v/>
      </c>
      <c r="J17" s="28" t="str">
        <f aca="false">IF($A17="","",IF($H17=0,"Nenhuma agendada",100000-SUMPRODUCT(MAX(('Cronograma (calculado)'!$C$3:$C$602=$A17)*('Cronograma (calculado)'!$J$3:$J$602&lt;&gt;"Realizada")*('Cronograma (calculado)'!$J$3:$J$602&lt;&gt;"")*(100000-'Cronograma (calculado)'!$G$3:$G$602)))))</f>
        <v/>
      </c>
    </row>
    <row r="18" customFormat="false" ht="18" hidden="false" customHeight="true" outlineLevel="0" collapsed="false">
      <c r="A18" s="43" t="str">
        <f aca="false">IF(Ativos!$A18="","",Ativos!$A18)</f>
        <v/>
      </c>
      <c r="B18" s="23" t="str">
        <f aca="false">IF($A18="","",Ativos!$B18)</f>
        <v/>
      </c>
      <c r="C18" s="23" t="str">
        <f aca="false">IF($A18="","",Ativos!$C18)</f>
        <v/>
      </c>
      <c r="D18" s="29" t="str">
        <f aca="false">IF($A18="","",COUNTIF(Planos!$B$3:$B$27,$A18))</f>
        <v/>
      </c>
      <c r="E18" s="29" t="str">
        <f aca="false">IF($A18="","",COUNTIFS('Cronograma (calculado)'!$C$3:$C$602,$A18,'Cronograma (calculado)'!$G$3:$G$602,"&lt;="&amp;INT(Parâmetros!$C$4)))</f>
        <v/>
      </c>
      <c r="F18" s="29" t="str">
        <f aca="false">IF($A18="","",COUNTIFS('Cronograma (calculado)'!$C$3:$C$602,$A18,'Cronograma (calculado)'!$G$3:$G$602,"&lt;="&amp;INT(Parâmetros!$C$4),'Cronograma (calculado)'!$J$3:$J$602,"Realizada"))</f>
        <v/>
      </c>
      <c r="G18" s="44" t="str">
        <f aca="false">IF($A18="","",COUNTIFS('Cronograma (calculado)'!$C$3:$C$602,$A18,'Cronograma (calculado)'!$J$3:$J$602,"Atrasada"))</f>
        <v/>
      </c>
      <c r="H18" s="29" t="str">
        <f aca="false">IF($A18="","",COUNTIFS('Cronograma (calculado)'!$C$3:$C$602,$A18,'Cronograma (calculado)'!$J$3:$J$602,"Atrasada")+COUNTIFS('Cronograma (calculado)'!$C$3:$C$602,$A18,'Cronograma (calculado)'!$J$3:$J$602,"Agendada"))</f>
        <v/>
      </c>
      <c r="I18" s="45" t="str">
        <f aca="false">IF($A18="","",IF($E18=0,"",$F18/$E18*100))</f>
        <v/>
      </c>
      <c r="J18" s="28" t="str">
        <f aca="false">IF($A18="","",IF($H18=0,"Nenhuma agendada",100000-SUMPRODUCT(MAX(('Cronograma (calculado)'!$C$3:$C$602=$A18)*('Cronograma (calculado)'!$J$3:$J$602&lt;&gt;"Realizada")*('Cronograma (calculado)'!$J$3:$J$602&lt;&gt;"")*(100000-'Cronograma (calculado)'!$G$3:$G$602)))))</f>
        <v/>
      </c>
    </row>
    <row r="19" customFormat="false" ht="18" hidden="false" customHeight="true" outlineLevel="0" collapsed="false">
      <c r="A19" s="43" t="str">
        <f aca="false">IF(Ativos!$A19="","",Ativos!$A19)</f>
        <v/>
      </c>
      <c r="B19" s="23" t="str">
        <f aca="false">IF($A19="","",Ativos!$B19)</f>
        <v/>
      </c>
      <c r="C19" s="23" t="str">
        <f aca="false">IF($A19="","",Ativos!$C19)</f>
        <v/>
      </c>
      <c r="D19" s="29" t="str">
        <f aca="false">IF($A19="","",COUNTIF(Planos!$B$3:$B$27,$A19))</f>
        <v/>
      </c>
      <c r="E19" s="29" t="str">
        <f aca="false">IF($A19="","",COUNTIFS('Cronograma (calculado)'!$C$3:$C$602,$A19,'Cronograma (calculado)'!$G$3:$G$602,"&lt;="&amp;INT(Parâmetros!$C$4)))</f>
        <v/>
      </c>
      <c r="F19" s="29" t="str">
        <f aca="false">IF($A19="","",COUNTIFS('Cronograma (calculado)'!$C$3:$C$602,$A19,'Cronograma (calculado)'!$G$3:$G$602,"&lt;="&amp;INT(Parâmetros!$C$4),'Cronograma (calculado)'!$J$3:$J$602,"Realizada"))</f>
        <v/>
      </c>
      <c r="G19" s="44" t="str">
        <f aca="false">IF($A19="","",COUNTIFS('Cronograma (calculado)'!$C$3:$C$602,$A19,'Cronograma (calculado)'!$J$3:$J$602,"Atrasada"))</f>
        <v/>
      </c>
      <c r="H19" s="29" t="str">
        <f aca="false">IF($A19="","",COUNTIFS('Cronograma (calculado)'!$C$3:$C$602,$A19,'Cronograma (calculado)'!$J$3:$J$602,"Atrasada")+COUNTIFS('Cronograma (calculado)'!$C$3:$C$602,$A19,'Cronograma (calculado)'!$J$3:$J$602,"Agendada"))</f>
        <v/>
      </c>
      <c r="I19" s="45" t="str">
        <f aca="false">IF($A19="","",IF($E19=0,"",$F19/$E19*100))</f>
        <v/>
      </c>
      <c r="J19" s="28" t="str">
        <f aca="false">IF($A19="","",IF($H19=0,"Nenhuma agendada",100000-SUMPRODUCT(MAX(('Cronograma (calculado)'!$C$3:$C$602=$A19)*('Cronograma (calculado)'!$J$3:$J$602&lt;&gt;"Realizada")*('Cronograma (calculado)'!$J$3:$J$602&lt;&gt;"")*(100000-'Cronograma (calculado)'!$G$3:$G$602)))))</f>
        <v/>
      </c>
    </row>
    <row r="20" customFormat="false" ht="18" hidden="false" customHeight="true" outlineLevel="0" collapsed="false">
      <c r="A20" s="43" t="str">
        <f aca="false">IF(Ativos!$A20="","",Ativos!$A20)</f>
        <v/>
      </c>
      <c r="B20" s="23" t="str">
        <f aca="false">IF($A20="","",Ativos!$B20)</f>
        <v/>
      </c>
      <c r="C20" s="23" t="str">
        <f aca="false">IF($A20="","",Ativos!$C20)</f>
        <v/>
      </c>
      <c r="D20" s="29" t="str">
        <f aca="false">IF($A20="","",COUNTIF(Planos!$B$3:$B$27,$A20))</f>
        <v/>
      </c>
      <c r="E20" s="29" t="str">
        <f aca="false">IF($A20="","",COUNTIFS('Cronograma (calculado)'!$C$3:$C$602,$A20,'Cronograma (calculado)'!$G$3:$G$602,"&lt;="&amp;INT(Parâmetros!$C$4)))</f>
        <v/>
      </c>
      <c r="F20" s="29" t="str">
        <f aca="false">IF($A20="","",COUNTIFS('Cronograma (calculado)'!$C$3:$C$602,$A20,'Cronograma (calculado)'!$G$3:$G$602,"&lt;="&amp;INT(Parâmetros!$C$4),'Cronograma (calculado)'!$J$3:$J$602,"Realizada"))</f>
        <v/>
      </c>
      <c r="G20" s="44" t="str">
        <f aca="false">IF($A20="","",COUNTIFS('Cronograma (calculado)'!$C$3:$C$602,$A20,'Cronograma (calculado)'!$J$3:$J$602,"Atrasada"))</f>
        <v/>
      </c>
      <c r="H20" s="29" t="str">
        <f aca="false">IF($A20="","",COUNTIFS('Cronograma (calculado)'!$C$3:$C$602,$A20,'Cronograma (calculado)'!$J$3:$J$602,"Atrasada")+COUNTIFS('Cronograma (calculado)'!$C$3:$C$602,$A20,'Cronograma (calculado)'!$J$3:$J$602,"Agendada"))</f>
        <v/>
      </c>
      <c r="I20" s="45" t="str">
        <f aca="false">IF($A20="","",IF($E20=0,"",$F20/$E20*100))</f>
        <v/>
      </c>
      <c r="J20" s="28" t="str">
        <f aca="false">IF($A20="","",IF($H20=0,"Nenhuma agendada",100000-SUMPRODUCT(MAX(('Cronograma (calculado)'!$C$3:$C$602=$A20)*('Cronograma (calculado)'!$J$3:$J$602&lt;&gt;"Realizada")*('Cronograma (calculado)'!$J$3:$J$602&lt;&gt;"")*(100000-'Cronograma (calculado)'!$G$3:$G$602)))))</f>
        <v/>
      </c>
    </row>
    <row r="21" customFormat="false" ht="18" hidden="false" customHeight="true" outlineLevel="0" collapsed="false">
      <c r="A21" s="43" t="str">
        <f aca="false">IF(Ativos!$A21="","",Ativos!$A21)</f>
        <v/>
      </c>
      <c r="B21" s="23" t="str">
        <f aca="false">IF($A21="","",Ativos!$B21)</f>
        <v/>
      </c>
      <c r="C21" s="23" t="str">
        <f aca="false">IF($A21="","",Ativos!$C21)</f>
        <v/>
      </c>
      <c r="D21" s="29" t="str">
        <f aca="false">IF($A21="","",COUNTIF(Planos!$B$3:$B$27,$A21))</f>
        <v/>
      </c>
      <c r="E21" s="29" t="str">
        <f aca="false">IF($A21="","",COUNTIFS('Cronograma (calculado)'!$C$3:$C$602,$A21,'Cronograma (calculado)'!$G$3:$G$602,"&lt;="&amp;INT(Parâmetros!$C$4)))</f>
        <v/>
      </c>
      <c r="F21" s="29" t="str">
        <f aca="false">IF($A21="","",COUNTIFS('Cronograma (calculado)'!$C$3:$C$602,$A21,'Cronograma (calculado)'!$G$3:$G$602,"&lt;="&amp;INT(Parâmetros!$C$4),'Cronograma (calculado)'!$J$3:$J$602,"Realizada"))</f>
        <v/>
      </c>
      <c r="G21" s="44" t="str">
        <f aca="false">IF($A21="","",COUNTIFS('Cronograma (calculado)'!$C$3:$C$602,$A21,'Cronograma (calculado)'!$J$3:$J$602,"Atrasada"))</f>
        <v/>
      </c>
      <c r="H21" s="29" t="str">
        <f aca="false">IF($A21="","",COUNTIFS('Cronograma (calculado)'!$C$3:$C$602,$A21,'Cronograma (calculado)'!$J$3:$J$602,"Atrasada")+COUNTIFS('Cronograma (calculado)'!$C$3:$C$602,$A21,'Cronograma (calculado)'!$J$3:$J$602,"Agendada"))</f>
        <v/>
      </c>
      <c r="I21" s="45" t="str">
        <f aca="false">IF($A21="","",IF($E21=0,"",$F21/$E21*100))</f>
        <v/>
      </c>
      <c r="J21" s="28" t="str">
        <f aca="false">IF($A21="","",IF($H21=0,"Nenhuma agendada",100000-SUMPRODUCT(MAX(('Cronograma (calculado)'!$C$3:$C$602=$A21)*('Cronograma (calculado)'!$J$3:$J$602&lt;&gt;"Realizada")*('Cronograma (calculado)'!$J$3:$J$602&lt;&gt;"")*(100000-'Cronograma (calculado)'!$G$3:$G$602)))))</f>
        <v/>
      </c>
    </row>
    <row r="22" customFormat="false" ht="18" hidden="false" customHeight="true" outlineLevel="0" collapsed="false">
      <c r="A22" s="43" t="str">
        <f aca="false">IF(Ativos!$A22="","",Ativos!$A22)</f>
        <v/>
      </c>
      <c r="B22" s="23" t="str">
        <f aca="false">IF($A22="","",Ativos!$B22)</f>
        <v/>
      </c>
      <c r="C22" s="23" t="str">
        <f aca="false">IF($A22="","",Ativos!$C22)</f>
        <v/>
      </c>
      <c r="D22" s="29" t="str">
        <f aca="false">IF($A22="","",COUNTIF(Planos!$B$3:$B$27,$A22))</f>
        <v/>
      </c>
      <c r="E22" s="29" t="str">
        <f aca="false">IF($A22="","",COUNTIFS('Cronograma (calculado)'!$C$3:$C$602,$A22,'Cronograma (calculado)'!$G$3:$G$602,"&lt;="&amp;INT(Parâmetros!$C$4)))</f>
        <v/>
      </c>
      <c r="F22" s="29" t="str">
        <f aca="false">IF($A22="","",COUNTIFS('Cronograma (calculado)'!$C$3:$C$602,$A22,'Cronograma (calculado)'!$G$3:$G$602,"&lt;="&amp;INT(Parâmetros!$C$4),'Cronograma (calculado)'!$J$3:$J$602,"Realizada"))</f>
        <v/>
      </c>
      <c r="G22" s="44" t="str">
        <f aca="false">IF($A22="","",COUNTIFS('Cronograma (calculado)'!$C$3:$C$602,$A22,'Cronograma (calculado)'!$J$3:$J$602,"Atrasada"))</f>
        <v/>
      </c>
      <c r="H22" s="29" t="str">
        <f aca="false">IF($A22="","",COUNTIFS('Cronograma (calculado)'!$C$3:$C$602,$A22,'Cronograma (calculado)'!$J$3:$J$602,"Atrasada")+COUNTIFS('Cronograma (calculado)'!$C$3:$C$602,$A22,'Cronograma (calculado)'!$J$3:$J$602,"Agendada"))</f>
        <v/>
      </c>
      <c r="I22" s="45" t="str">
        <f aca="false">IF($A22="","",IF($E22=0,"",$F22/$E22*100))</f>
        <v/>
      </c>
      <c r="J22" s="28" t="str">
        <f aca="false">IF($A22="","",IF($H22=0,"Nenhuma agendada",100000-SUMPRODUCT(MAX(('Cronograma (calculado)'!$C$3:$C$602=$A22)*('Cronograma (calculado)'!$J$3:$J$602&lt;&gt;"Realizada")*('Cronograma (calculado)'!$J$3:$J$602&lt;&gt;"")*(100000-'Cronograma (calculado)'!$G$3:$G$602)))))</f>
        <v/>
      </c>
    </row>
    <row r="23" customFormat="false" ht="18" hidden="false" customHeight="true" outlineLevel="0" collapsed="false">
      <c r="A23" s="43" t="str">
        <f aca="false">IF(Ativos!$A23="","",Ativos!$A23)</f>
        <v/>
      </c>
      <c r="B23" s="23" t="str">
        <f aca="false">IF($A23="","",Ativos!$B23)</f>
        <v/>
      </c>
      <c r="C23" s="23" t="str">
        <f aca="false">IF($A23="","",Ativos!$C23)</f>
        <v/>
      </c>
      <c r="D23" s="29" t="str">
        <f aca="false">IF($A23="","",COUNTIF(Planos!$B$3:$B$27,$A23))</f>
        <v/>
      </c>
      <c r="E23" s="29" t="str">
        <f aca="false">IF($A23="","",COUNTIFS('Cronograma (calculado)'!$C$3:$C$602,$A23,'Cronograma (calculado)'!$G$3:$G$602,"&lt;="&amp;INT(Parâmetros!$C$4)))</f>
        <v/>
      </c>
      <c r="F23" s="29" t="str">
        <f aca="false">IF($A23="","",COUNTIFS('Cronograma (calculado)'!$C$3:$C$602,$A23,'Cronograma (calculado)'!$G$3:$G$602,"&lt;="&amp;INT(Parâmetros!$C$4),'Cronograma (calculado)'!$J$3:$J$602,"Realizada"))</f>
        <v/>
      </c>
      <c r="G23" s="44" t="str">
        <f aca="false">IF($A23="","",COUNTIFS('Cronograma (calculado)'!$C$3:$C$602,$A23,'Cronograma (calculado)'!$J$3:$J$602,"Atrasada"))</f>
        <v/>
      </c>
      <c r="H23" s="29" t="str">
        <f aca="false">IF($A23="","",COUNTIFS('Cronograma (calculado)'!$C$3:$C$602,$A23,'Cronograma (calculado)'!$J$3:$J$602,"Atrasada")+COUNTIFS('Cronograma (calculado)'!$C$3:$C$602,$A23,'Cronograma (calculado)'!$J$3:$J$602,"Agendada"))</f>
        <v/>
      </c>
      <c r="I23" s="45" t="str">
        <f aca="false">IF($A23="","",IF($E23=0,"",$F23/$E23*100))</f>
        <v/>
      </c>
      <c r="J23" s="28" t="str">
        <f aca="false">IF($A23="","",IF($H23=0,"Nenhuma agendada",100000-SUMPRODUCT(MAX(('Cronograma (calculado)'!$C$3:$C$602=$A23)*('Cronograma (calculado)'!$J$3:$J$602&lt;&gt;"Realizada")*('Cronograma (calculado)'!$J$3:$J$602&lt;&gt;"")*(100000-'Cronograma (calculado)'!$G$3:$G$602)))))</f>
        <v/>
      </c>
    </row>
    <row r="24" customFormat="false" ht="18" hidden="false" customHeight="true" outlineLevel="0" collapsed="false">
      <c r="A24" s="43" t="str">
        <f aca="false">IF(Ativos!$A24="","",Ativos!$A24)</f>
        <v/>
      </c>
      <c r="B24" s="23" t="str">
        <f aca="false">IF($A24="","",Ativos!$B24)</f>
        <v/>
      </c>
      <c r="C24" s="23" t="str">
        <f aca="false">IF($A24="","",Ativos!$C24)</f>
        <v/>
      </c>
      <c r="D24" s="29" t="str">
        <f aca="false">IF($A24="","",COUNTIF(Planos!$B$3:$B$27,$A24))</f>
        <v/>
      </c>
      <c r="E24" s="29" t="str">
        <f aca="false">IF($A24="","",COUNTIFS('Cronograma (calculado)'!$C$3:$C$602,$A24,'Cronograma (calculado)'!$G$3:$G$602,"&lt;="&amp;INT(Parâmetros!$C$4)))</f>
        <v/>
      </c>
      <c r="F24" s="29" t="str">
        <f aca="false">IF($A24="","",COUNTIFS('Cronograma (calculado)'!$C$3:$C$602,$A24,'Cronograma (calculado)'!$G$3:$G$602,"&lt;="&amp;INT(Parâmetros!$C$4),'Cronograma (calculado)'!$J$3:$J$602,"Realizada"))</f>
        <v/>
      </c>
      <c r="G24" s="44" t="str">
        <f aca="false">IF($A24="","",COUNTIFS('Cronograma (calculado)'!$C$3:$C$602,$A24,'Cronograma (calculado)'!$J$3:$J$602,"Atrasada"))</f>
        <v/>
      </c>
      <c r="H24" s="29" t="str">
        <f aca="false">IF($A24="","",COUNTIFS('Cronograma (calculado)'!$C$3:$C$602,$A24,'Cronograma (calculado)'!$J$3:$J$602,"Atrasada")+COUNTIFS('Cronograma (calculado)'!$C$3:$C$602,$A24,'Cronograma (calculado)'!$J$3:$J$602,"Agendada"))</f>
        <v/>
      </c>
      <c r="I24" s="45" t="str">
        <f aca="false">IF($A24="","",IF($E24=0,"",$F24/$E24*100))</f>
        <v/>
      </c>
      <c r="J24" s="28" t="str">
        <f aca="false">IF($A24="","",IF($H24=0,"Nenhuma agendada",100000-SUMPRODUCT(MAX(('Cronograma (calculado)'!$C$3:$C$602=$A24)*('Cronograma (calculado)'!$J$3:$J$602&lt;&gt;"Realizada")*('Cronograma (calculado)'!$J$3:$J$602&lt;&gt;"")*(100000-'Cronograma (calculado)'!$G$3:$G$602)))))</f>
        <v/>
      </c>
    </row>
    <row r="25" customFormat="false" ht="18" hidden="false" customHeight="true" outlineLevel="0" collapsed="false">
      <c r="A25" s="43" t="str">
        <f aca="false">IF(Ativos!$A25="","",Ativos!$A25)</f>
        <v/>
      </c>
      <c r="B25" s="23" t="str">
        <f aca="false">IF($A25="","",Ativos!$B25)</f>
        <v/>
      </c>
      <c r="C25" s="23" t="str">
        <f aca="false">IF($A25="","",Ativos!$C25)</f>
        <v/>
      </c>
      <c r="D25" s="29" t="str">
        <f aca="false">IF($A25="","",COUNTIF(Planos!$B$3:$B$27,$A25))</f>
        <v/>
      </c>
      <c r="E25" s="29" t="str">
        <f aca="false">IF($A25="","",COUNTIFS('Cronograma (calculado)'!$C$3:$C$602,$A25,'Cronograma (calculado)'!$G$3:$G$602,"&lt;="&amp;INT(Parâmetros!$C$4)))</f>
        <v/>
      </c>
      <c r="F25" s="29" t="str">
        <f aca="false">IF($A25="","",COUNTIFS('Cronograma (calculado)'!$C$3:$C$602,$A25,'Cronograma (calculado)'!$G$3:$G$602,"&lt;="&amp;INT(Parâmetros!$C$4),'Cronograma (calculado)'!$J$3:$J$602,"Realizada"))</f>
        <v/>
      </c>
      <c r="G25" s="44" t="str">
        <f aca="false">IF($A25="","",COUNTIFS('Cronograma (calculado)'!$C$3:$C$602,$A25,'Cronograma (calculado)'!$J$3:$J$602,"Atrasada"))</f>
        <v/>
      </c>
      <c r="H25" s="29" t="str">
        <f aca="false">IF($A25="","",COUNTIFS('Cronograma (calculado)'!$C$3:$C$602,$A25,'Cronograma (calculado)'!$J$3:$J$602,"Atrasada")+COUNTIFS('Cronograma (calculado)'!$C$3:$C$602,$A25,'Cronograma (calculado)'!$J$3:$J$602,"Agendada"))</f>
        <v/>
      </c>
      <c r="I25" s="45" t="str">
        <f aca="false">IF($A25="","",IF($E25=0,"",$F25/$E25*100))</f>
        <v/>
      </c>
      <c r="J25" s="28" t="str">
        <f aca="false">IF($A25="","",IF($H25=0,"Nenhuma agendada",100000-SUMPRODUCT(MAX(('Cronograma (calculado)'!$C$3:$C$602=$A25)*('Cronograma (calculado)'!$J$3:$J$602&lt;&gt;"Realizada")*('Cronograma (calculado)'!$J$3:$J$602&lt;&gt;"")*(100000-'Cronograma (calculado)'!$G$3:$G$602)))))</f>
        <v/>
      </c>
    </row>
    <row r="26" customFormat="false" ht="18" hidden="false" customHeight="true" outlineLevel="0" collapsed="false">
      <c r="A26" s="43" t="str">
        <f aca="false">IF(Ativos!$A26="","",Ativos!$A26)</f>
        <v/>
      </c>
      <c r="B26" s="23" t="str">
        <f aca="false">IF($A26="","",Ativos!$B26)</f>
        <v/>
      </c>
      <c r="C26" s="23" t="str">
        <f aca="false">IF($A26="","",Ativos!$C26)</f>
        <v/>
      </c>
      <c r="D26" s="29" t="str">
        <f aca="false">IF($A26="","",COUNTIF(Planos!$B$3:$B$27,$A26))</f>
        <v/>
      </c>
      <c r="E26" s="29" t="str">
        <f aca="false">IF($A26="","",COUNTIFS('Cronograma (calculado)'!$C$3:$C$602,$A26,'Cronograma (calculado)'!$G$3:$G$602,"&lt;="&amp;INT(Parâmetros!$C$4)))</f>
        <v/>
      </c>
      <c r="F26" s="29" t="str">
        <f aca="false">IF($A26="","",COUNTIFS('Cronograma (calculado)'!$C$3:$C$602,$A26,'Cronograma (calculado)'!$G$3:$G$602,"&lt;="&amp;INT(Parâmetros!$C$4),'Cronograma (calculado)'!$J$3:$J$602,"Realizada"))</f>
        <v/>
      </c>
      <c r="G26" s="44" t="str">
        <f aca="false">IF($A26="","",COUNTIFS('Cronograma (calculado)'!$C$3:$C$602,$A26,'Cronograma (calculado)'!$J$3:$J$602,"Atrasada"))</f>
        <v/>
      </c>
      <c r="H26" s="29" t="str">
        <f aca="false">IF($A26="","",COUNTIFS('Cronograma (calculado)'!$C$3:$C$602,$A26,'Cronograma (calculado)'!$J$3:$J$602,"Atrasada")+COUNTIFS('Cronograma (calculado)'!$C$3:$C$602,$A26,'Cronograma (calculado)'!$J$3:$J$602,"Agendada"))</f>
        <v/>
      </c>
      <c r="I26" s="45" t="str">
        <f aca="false">IF($A26="","",IF($E26=0,"",$F26/$E26*100))</f>
        <v/>
      </c>
      <c r="J26" s="28" t="str">
        <f aca="false">IF($A26="","",IF($H26=0,"Nenhuma agendada",100000-SUMPRODUCT(MAX(('Cronograma (calculado)'!$C$3:$C$602=$A26)*('Cronograma (calculado)'!$J$3:$J$602&lt;&gt;"Realizada")*('Cronograma (calculado)'!$J$3:$J$602&lt;&gt;"")*(100000-'Cronograma (calculado)'!$G$3:$G$602)))))</f>
        <v/>
      </c>
    </row>
    <row r="27" customFormat="false" ht="18" hidden="false" customHeight="true" outlineLevel="0" collapsed="false">
      <c r="A27" s="43" t="str">
        <f aca="false">IF(Ativos!$A27="","",Ativos!$A27)</f>
        <v/>
      </c>
      <c r="B27" s="23" t="str">
        <f aca="false">IF($A27="","",Ativos!$B27)</f>
        <v/>
      </c>
      <c r="C27" s="23" t="str">
        <f aca="false">IF($A27="","",Ativos!$C27)</f>
        <v/>
      </c>
      <c r="D27" s="29" t="str">
        <f aca="false">IF($A27="","",COUNTIF(Planos!$B$3:$B$27,$A27))</f>
        <v/>
      </c>
      <c r="E27" s="29" t="str">
        <f aca="false">IF($A27="","",COUNTIFS('Cronograma (calculado)'!$C$3:$C$602,$A27,'Cronograma (calculado)'!$G$3:$G$602,"&lt;="&amp;INT(Parâmetros!$C$4)))</f>
        <v/>
      </c>
      <c r="F27" s="29" t="str">
        <f aca="false">IF($A27="","",COUNTIFS('Cronograma (calculado)'!$C$3:$C$602,$A27,'Cronograma (calculado)'!$G$3:$G$602,"&lt;="&amp;INT(Parâmetros!$C$4),'Cronograma (calculado)'!$J$3:$J$602,"Realizada"))</f>
        <v/>
      </c>
      <c r="G27" s="44" t="str">
        <f aca="false">IF($A27="","",COUNTIFS('Cronograma (calculado)'!$C$3:$C$602,$A27,'Cronograma (calculado)'!$J$3:$J$602,"Atrasada"))</f>
        <v/>
      </c>
      <c r="H27" s="29" t="str">
        <f aca="false">IF($A27="","",COUNTIFS('Cronograma (calculado)'!$C$3:$C$602,$A27,'Cronograma (calculado)'!$J$3:$J$602,"Atrasada")+COUNTIFS('Cronograma (calculado)'!$C$3:$C$602,$A27,'Cronograma (calculado)'!$J$3:$J$602,"Agendada"))</f>
        <v/>
      </c>
      <c r="I27" s="45" t="str">
        <f aca="false">IF($A27="","",IF($E27=0,"",$F27/$E27*100))</f>
        <v/>
      </c>
      <c r="J27" s="28" t="str">
        <f aca="false">IF($A27="","",IF($H27=0,"Nenhuma agendada",100000-SUMPRODUCT(MAX(('Cronograma (calculado)'!$C$3:$C$602=$A27)*('Cronograma (calculado)'!$J$3:$J$602&lt;&gt;"Realizada")*('Cronograma (calculado)'!$J$3:$J$602&lt;&gt;"")*(100000-'Cronograma (calculado)'!$G$3:$G$602)))))</f>
        <v/>
      </c>
    </row>
    <row r="28" customFormat="false" ht="18" hidden="false" customHeight="true" outlineLevel="0" collapsed="false">
      <c r="A28" s="43" t="str">
        <f aca="false">IF(Ativos!$A28="","",Ativos!$A28)</f>
        <v/>
      </c>
      <c r="B28" s="23" t="str">
        <f aca="false">IF($A28="","",Ativos!$B28)</f>
        <v/>
      </c>
      <c r="C28" s="23" t="str">
        <f aca="false">IF($A28="","",Ativos!$C28)</f>
        <v/>
      </c>
      <c r="D28" s="29" t="str">
        <f aca="false">IF($A28="","",COUNTIF(Planos!$B$3:$B$27,$A28))</f>
        <v/>
      </c>
      <c r="E28" s="29" t="str">
        <f aca="false">IF($A28="","",COUNTIFS('Cronograma (calculado)'!$C$3:$C$602,$A28,'Cronograma (calculado)'!$G$3:$G$602,"&lt;="&amp;INT(Parâmetros!$C$4)))</f>
        <v/>
      </c>
      <c r="F28" s="29" t="str">
        <f aca="false">IF($A28="","",COUNTIFS('Cronograma (calculado)'!$C$3:$C$602,$A28,'Cronograma (calculado)'!$G$3:$G$602,"&lt;="&amp;INT(Parâmetros!$C$4),'Cronograma (calculado)'!$J$3:$J$602,"Realizada"))</f>
        <v/>
      </c>
      <c r="G28" s="44" t="str">
        <f aca="false">IF($A28="","",COUNTIFS('Cronograma (calculado)'!$C$3:$C$602,$A28,'Cronograma (calculado)'!$J$3:$J$602,"Atrasada"))</f>
        <v/>
      </c>
      <c r="H28" s="29" t="str">
        <f aca="false">IF($A28="","",COUNTIFS('Cronograma (calculado)'!$C$3:$C$602,$A28,'Cronograma (calculado)'!$J$3:$J$602,"Atrasada")+COUNTIFS('Cronograma (calculado)'!$C$3:$C$602,$A28,'Cronograma (calculado)'!$J$3:$J$602,"Agendada"))</f>
        <v/>
      </c>
      <c r="I28" s="45" t="str">
        <f aca="false">IF($A28="","",IF($E28=0,"",$F28/$E28*100))</f>
        <v/>
      </c>
      <c r="J28" s="28" t="str">
        <f aca="false">IF($A28="","",IF($H28=0,"Nenhuma agendada",100000-SUMPRODUCT(MAX(('Cronograma (calculado)'!$C$3:$C$602=$A28)*('Cronograma (calculado)'!$J$3:$J$602&lt;&gt;"Realizada")*('Cronograma (calculado)'!$J$3:$J$602&lt;&gt;"")*(100000-'Cronograma (calculado)'!$G$3:$G$602)))))</f>
        <v/>
      </c>
    </row>
    <row r="29" customFormat="false" ht="18" hidden="false" customHeight="true" outlineLevel="0" collapsed="false">
      <c r="A29" s="43" t="str">
        <f aca="false">IF(Ativos!$A29="","",Ativos!$A29)</f>
        <v/>
      </c>
      <c r="B29" s="23" t="str">
        <f aca="false">IF($A29="","",Ativos!$B29)</f>
        <v/>
      </c>
      <c r="C29" s="23" t="str">
        <f aca="false">IF($A29="","",Ativos!$C29)</f>
        <v/>
      </c>
      <c r="D29" s="29" t="str">
        <f aca="false">IF($A29="","",COUNTIF(Planos!$B$3:$B$27,$A29))</f>
        <v/>
      </c>
      <c r="E29" s="29" t="str">
        <f aca="false">IF($A29="","",COUNTIFS('Cronograma (calculado)'!$C$3:$C$602,$A29,'Cronograma (calculado)'!$G$3:$G$602,"&lt;="&amp;INT(Parâmetros!$C$4)))</f>
        <v/>
      </c>
      <c r="F29" s="29" t="str">
        <f aca="false">IF($A29="","",COUNTIFS('Cronograma (calculado)'!$C$3:$C$602,$A29,'Cronograma (calculado)'!$G$3:$G$602,"&lt;="&amp;INT(Parâmetros!$C$4),'Cronograma (calculado)'!$J$3:$J$602,"Realizada"))</f>
        <v/>
      </c>
      <c r="G29" s="44" t="str">
        <f aca="false">IF($A29="","",COUNTIFS('Cronograma (calculado)'!$C$3:$C$602,$A29,'Cronograma (calculado)'!$J$3:$J$602,"Atrasada"))</f>
        <v/>
      </c>
      <c r="H29" s="29" t="str">
        <f aca="false">IF($A29="","",COUNTIFS('Cronograma (calculado)'!$C$3:$C$602,$A29,'Cronograma (calculado)'!$J$3:$J$602,"Atrasada")+COUNTIFS('Cronograma (calculado)'!$C$3:$C$602,$A29,'Cronograma (calculado)'!$J$3:$J$602,"Agendada"))</f>
        <v/>
      </c>
      <c r="I29" s="45" t="str">
        <f aca="false">IF($A29="","",IF($E29=0,"",$F29/$E29*100))</f>
        <v/>
      </c>
      <c r="J29" s="28" t="str">
        <f aca="false">IF($A29="","",IF($H29=0,"Nenhuma agendada",100000-SUMPRODUCT(MAX(('Cronograma (calculado)'!$C$3:$C$602=$A29)*('Cronograma (calculado)'!$J$3:$J$602&lt;&gt;"Realizada")*('Cronograma (calculado)'!$J$3:$J$602&lt;&gt;"")*(100000-'Cronograma (calculado)'!$G$3:$G$602)))))</f>
        <v/>
      </c>
    </row>
    <row r="30" customFormat="false" ht="18" hidden="false" customHeight="true" outlineLevel="0" collapsed="false">
      <c r="A30" s="43" t="str">
        <f aca="false">IF(Ativos!$A30="","",Ativos!$A30)</f>
        <v/>
      </c>
      <c r="B30" s="23" t="str">
        <f aca="false">IF($A30="","",Ativos!$B30)</f>
        <v/>
      </c>
      <c r="C30" s="23" t="str">
        <f aca="false">IF($A30="","",Ativos!$C30)</f>
        <v/>
      </c>
      <c r="D30" s="29" t="str">
        <f aca="false">IF($A30="","",COUNTIF(Planos!$B$3:$B$27,$A30))</f>
        <v/>
      </c>
      <c r="E30" s="29" t="str">
        <f aca="false">IF($A30="","",COUNTIFS('Cronograma (calculado)'!$C$3:$C$602,$A30,'Cronograma (calculado)'!$G$3:$G$602,"&lt;="&amp;INT(Parâmetros!$C$4)))</f>
        <v/>
      </c>
      <c r="F30" s="29" t="str">
        <f aca="false">IF($A30="","",COUNTIFS('Cronograma (calculado)'!$C$3:$C$602,$A30,'Cronograma (calculado)'!$G$3:$G$602,"&lt;="&amp;INT(Parâmetros!$C$4),'Cronograma (calculado)'!$J$3:$J$602,"Realizada"))</f>
        <v/>
      </c>
      <c r="G30" s="44" t="str">
        <f aca="false">IF($A30="","",COUNTIFS('Cronograma (calculado)'!$C$3:$C$602,$A30,'Cronograma (calculado)'!$J$3:$J$602,"Atrasada"))</f>
        <v/>
      </c>
      <c r="H30" s="29" t="str">
        <f aca="false">IF($A30="","",COUNTIFS('Cronograma (calculado)'!$C$3:$C$602,$A30,'Cronograma (calculado)'!$J$3:$J$602,"Atrasada")+COUNTIFS('Cronograma (calculado)'!$C$3:$C$602,$A30,'Cronograma (calculado)'!$J$3:$J$602,"Agendada"))</f>
        <v/>
      </c>
      <c r="I30" s="45" t="str">
        <f aca="false">IF($A30="","",IF($E30=0,"",$F30/$E30*100))</f>
        <v/>
      </c>
      <c r="J30" s="28" t="str">
        <f aca="false">IF($A30="","",IF($H30=0,"Nenhuma agendada",100000-SUMPRODUCT(MAX(('Cronograma (calculado)'!$C$3:$C$602=$A30)*('Cronograma (calculado)'!$J$3:$J$602&lt;&gt;"Realizada")*('Cronograma (calculado)'!$J$3:$J$602&lt;&gt;"")*(100000-'Cronograma (calculado)'!$G$3:$G$602)))))</f>
        <v/>
      </c>
    </row>
    <row r="31" customFormat="false" ht="18" hidden="false" customHeight="true" outlineLevel="0" collapsed="false">
      <c r="A31" s="43" t="str">
        <f aca="false">IF(Ativos!$A31="","",Ativos!$A31)</f>
        <v/>
      </c>
      <c r="B31" s="23" t="str">
        <f aca="false">IF($A31="","",Ativos!$B31)</f>
        <v/>
      </c>
      <c r="C31" s="23" t="str">
        <f aca="false">IF($A31="","",Ativos!$C31)</f>
        <v/>
      </c>
      <c r="D31" s="29" t="str">
        <f aca="false">IF($A31="","",COUNTIF(Planos!$B$3:$B$27,$A31))</f>
        <v/>
      </c>
      <c r="E31" s="29" t="str">
        <f aca="false">IF($A31="","",COUNTIFS('Cronograma (calculado)'!$C$3:$C$602,$A31,'Cronograma (calculado)'!$G$3:$G$602,"&lt;="&amp;INT(Parâmetros!$C$4)))</f>
        <v/>
      </c>
      <c r="F31" s="29" t="str">
        <f aca="false">IF($A31="","",COUNTIFS('Cronograma (calculado)'!$C$3:$C$602,$A31,'Cronograma (calculado)'!$G$3:$G$602,"&lt;="&amp;INT(Parâmetros!$C$4),'Cronograma (calculado)'!$J$3:$J$602,"Realizada"))</f>
        <v/>
      </c>
      <c r="G31" s="44" t="str">
        <f aca="false">IF($A31="","",COUNTIFS('Cronograma (calculado)'!$C$3:$C$602,$A31,'Cronograma (calculado)'!$J$3:$J$602,"Atrasada"))</f>
        <v/>
      </c>
      <c r="H31" s="29" t="str">
        <f aca="false">IF($A31="","",COUNTIFS('Cronograma (calculado)'!$C$3:$C$602,$A31,'Cronograma (calculado)'!$J$3:$J$602,"Atrasada")+COUNTIFS('Cronograma (calculado)'!$C$3:$C$602,$A31,'Cronograma (calculado)'!$J$3:$J$602,"Agendada"))</f>
        <v/>
      </c>
      <c r="I31" s="45" t="str">
        <f aca="false">IF($A31="","",IF($E31=0,"",$F31/$E31*100))</f>
        <v/>
      </c>
      <c r="J31" s="28" t="str">
        <f aca="false">IF($A31="","",IF($H31=0,"Nenhuma agendada",100000-SUMPRODUCT(MAX(('Cronograma (calculado)'!$C$3:$C$602=$A31)*('Cronograma (calculado)'!$J$3:$J$602&lt;&gt;"Realizada")*('Cronograma (calculado)'!$J$3:$J$602&lt;&gt;"")*(100000-'Cronograma (calculado)'!$G$3:$G$602)))))</f>
        <v/>
      </c>
    </row>
    <row r="32" customFormat="false" ht="18" hidden="false" customHeight="true" outlineLevel="0" collapsed="false">
      <c r="A32" s="43" t="str">
        <f aca="false">IF(Ativos!$A32="","",Ativos!$A32)</f>
        <v/>
      </c>
      <c r="B32" s="23" t="str">
        <f aca="false">IF($A32="","",Ativos!$B32)</f>
        <v/>
      </c>
      <c r="C32" s="23" t="str">
        <f aca="false">IF($A32="","",Ativos!$C32)</f>
        <v/>
      </c>
      <c r="D32" s="29" t="str">
        <f aca="false">IF($A32="","",COUNTIF(Planos!$B$3:$B$27,$A32))</f>
        <v/>
      </c>
      <c r="E32" s="29" t="str">
        <f aca="false">IF($A32="","",COUNTIFS('Cronograma (calculado)'!$C$3:$C$602,$A32,'Cronograma (calculado)'!$G$3:$G$602,"&lt;="&amp;INT(Parâmetros!$C$4)))</f>
        <v/>
      </c>
      <c r="F32" s="29" t="str">
        <f aca="false">IF($A32="","",COUNTIFS('Cronograma (calculado)'!$C$3:$C$602,$A32,'Cronograma (calculado)'!$G$3:$G$602,"&lt;="&amp;INT(Parâmetros!$C$4),'Cronograma (calculado)'!$J$3:$J$602,"Realizada"))</f>
        <v/>
      </c>
      <c r="G32" s="44" t="str">
        <f aca="false">IF($A32="","",COUNTIFS('Cronograma (calculado)'!$C$3:$C$602,$A32,'Cronograma (calculado)'!$J$3:$J$602,"Atrasada"))</f>
        <v/>
      </c>
      <c r="H32" s="29" t="str">
        <f aca="false">IF($A32="","",COUNTIFS('Cronograma (calculado)'!$C$3:$C$602,$A32,'Cronograma (calculado)'!$J$3:$J$602,"Atrasada")+COUNTIFS('Cronograma (calculado)'!$C$3:$C$602,$A32,'Cronograma (calculado)'!$J$3:$J$602,"Agendada"))</f>
        <v/>
      </c>
      <c r="I32" s="45" t="str">
        <f aca="false">IF($A32="","",IF($E32=0,"",$F32/$E32*100))</f>
        <v/>
      </c>
      <c r="J32" s="28" t="str">
        <f aca="false">IF($A32="","",IF($H32=0,"Nenhuma agendada",100000-SUMPRODUCT(MAX(('Cronograma (calculado)'!$C$3:$C$602=$A32)*('Cronograma (calculado)'!$J$3:$J$602&lt;&gt;"Realizada")*('Cronograma (calculado)'!$J$3:$J$602&lt;&gt;"")*(100000-'Cronograma (calculado)'!$G$3:$G$602)))))</f>
        <v/>
      </c>
    </row>
    <row r="33" customFormat="false" ht="18" hidden="false" customHeight="true" outlineLevel="0" collapsed="false">
      <c r="A33" s="43" t="str">
        <f aca="false">IF(Ativos!$A33="","",Ativos!$A33)</f>
        <v/>
      </c>
      <c r="B33" s="23" t="str">
        <f aca="false">IF($A33="","",Ativos!$B33)</f>
        <v/>
      </c>
      <c r="C33" s="23" t="str">
        <f aca="false">IF($A33="","",Ativos!$C33)</f>
        <v/>
      </c>
      <c r="D33" s="29" t="str">
        <f aca="false">IF($A33="","",COUNTIF(Planos!$B$3:$B$27,$A33))</f>
        <v/>
      </c>
      <c r="E33" s="29" t="str">
        <f aca="false">IF($A33="","",COUNTIFS('Cronograma (calculado)'!$C$3:$C$602,$A33,'Cronograma (calculado)'!$G$3:$G$602,"&lt;="&amp;INT(Parâmetros!$C$4)))</f>
        <v/>
      </c>
      <c r="F33" s="29" t="str">
        <f aca="false">IF($A33="","",COUNTIFS('Cronograma (calculado)'!$C$3:$C$602,$A33,'Cronograma (calculado)'!$G$3:$G$602,"&lt;="&amp;INT(Parâmetros!$C$4),'Cronograma (calculado)'!$J$3:$J$602,"Realizada"))</f>
        <v/>
      </c>
      <c r="G33" s="44" t="str">
        <f aca="false">IF($A33="","",COUNTIFS('Cronograma (calculado)'!$C$3:$C$602,$A33,'Cronograma (calculado)'!$J$3:$J$602,"Atrasada"))</f>
        <v/>
      </c>
      <c r="H33" s="29" t="str">
        <f aca="false">IF($A33="","",COUNTIFS('Cronograma (calculado)'!$C$3:$C$602,$A33,'Cronograma (calculado)'!$J$3:$J$602,"Atrasada")+COUNTIFS('Cronograma (calculado)'!$C$3:$C$602,$A33,'Cronograma (calculado)'!$J$3:$J$602,"Agendada"))</f>
        <v/>
      </c>
      <c r="I33" s="45" t="str">
        <f aca="false">IF($A33="","",IF($E33=0,"",$F33/$E33*100))</f>
        <v/>
      </c>
      <c r="J33" s="28" t="str">
        <f aca="false">IF($A33="","",IF($H33=0,"Nenhuma agendada",100000-SUMPRODUCT(MAX(('Cronograma (calculado)'!$C$3:$C$602=$A33)*('Cronograma (calculado)'!$J$3:$J$602&lt;&gt;"Realizada")*('Cronograma (calculado)'!$J$3:$J$602&lt;&gt;"")*(100000-'Cronograma (calculado)'!$G$3:$G$602)))))</f>
        <v/>
      </c>
    </row>
    <row r="34" customFormat="false" ht="18" hidden="false" customHeight="true" outlineLevel="0" collapsed="false">
      <c r="A34" s="43" t="str">
        <f aca="false">IF(Ativos!$A34="","",Ativos!$A34)</f>
        <v/>
      </c>
      <c r="B34" s="23" t="str">
        <f aca="false">IF($A34="","",Ativos!$B34)</f>
        <v/>
      </c>
      <c r="C34" s="23" t="str">
        <f aca="false">IF($A34="","",Ativos!$C34)</f>
        <v/>
      </c>
      <c r="D34" s="29" t="str">
        <f aca="false">IF($A34="","",COUNTIF(Planos!$B$3:$B$27,$A34))</f>
        <v/>
      </c>
      <c r="E34" s="29" t="str">
        <f aca="false">IF($A34="","",COUNTIFS('Cronograma (calculado)'!$C$3:$C$602,$A34,'Cronograma (calculado)'!$G$3:$G$602,"&lt;="&amp;INT(Parâmetros!$C$4)))</f>
        <v/>
      </c>
      <c r="F34" s="29" t="str">
        <f aca="false">IF($A34="","",COUNTIFS('Cronograma (calculado)'!$C$3:$C$602,$A34,'Cronograma (calculado)'!$G$3:$G$602,"&lt;="&amp;INT(Parâmetros!$C$4),'Cronograma (calculado)'!$J$3:$J$602,"Realizada"))</f>
        <v/>
      </c>
      <c r="G34" s="44" t="str">
        <f aca="false">IF($A34="","",COUNTIFS('Cronograma (calculado)'!$C$3:$C$602,$A34,'Cronograma (calculado)'!$J$3:$J$602,"Atrasada"))</f>
        <v/>
      </c>
      <c r="H34" s="29" t="str">
        <f aca="false">IF($A34="","",COUNTIFS('Cronograma (calculado)'!$C$3:$C$602,$A34,'Cronograma (calculado)'!$J$3:$J$602,"Atrasada")+COUNTIFS('Cronograma (calculado)'!$C$3:$C$602,$A34,'Cronograma (calculado)'!$J$3:$J$602,"Agendada"))</f>
        <v/>
      </c>
      <c r="I34" s="45" t="str">
        <f aca="false">IF($A34="","",IF($E34=0,"",$F34/$E34*100))</f>
        <v/>
      </c>
      <c r="J34" s="28" t="str">
        <f aca="false">IF($A34="","",IF($H34=0,"Nenhuma agendada",100000-SUMPRODUCT(MAX(('Cronograma (calculado)'!$C$3:$C$602=$A34)*('Cronograma (calculado)'!$J$3:$J$602&lt;&gt;"Realizada")*('Cronograma (calculado)'!$J$3:$J$602&lt;&gt;"")*(100000-'Cronograma (calculado)'!$G$3:$G$602)))))</f>
        <v/>
      </c>
    </row>
    <row r="35" customFormat="false" ht="18" hidden="false" customHeight="true" outlineLevel="0" collapsed="false">
      <c r="A35" s="43" t="str">
        <f aca="false">IF(Ativos!$A35="","",Ativos!$A35)</f>
        <v/>
      </c>
      <c r="B35" s="23" t="str">
        <f aca="false">IF($A35="","",Ativos!$B35)</f>
        <v/>
      </c>
      <c r="C35" s="23" t="str">
        <f aca="false">IF($A35="","",Ativos!$C35)</f>
        <v/>
      </c>
      <c r="D35" s="29" t="str">
        <f aca="false">IF($A35="","",COUNTIF(Planos!$B$3:$B$27,$A35))</f>
        <v/>
      </c>
      <c r="E35" s="29" t="str">
        <f aca="false">IF($A35="","",COUNTIFS('Cronograma (calculado)'!$C$3:$C$602,$A35,'Cronograma (calculado)'!$G$3:$G$602,"&lt;="&amp;INT(Parâmetros!$C$4)))</f>
        <v/>
      </c>
      <c r="F35" s="29" t="str">
        <f aca="false">IF($A35="","",COUNTIFS('Cronograma (calculado)'!$C$3:$C$602,$A35,'Cronograma (calculado)'!$G$3:$G$602,"&lt;="&amp;INT(Parâmetros!$C$4),'Cronograma (calculado)'!$J$3:$J$602,"Realizada"))</f>
        <v/>
      </c>
      <c r="G35" s="44" t="str">
        <f aca="false">IF($A35="","",COUNTIFS('Cronograma (calculado)'!$C$3:$C$602,$A35,'Cronograma (calculado)'!$J$3:$J$602,"Atrasada"))</f>
        <v/>
      </c>
      <c r="H35" s="29" t="str">
        <f aca="false">IF($A35="","",COUNTIFS('Cronograma (calculado)'!$C$3:$C$602,$A35,'Cronograma (calculado)'!$J$3:$J$602,"Atrasada")+COUNTIFS('Cronograma (calculado)'!$C$3:$C$602,$A35,'Cronograma (calculado)'!$J$3:$J$602,"Agendada"))</f>
        <v/>
      </c>
      <c r="I35" s="45" t="str">
        <f aca="false">IF($A35="","",IF($E35=0,"",$F35/$E35*100))</f>
        <v/>
      </c>
      <c r="J35" s="28" t="str">
        <f aca="false">IF($A35="","",IF($H35=0,"Nenhuma agendada",100000-SUMPRODUCT(MAX(('Cronograma (calculado)'!$C$3:$C$602=$A35)*('Cronograma (calculado)'!$J$3:$J$602&lt;&gt;"Realizada")*('Cronograma (calculado)'!$J$3:$J$602&lt;&gt;"")*(100000-'Cronograma (calculado)'!$G$3:$G$602)))))</f>
        <v/>
      </c>
    </row>
    <row r="36" customFormat="false" ht="18" hidden="false" customHeight="true" outlineLevel="0" collapsed="false">
      <c r="A36" s="43" t="str">
        <f aca="false">IF(Ativos!$A36="","",Ativos!$A36)</f>
        <v/>
      </c>
      <c r="B36" s="23" t="str">
        <f aca="false">IF($A36="","",Ativos!$B36)</f>
        <v/>
      </c>
      <c r="C36" s="23" t="str">
        <f aca="false">IF($A36="","",Ativos!$C36)</f>
        <v/>
      </c>
      <c r="D36" s="29" t="str">
        <f aca="false">IF($A36="","",COUNTIF(Planos!$B$3:$B$27,$A36))</f>
        <v/>
      </c>
      <c r="E36" s="29" t="str">
        <f aca="false">IF($A36="","",COUNTIFS('Cronograma (calculado)'!$C$3:$C$602,$A36,'Cronograma (calculado)'!$G$3:$G$602,"&lt;="&amp;INT(Parâmetros!$C$4)))</f>
        <v/>
      </c>
      <c r="F36" s="29" t="str">
        <f aca="false">IF($A36="","",COUNTIFS('Cronograma (calculado)'!$C$3:$C$602,$A36,'Cronograma (calculado)'!$G$3:$G$602,"&lt;="&amp;INT(Parâmetros!$C$4),'Cronograma (calculado)'!$J$3:$J$602,"Realizada"))</f>
        <v/>
      </c>
      <c r="G36" s="44" t="str">
        <f aca="false">IF($A36="","",COUNTIFS('Cronograma (calculado)'!$C$3:$C$602,$A36,'Cronograma (calculado)'!$J$3:$J$602,"Atrasada"))</f>
        <v/>
      </c>
      <c r="H36" s="29" t="str">
        <f aca="false">IF($A36="","",COUNTIFS('Cronograma (calculado)'!$C$3:$C$602,$A36,'Cronograma (calculado)'!$J$3:$J$602,"Atrasada")+COUNTIFS('Cronograma (calculado)'!$C$3:$C$602,$A36,'Cronograma (calculado)'!$J$3:$J$602,"Agendada"))</f>
        <v/>
      </c>
      <c r="I36" s="45" t="str">
        <f aca="false">IF($A36="","",IF($E36=0,"",$F36/$E36*100))</f>
        <v/>
      </c>
      <c r="J36" s="28" t="str">
        <f aca="false">IF($A36="","",IF($H36=0,"Nenhuma agendada",100000-SUMPRODUCT(MAX(('Cronograma (calculado)'!$C$3:$C$602=$A36)*('Cronograma (calculado)'!$J$3:$J$602&lt;&gt;"Realizada")*('Cronograma (calculado)'!$J$3:$J$602&lt;&gt;"")*(100000-'Cronograma (calculado)'!$G$3:$G$602)))))</f>
        <v/>
      </c>
    </row>
    <row r="37" customFormat="false" ht="18" hidden="false" customHeight="true" outlineLevel="0" collapsed="false">
      <c r="A37" s="43" t="str">
        <f aca="false">IF(Ativos!$A37="","",Ativos!$A37)</f>
        <v/>
      </c>
      <c r="B37" s="23" t="str">
        <f aca="false">IF($A37="","",Ativos!$B37)</f>
        <v/>
      </c>
      <c r="C37" s="23" t="str">
        <f aca="false">IF($A37="","",Ativos!$C37)</f>
        <v/>
      </c>
      <c r="D37" s="29" t="str">
        <f aca="false">IF($A37="","",COUNTIF(Planos!$B$3:$B$27,$A37))</f>
        <v/>
      </c>
      <c r="E37" s="29" t="str">
        <f aca="false">IF($A37="","",COUNTIFS('Cronograma (calculado)'!$C$3:$C$602,$A37,'Cronograma (calculado)'!$G$3:$G$602,"&lt;="&amp;INT(Parâmetros!$C$4)))</f>
        <v/>
      </c>
      <c r="F37" s="29" t="str">
        <f aca="false">IF($A37="","",COUNTIFS('Cronograma (calculado)'!$C$3:$C$602,$A37,'Cronograma (calculado)'!$G$3:$G$602,"&lt;="&amp;INT(Parâmetros!$C$4),'Cronograma (calculado)'!$J$3:$J$602,"Realizada"))</f>
        <v/>
      </c>
      <c r="G37" s="44" t="str">
        <f aca="false">IF($A37="","",COUNTIFS('Cronograma (calculado)'!$C$3:$C$602,$A37,'Cronograma (calculado)'!$J$3:$J$602,"Atrasada"))</f>
        <v/>
      </c>
      <c r="H37" s="29" t="str">
        <f aca="false">IF($A37="","",COUNTIFS('Cronograma (calculado)'!$C$3:$C$602,$A37,'Cronograma (calculado)'!$J$3:$J$602,"Atrasada")+COUNTIFS('Cronograma (calculado)'!$C$3:$C$602,$A37,'Cronograma (calculado)'!$J$3:$J$602,"Agendada"))</f>
        <v/>
      </c>
      <c r="I37" s="45" t="str">
        <f aca="false">IF($A37="","",IF($E37=0,"",$F37/$E37*100))</f>
        <v/>
      </c>
      <c r="J37" s="28" t="str">
        <f aca="false">IF($A37="","",IF($H37=0,"Nenhuma agendada",100000-SUMPRODUCT(MAX(('Cronograma (calculado)'!$C$3:$C$602=$A37)*('Cronograma (calculado)'!$J$3:$J$602&lt;&gt;"Realizada")*('Cronograma (calculado)'!$J$3:$J$602&lt;&gt;"")*(100000-'Cronograma (calculado)'!$G$3:$G$602)))))</f>
        <v/>
      </c>
    </row>
    <row r="38" customFormat="false" ht="18" hidden="false" customHeight="true" outlineLevel="0" collapsed="false">
      <c r="A38" s="43" t="str">
        <f aca="false">IF(Ativos!$A38="","",Ativos!$A38)</f>
        <v/>
      </c>
      <c r="B38" s="23" t="str">
        <f aca="false">IF($A38="","",Ativos!$B38)</f>
        <v/>
      </c>
      <c r="C38" s="23" t="str">
        <f aca="false">IF($A38="","",Ativos!$C38)</f>
        <v/>
      </c>
      <c r="D38" s="29" t="str">
        <f aca="false">IF($A38="","",COUNTIF(Planos!$B$3:$B$27,$A38))</f>
        <v/>
      </c>
      <c r="E38" s="29" t="str">
        <f aca="false">IF($A38="","",COUNTIFS('Cronograma (calculado)'!$C$3:$C$602,$A38,'Cronograma (calculado)'!$G$3:$G$602,"&lt;="&amp;INT(Parâmetros!$C$4)))</f>
        <v/>
      </c>
      <c r="F38" s="29" t="str">
        <f aca="false">IF($A38="","",COUNTIFS('Cronograma (calculado)'!$C$3:$C$602,$A38,'Cronograma (calculado)'!$G$3:$G$602,"&lt;="&amp;INT(Parâmetros!$C$4),'Cronograma (calculado)'!$J$3:$J$602,"Realizada"))</f>
        <v/>
      </c>
      <c r="G38" s="44" t="str">
        <f aca="false">IF($A38="","",COUNTIFS('Cronograma (calculado)'!$C$3:$C$602,$A38,'Cronograma (calculado)'!$J$3:$J$602,"Atrasada"))</f>
        <v/>
      </c>
      <c r="H38" s="29" t="str">
        <f aca="false">IF($A38="","",COUNTIFS('Cronograma (calculado)'!$C$3:$C$602,$A38,'Cronograma (calculado)'!$J$3:$J$602,"Atrasada")+COUNTIFS('Cronograma (calculado)'!$C$3:$C$602,$A38,'Cronograma (calculado)'!$J$3:$J$602,"Agendada"))</f>
        <v/>
      </c>
      <c r="I38" s="45" t="str">
        <f aca="false">IF($A38="","",IF($E38=0,"",$F38/$E38*100))</f>
        <v/>
      </c>
      <c r="J38" s="28" t="str">
        <f aca="false">IF($A38="","",IF($H38=0,"Nenhuma agendada",100000-SUMPRODUCT(MAX(('Cronograma (calculado)'!$C$3:$C$602=$A38)*('Cronograma (calculado)'!$J$3:$J$602&lt;&gt;"Realizada")*('Cronograma (calculado)'!$J$3:$J$602&lt;&gt;"")*(100000-'Cronograma (calculado)'!$G$3:$G$602)))))</f>
        <v/>
      </c>
    </row>
    <row r="39" customFormat="false" ht="18" hidden="false" customHeight="true" outlineLevel="0" collapsed="false">
      <c r="A39" s="43" t="str">
        <f aca="false">IF(Ativos!$A39="","",Ativos!$A39)</f>
        <v/>
      </c>
      <c r="B39" s="23" t="str">
        <f aca="false">IF($A39="","",Ativos!$B39)</f>
        <v/>
      </c>
      <c r="C39" s="23" t="str">
        <f aca="false">IF($A39="","",Ativos!$C39)</f>
        <v/>
      </c>
      <c r="D39" s="29" t="str">
        <f aca="false">IF($A39="","",COUNTIF(Planos!$B$3:$B$27,$A39))</f>
        <v/>
      </c>
      <c r="E39" s="29" t="str">
        <f aca="false">IF($A39="","",COUNTIFS('Cronograma (calculado)'!$C$3:$C$602,$A39,'Cronograma (calculado)'!$G$3:$G$602,"&lt;="&amp;INT(Parâmetros!$C$4)))</f>
        <v/>
      </c>
      <c r="F39" s="29" t="str">
        <f aca="false">IF($A39="","",COUNTIFS('Cronograma (calculado)'!$C$3:$C$602,$A39,'Cronograma (calculado)'!$G$3:$G$602,"&lt;="&amp;INT(Parâmetros!$C$4),'Cronograma (calculado)'!$J$3:$J$602,"Realizada"))</f>
        <v/>
      </c>
      <c r="G39" s="44" t="str">
        <f aca="false">IF($A39="","",COUNTIFS('Cronograma (calculado)'!$C$3:$C$602,$A39,'Cronograma (calculado)'!$J$3:$J$602,"Atrasada"))</f>
        <v/>
      </c>
      <c r="H39" s="29" t="str">
        <f aca="false">IF($A39="","",COUNTIFS('Cronograma (calculado)'!$C$3:$C$602,$A39,'Cronograma (calculado)'!$J$3:$J$602,"Atrasada")+COUNTIFS('Cronograma (calculado)'!$C$3:$C$602,$A39,'Cronograma (calculado)'!$J$3:$J$602,"Agendada"))</f>
        <v/>
      </c>
      <c r="I39" s="45" t="str">
        <f aca="false">IF($A39="","",IF($E39=0,"",$F39/$E39*100))</f>
        <v/>
      </c>
      <c r="J39" s="28" t="str">
        <f aca="false">IF($A39="","",IF($H39=0,"Nenhuma agendada",100000-SUMPRODUCT(MAX(('Cronograma (calculado)'!$C$3:$C$602=$A39)*('Cronograma (calculado)'!$J$3:$J$602&lt;&gt;"Realizada")*('Cronograma (calculado)'!$J$3:$J$602&lt;&gt;"")*(100000-'Cronograma (calculado)'!$G$3:$G$602)))))</f>
        <v/>
      </c>
    </row>
    <row r="40" customFormat="false" ht="18" hidden="false" customHeight="true" outlineLevel="0" collapsed="false">
      <c r="A40" s="43" t="str">
        <f aca="false">IF(Ativos!$A40="","",Ativos!$A40)</f>
        <v/>
      </c>
      <c r="B40" s="23" t="str">
        <f aca="false">IF($A40="","",Ativos!$B40)</f>
        <v/>
      </c>
      <c r="C40" s="23" t="str">
        <f aca="false">IF($A40="","",Ativos!$C40)</f>
        <v/>
      </c>
      <c r="D40" s="29" t="str">
        <f aca="false">IF($A40="","",COUNTIF(Planos!$B$3:$B$27,$A40))</f>
        <v/>
      </c>
      <c r="E40" s="29" t="str">
        <f aca="false">IF($A40="","",COUNTIFS('Cronograma (calculado)'!$C$3:$C$602,$A40,'Cronograma (calculado)'!$G$3:$G$602,"&lt;="&amp;INT(Parâmetros!$C$4)))</f>
        <v/>
      </c>
      <c r="F40" s="29" t="str">
        <f aca="false">IF($A40="","",COUNTIFS('Cronograma (calculado)'!$C$3:$C$602,$A40,'Cronograma (calculado)'!$G$3:$G$602,"&lt;="&amp;INT(Parâmetros!$C$4),'Cronograma (calculado)'!$J$3:$J$602,"Realizada"))</f>
        <v/>
      </c>
      <c r="G40" s="44" t="str">
        <f aca="false">IF($A40="","",COUNTIFS('Cronograma (calculado)'!$C$3:$C$602,$A40,'Cronograma (calculado)'!$J$3:$J$602,"Atrasada"))</f>
        <v/>
      </c>
      <c r="H40" s="29" t="str">
        <f aca="false">IF($A40="","",COUNTIFS('Cronograma (calculado)'!$C$3:$C$602,$A40,'Cronograma (calculado)'!$J$3:$J$602,"Atrasada")+COUNTIFS('Cronograma (calculado)'!$C$3:$C$602,$A40,'Cronograma (calculado)'!$J$3:$J$602,"Agendada"))</f>
        <v/>
      </c>
      <c r="I40" s="45" t="str">
        <f aca="false">IF($A40="","",IF($E40=0,"",$F40/$E40*100))</f>
        <v/>
      </c>
      <c r="J40" s="28" t="str">
        <f aca="false">IF($A40="","",IF($H40=0,"Nenhuma agendada",100000-SUMPRODUCT(MAX(('Cronograma (calculado)'!$C$3:$C$602=$A40)*('Cronograma (calculado)'!$J$3:$J$602&lt;&gt;"Realizada")*('Cronograma (calculado)'!$J$3:$J$602&lt;&gt;"")*(100000-'Cronograma (calculado)'!$G$3:$G$602)))))</f>
        <v/>
      </c>
    </row>
    <row r="41" customFormat="false" ht="18" hidden="false" customHeight="true" outlineLevel="0" collapsed="false">
      <c r="A41" s="43" t="str">
        <f aca="false">IF(Ativos!$A41="","",Ativos!$A41)</f>
        <v/>
      </c>
      <c r="B41" s="23" t="str">
        <f aca="false">IF($A41="","",Ativos!$B41)</f>
        <v/>
      </c>
      <c r="C41" s="23" t="str">
        <f aca="false">IF($A41="","",Ativos!$C41)</f>
        <v/>
      </c>
      <c r="D41" s="29" t="str">
        <f aca="false">IF($A41="","",COUNTIF(Planos!$B$3:$B$27,$A41))</f>
        <v/>
      </c>
      <c r="E41" s="29" t="str">
        <f aca="false">IF($A41="","",COUNTIFS('Cronograma (calculado)'!$C$3:$C$602,$A41,'Cronograma (calculado)'!$G$3:$G$602,"&lt;="&amp;INT(Parâmetros!$C$4)))</f>
        <v/>
      </c>
      <c r="F41" s="29" t="str">
        <f aca="false">IF($A41="","",COUNTIFS('Cronograma (calculado)'!$C$3:$C$602,$A41,'Cronograma (calculado)'!$G$3:$G$602,"&lt;="&amp;INT(Parâmetros!$C$4),'Cronograma (calculado)'!$J$3:$J$602,"Realizada"))</f>
        <v/>
      </c>
      <c r="G41" s="44" t="str">
        <f aca="false">IF($A41="","",COUNTIFS('Cronograma (calculado)'!$C$3:$C$602,$A41,'Cronograma (calculado)'!$J$3:$J$602,"Atrasada"))</f>
        <v/>
      </c>
      <c r="H41" s="29" t="str">
        <f aca="false">IF($A41="","",COUNTIFS('Cronograma (calculado)'!$C$3:$C$602,$A41,'Cronograma (calculado)'!$J$3:$J$602,"Atrasada")+COUNTIFS('Cronograma (calculado)'!$C$3:$C$602,$A41,'Cronograma (calculado)'!$J$3:$J$602,"Agendada"))</f>
        <v/>
      </c>
      <c r="I41" s="45" t="str">
        <f aca="false">IF($A41="","",IF($E41=0,"",$F41/$E41*100))</f>
        <v/>
      </c>
      <c r="J41" s="28" t="str">
        <f aca="false">IF($A41="","",IF($H41=0,"Nenhuma agendada",100000-SUMPRODUCT(MAX(('Cronograma (calculado)'!$C$3:$C$602=$A41)*('Cronograma (calculado)'!$J$3:$J$602&lt;&gt;"Realizada")*('Cronograma (calculado)'!$J$3:$J$602&lt;&gt;"")*(100000-'Cronograma (calculado)'!$G$3:$G$602)))))</f>
        <v/>
      </c>
    </row>
    <row r="42" customFormat="false" ht="18" hidden="false" customHeight="true" outlineLevel="0" collapsed="false">
      <c r="A42" s="43" t="str">
        <f aca="false">IF(Ativos!$A42="","",Ativos!$A42)</f>
        <v/>
      </c>
      <c r="B42" s="23" t="str">
        <f aca="false">IF($A42="","",Ativos!$B42)</f>
        <v/>
      </c>
      <c r="C42" s="23" t="str">
        <f aca="false">IF($A42="","",Ativos!$C42)</f>
        <v/>
      </c>
      <c r="D42" s="29" t="str">
        <f aca="false">IF($A42="","",COUNTIF(Planos!$B$3:$B$27,$A42))</f>
        <v/>
      </c>
      <c r="E42" s="29" t="str">
        <f aca="false">IF($A42="","",COUNTIFS('Cronograma (calculado)'!$C$3:$C$602,$A42,'Cronograma (calculado)'!$G$3:$G$602,"&lt;="&amp;INT(Parâmetros!$C$4)))</f>
        <v/>
      </c>
      <c r="F42" s="29" t="str">
        <f aca="false">IF($A42="","",COUNTIFS('Cronograma (calculado)'!$C$3:$C$602,$A42,'Cronograma (calculado)'!$G$3:$G$602,"&lt;="&amp;INT(Parâmetros!$C$4),'Cronograma (calculado)'!$J$3:$J$602,"Realizada"))</f>
        <v/>
      </c>
      <c r="G42" s="44" t="str">
        <f aca="false">IF($A42="","",COUNTIFS('Cronograma (calculado)'!$C$3:$C$602,$A42,'Cronograma (calculado)'!$J$3:$J$602,"Atrasada"))</f>
        <v/>
      </c>
      <c r="H42" s="29" t="str">
        <f aca="false">IF($A42="","",COUNTIFS('Cronograma (calculado)'!$C$3:$C$602,$A42,'Cronograma (calculado)'!$J$3:$J$602,"Atrasada")+COUNTIFS('Cronograma (calculado)'!$C$3:$C$602,$A42,'Cronograma (calculado)'!$J$3:$J$602,"Agendada"))</f>
        <v/>
      </c>
      <c r="I42" s="45" t="str">
        <f aca="false">IF($A42="","",IF($E42=0,"",$F42/$E42*100))</f>
        <v/>
      </c>
      <c r="J42" s="28" t="str">
        <f aca="false">IF($A42="","",IF($H42=0,"Nenhuma agendada",100000-SUMPRODUCT(MAX(('Cronograma (calculado)'!$C$3:$C$602=$A42)*('Cronograma (calculado)'!$J$3:$J$602&lt;&gt;"Realizada")*('Cronograma (calculado)'!$J$3:$J$602&lt;&gt;"")*(100000-'Cronograma (calculado)'!$G$3:$G$602)))))</f>
        <v/>
      </c>
    </row>
  </sheetData>
  <sheetProtection sheet="true"/>
  <conditionalFormatting sqref="I3:I42">
    <cfRule type="cellIs" priority="2" operator="greaterThanOrEqual" aboveAverage="0" equalAverage="0" bottom="0" percent="0" rank="0" text="" dxfId="13">
      <formula>Parâmetros!$C$5</formula>
    </cfRule>
    <cfRule type="cellIs" priority="3" operator="greaterThanOrEqual" aboveAverage="0" equalAverage="0" bottom="0" percent="0" rank="0" text="" dxfId="16">
      <formula>Parâmetros!$C$6</formula>
    </cfRule>
    <cfRule type="cellIs" priority="4" operator="lessThan" aboveAverage="0" equalAverage="0" bottom="0" percent="0" rank="0" text="" dxfId="14">
      <formula>Parâmetros!$C$6</formula>
    </cfRule>
  </conditionalFormatting>
  <conditionalFormatting sqref="G3:G42">
    <cfRule type="cellIs" priority="5" operator="greaterThan" aboveAverage="0" equalAverage="0" bottom="0" percent="0" rank="0" text="" dxfId="14">
      <formula>0</formula>
    </cfRule>
  </conditionalFormatting>
  <printOptions headings="false" gridLines="false" gridLinesSet="true" horizontalCentered="true" verticalCentered="false"/>
  <pageMargins left="0.75" right="0.75" top="1" bottom="1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&amp;L&amp;8 Cronograma de Manutenção Preventiva · Andonize&amp;R&amp;8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F38C4"/>
    <pageSetUpPr fitToPage="true"/>
  </sheetPr>
  <dimension ref="B1:R7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4" min="2" style="0" width="11"/>
    <col collapsed="false" customWidth="true" hidden="false" outlineLevel="0" max="5" min="5" style="0" width="3"/>
    <col collapsed="false" customWidth="true" hidden="false" outlineLevel="0" max="8" min="6" style="0" width="11"/>
    <col collapsed="false" customWidth="true" hidden="false" outlineLevel="0" max="9" min="9" style="0" width="3"/>
    <col collapsed="false" customWidth="true" hidden="false" outlineLevel="0" max="12" min="10" style="0" width="11"/>
    <col collapsed="false" customWidth="true" hidden="false" outlineLevel="0" max="13" min="13" style="0" width="3"/>
    <col collapsed="false" customWidth="true" hidden="false" outlineLevel="0" max="16" min="14" style="0" width="11"/>
    <col collapsed="false" customWidth="true" hidden="true" outlineLevel="0" max="18" min="18" style="0" width="13"/>
  </cols>
  <sheetData>
    <row r="1" customFormat="false" ht="15" hidden="false" customHeight="false" outlineLevel="0" collapsed="false">
      <c r="R1" s="32" t="s">
        <v>139</v>
      </c>
    </row>
    <row r="2" customFormat="false" ht="24.45" hidden="false" customHeight="false" outlineLevel="0" collapsed="false">
      <c r="B2" s="46" t="s">
        <v>140</v>
      </c>
    </row>
    <row r="3" customFormat="false" ht="15" hidden="false" customHeight="false" outlineLevel="0" collapsed="false">
      <c r="B3" s="21" t="str">
        <f aca="false">CONCATENATE("Aderência medida sobre o que já venceu  ·  atualizado em ",TEXT(Parâmetros!$C$4,"dd/mm/yyyy hh:mm"))</f>
        <v>Aderência medida sobre o que já venceu  ·  atualizado em 30/07/2026 22:44</v>
      </c>
      <c r="R3" s="47" t="n">
        <f aca="false">IF('Resumo por ativo'!$I3="","",'Resumo por ativo'!$I3+ROW()/1000000)</f>
        <v>85.7142887142857</v>
      </c>
    </row>
    <row r="4" customFormat="false" ht="15" hidden="false" customHeight="false" outlineLevel="0" collapsed="false">
      <c r="R4" s="0" t="n">
        <f aca="false">IF('Resumo por ativo'!$I4="","",'Resumo por ativo'!$I4+ROW()/1000000)</f>
        <v>50.000004</v>
      </c>
    </row>
    <row r="5" customFormat="false" ht="18" hidden="false" customHeight="true" outlineLevel="0" collapsed="false">
      <c r="B5" s="48" t="s">
        <v>141</v>
      </c>
      <c r="C5" s="48"/>
      <c r="D5" s="48"/>
      <c r="F5" s="48" t="s">
        <v>142</v>
      </c>
      <c r="G5" s="48"/>
      <c r="H5" s="48"/>
      <c r="J5" s="49" t="s">
        <v>143</v>
      </c>
      <c r="K5" s="49"/>
      <c r="L5" s="49"/>
      <c r="N5" s="49" t="s">
        <v>144</v>
      </c>
      <c r="O5" s="49"/>
      <c r="P5" s="49"/>
      <c r="R5" s="47" t="n">
        <f aca="false">IF('Resumo por ativo'!$I5="","",'Resumo por ativo'!$I5+ROW()/1000000)</f>
        <v>100.000005</v>
      </c>
    </row>
    <row r="6" customFormat="false" ht="31.5" hidden="false" customHeight="true" outlineLevel="0" collapsed="false">
      <c r="B6" s="50" t="n">
        <f aca="false">COUNTIF(Planos!$B$3:$B$27,"&lt;&gt;")</f>
        <v>11</v>
      </c>
      <c r="C6" s="50"/>
      <c r="D6" s="50"/>
      <c r="F6" s="50" t="n">
        <f aca="false">COUNTIF('Cronograma (calculado)'!$C$3:$C$602,"?*")</f>
        <v>172</v>
      </c>
      <c r="G6" s="50"/>
      <c r="H6" s="50"/>
      <c r="J6" s="51" t="n">
        <f aca="false">IF(SUM('Resumo por ativo'!$E$3:$E$42)=0,"—",SUM('Resumo por ativo'!$F$3:$F$42)/SUM('Resumo por ativo'!$E$3:$E$42)*100)</f>
        <v>82.1428571428571</v>
      </c>
      <c r="K6" s="51"/>
      <c r="L6" s="51"/>
      <c r="N6" s="51" t="n">
        <f aca="false">IF(COUNTIF('Cronograma (calculado)'!$J$3:$J$602,"Realizada")=0,"—",COUNTIF('Cronograma (calculado)'!$L$3:$L$602,"No prazo")/COUNTIF('Cronograma (calculado)'!$J$3:$J$602,"Realizada")*100)</f>
        <v>69.5652173913043</v>
      </c>
      <c r="O6" s="51"/>
      <c r="P6" s="51"/>
      <c r="R6" s="47" t="n">
        <f aca="false">IF('Resumo por ativo'!$I6="","",'Resumo por ativo'!$I6+ROW()/1000000)</f>
        <v>100.000006</v>
      </c>
    </row>
    <row r="7" customFormat="false" ht="15.75" hidden="false" customHeight="true" outlineLevel="0" collapsed="false">
      <c r="B7" s="52" t="s">
        <v>145</v>
      </c>
      <c r="C7" s="52"/>
      <c r="D7" s="52"/>
      <c r="F7" s="52" t="s">
        <v>146</v>
      </c>
      <c r="G7" s="52"/>
      <c r="H7" s="52"/>
      <c r="J7" s="53" t="s">
        <v>147</v>
      </c>
      <c r="K7" s="53"/>
      <c r="L7" s="53"/>
      <c r="N7" s="53" t="s">
        <v>148</v>
      </c>
      <c r="O7" s="53"/>
      <c r="P7" s="53"/>
      <c r="R7" s="47" t="n">
        <f aca="false">IF('Resumo por ativo'!$I7="","",'Resumo por ativo'!$I7+ROW()/1000000)</f>
        <v>100.000007</v>
      </c>
    </row>
    <row r="8" customFormat="false" ht="15" hidden="false" customHeight="false" outlineLevel="0" collapsed="false">
      <c r="R8" s="0" t="n">
        <f aca="false">IF('Resumo por ativo'!$I8="","",'Resumo por ativo'!$I8+ROW()/1000000)</f>
        <v>100.000008</v>
      </c>
    </row>
    <row r="9" customFormat="false" ht="18" hidden="false" customHeight="true" outlineLevel="0" collapsed="false">
      <c r="B9" s="54" t="s">
        <v>149</v>
      </c>
      <c r="C9" s="54"/>
      <c r="D9" s="54"/>
      <c r="F9" s="55" t="s">
        <v>150</v>
      </c>
      <c r="G9" s="55"/>
      <c r="H9" s="55"/>
      <c r="J9" s="55" t="s">
        <v>151</v>
      </c>
      <c r="K9" s="55"/>
      <c r="L9" s="55"/>
      <c r="N9" s="56" t="s">
        <v>152</v>
      </c>
      <c r="O9" s="56"/>
      <c r="P9" s="56"/>
      <c r="R9" s="47" t="n">
        <f aca="false">IF('Resumo por ativo'!$I9="","",'Resumo por ativo'!$I9+ROW()/1000000)</f>
        <v>66.6666756666667</v>
      </c>
    </row>
    <row r="10" customFormat="false" ht="31.5" hidden="false" customHeight="true" outlineLevel="0" collapsed="false">
      <c r="B10" s="57" t="n">
        <f aca="false">COUNTIF('Cronograma (calculado)'!$J$3:$J$602,"Atrasada")</f>
        <v>5</v>
      </c>
      <c r="C10" s="57"/>
      <c r="D10" s="57"/>
      <c r="F10" s="58" t="n">
        <f aca="false">IFERROR(AVERAGEIFS('Cronograma (calculado)'!$K$3:$K$602,'Cronograma (calculado)'!$J$3:$J$602,"Realizada",'Cronograma (calculado)'!$K$3:$K$602,"&gt;0"),0)</f>
        <v>4.85714285714286</v>
      </c>
      <c r="G10" s="58"/>
      <c r="H10" s="58"/>
      <c r="J10" s="59" t="n">
        <f aca="false">COUNTIFS('Cronograma (calculado)'!$J$3:$J$602,"Agendada",'Cronograma (calculado)'!$G$3:$G$602,"&gt;="&amp;INT(Parâmetros!$C$4),'Cronograma (calculado)'!$G$3:$G$602,"&lt;="&amp;INT(Parâmetros!$C$4)+Parâmetros!$C$7)</f>
        <v>10</v>
      </c>
      <c r="K10" s="59"/>
      <c r="L10" s="59"/>
      <c r="N10" s="60" t="n">
        <f aca="false">COUNTIF('Cronograma (calculado)'!$J$3:$J$602,"Realizada")</f>
        <v>23</v>
      </c>
      <c r="O10" s="60"/>
      <c r="P10" s="60"/>
      <c r="R10" s="47" t="n">
        <f aca="false">IF('Resumo por ativo'!$I10="","",'Resumo por ativo'!$I10+ROW()/1000000)</f>
        <v>1E-005</v>
      </c>
    </row>
    <row r="11" customFormat="false" ht="15.75" hidden="false" customHeight="true" outlineLevel="0" collapsed="false">
      <c r="B11" s="61" t="s">
        <v>153</v>
      </c>
      <c r="C11" s="61"/>
      <c r="D11" s="61"/>
      <c r="F11" s="62" t="s">
        <v>154</v>
      </c>
      <c r="G11" s="62"/>
      <c r="H11" s="62"/>
      <c r="J11" s="62" t="s">
        <v>155</v>
      </c>
      <c r="K11" s="62"/>
      <c r="L11" s="62"/>
      <c r="N11" s="63" t="s">
        <v>156</v>
      </c>
      <c r="O11" s="63"/>
      <c r="P11" s="63"/>
      <c r="R11" s="0" t="str">
        <f aca="false">IF('Resumo por ativo'!$I11="","",'Resumo por ativo'!$I11+ROW()/1000000)</f>
        <v/>
      </c>
    </row>
    <row r="12" customFormat="false" ht="15" hidden="false" customHeight="false" outlineLevel="0" collapsed="false">
      <c r="R12" s="0" t="str">
        <f aca="false">IF('Resumo por ativo'!$I12="","",'Resumo por ativo'!$I12+ROW()/1000000)</f>
        <v/>
      </c>
    </row>
    <row r="13" customFormat="false" ht="15" hidden="false" customHeight="false" outlineLevel="0" collapsed="false">
      <c r="R13" s="0" t="str">
        <f aca="false">IF('Resumo por ativo'!$I13="","",'Resumo por ativo'!$I13+ROW()/1000000)</f>
        <v/>
      </c>
    </row>
    <row r="14" customFormat="false" ht="15" hidden="false" customHeight="false" outlineLevel="0" collapsed="false">
      <c r="B14" s="18" t="s">
        <v>24</v>
      </c>
      <c r="R14" s="0" t="str">
        <f aca="false">IF('Resumo por ativo'!$I14="","",'Resumo por ativo'!$I14+ROW()/1000000)</f>
        <v/>
      </c>
    </row>
    <row r="15" customFormat="false" ht="15" hidden="false" customHeight="false" outlineLevel="0" collapsed="false">
      <c r="B15" s="64" t="s">
        <v>157</v>
      </c>
      <c r="C15" s="64" t="s">
        <v>121</v>
      </c>
      <c r="D15" s="64" t="s">
        <v>122</v>
      </c>
      <c r="E15" s="64"/>
      <c r="F15" s="64"/>
      <c r="G15" s="64"/>
      <c r="H15" s="64" t="s">
        <v>137</v>
      </c>
      <c r="R15" s="0" t="str">
        <f aca="false">IF('Resumo por ativo'!$I15="","",'Resumo por ativo'!$I15+ROW()/1000000)</f>
        <v/>
      </c>
    </row>
    <row r="16" customFormat="false" ht="15" hidden="false" customHeight="false" outlineLevel="0" collapsed="false">
      <c r="B16" s="29" t="n">
        <v>1</v>
      </c>
      <c r="C16" s="43" t="str">
        <f aca="false">IFERROR(INDEX('Resumo por ativo'!$A$3:$A$42,MATCH(SMALL($R$3:$R$42,1),$R$3:$R$42,0)),"")</f>
        <v>FR-001</v>
      </c>
      <c r="D16" s="23" t="str">
        <f aca="false">IFERROR(INDEX('Resumo por ativo'!$B$3:$B$42,MATCH(SMALL($R$3:$R$42,1),$R$3:$R$42,0)),"")</f>
        <v>Fresadora ferramenteira</v>
      </c>
      <c r="E16" s="23"/>
      <c r="F16" s="23"/>
      <c r="G16" s="23"/>
      <c r="H16" s="45" t="n">
        <f aca="false">IFERROR(INDEX('Resumo por ativo'!$I$3:$I$42,MATCH(SMALL($R$3:$R$42,1),$R$3:$R$42,0)),"")</f>
        <v>0</v>
      </c>
      <c r="R16" s="0" t="str">
        <f aca="false">IF('Resumo por ativo'!$I16="","",'Resumo por ativo'!$I16+ROW()/1000000)</f>
        <v/>
      </c>
    </row>
    <row r="17" customFormat="false" ht="15" hidden="false" customHeight="false" outlineLevel="0" collapsed="false">
      <c r="B17" s="29" t="n">
        <v>2</v>
      </c>
      <c r="C17" s="43" t="str">
        <f aca="false">IFERROR(INDEX('Resumo por ativo'!$A$3:$A$42,MATCH(SMALL($R$3:$R$42,2),$R$3:$R$42,0)),"")</f>
        <v>PH-001</v>
      </c>
      <c r="D17" s="23" t="str">
        <f aca="false">IFERROR(INDEX('Resumo por ativo'!$B$3:$B$42,MATCH(SMALL($R$3:$R$42,2),$R$3:$R$42,0)),"")</f>
        <v>Prensa hidráulica 100 t</v>
      </c>
      <c r="E17" s="23"/>
      <c r="F17" s="23"/>
      <c r="G17" s="23"/>
      <c r="H17" s="45" t="n">
        <f aca="false">IFERROR(INDEX('Resumo por ativo'!$I$3:$I$42,MATCH(SMALL($R$3:$R$42,2),$R$3:$R$42,0)),"")</f>
        <v>50</v>
      </c>
      <c r="R17" s="0" t="str">
        <f aca="false">IF('Resumo por ativo'!$I17="","",'Resumo por ativo'!$I17+ROW()/1000000)</f>
        <v/>
      </c>
    </row>
    <row r="18" customFormat="false" ht="15" hidden="false" customHeight="false" outlineLevel="0" collapsed="false">
      <c r="B18" s="29" t="n">
        <v>3</v>
      </c>
      <c r="C18" s="43" t="str">
        <f aca="false">IFERROR(INDEX('Resumo por ativo'!$A$3:$A$42,MATCH(SMALL($R$3:$R$42,3),$R$3:$R$42,0)),"")</f>
        <v>EM-001</v>
      </c>
      <c r="D18" s="23" t="str">
        <f aca="false">IFERROR(INDEX('Resumo por ativo'!$B$3:$B$42,MATCH(SMALL($R$3:$R$42,3),$R$3:$R$42,0)),"")</f>
        <v>Empilhadeira 2,5 t — GLP</v>
      </c>
      <c r="E18" s="23"/>
      <c r="F18" s="23"/>
      <c r="G18" s="23"/>
      <c r="H18" s="45" t="n">
        <f aca="false">IFERROR(INDEX('Resumo por ativo'!$I$3:$I$42,MATCH(SMALL($R$3:$R$42,3),$R$3:$R$42,0)),"")</f>
        <v>66.6666666666667</v>
      </c>
      <c r="R18" s="0" t="str">
        <f aca="false">IF('Resumo por ativo'!$I18="","",'Resumo por ativo'!$I18+ROW()/1000000)</f>
        <v/>
      </c>
    </row>
    <row r="19" customFormat="false" ht="15" hidden="false" customHeight="false" outlineLevel="0" collapsed="false">
      <c r="B19" s="29" t="n">
        <v>4</v>
      </c>
      <c r="C19" s="43" t="str">
        <f aca="false">IFERROR(INDEX('Resumo por ativo'!$A$3:$A$42,MATCH(SMALL($R$3:$R$42,4),$R$3:$R$42,0)),"")</f>
        <v>TM-001</v>
      </c>
      <c r="D19" s="23" t="str">
        <f aca="false">IFERROR(INDEX('Resumo por ativo'!$B$3:$B$42,MATCH(SMALL($R$3:$R$42,4),$R$3:$R$42,0)),"")</f>
        <v>Torno mecânico universal 1.000 mm</v>
      </c>
      <c r="E19" s="23"/>
      <c r="F19" s="23"/>
      <c r="G19" s="23"/>
      <c r="H19" s="45" t="n">
        <f aca="false">IFERROR(INDEX('Resumo por ativo'!$I$3:$I$42,MATCH(SMALL($R$3:$R$42,4),$R$3:$R$42,0)),"")</f>
        <v>85.7142857142857</v>
      </c>
      <c r="R19" s="0" t="str">
        <f aca="false">IF('Resumo por ativo'!$I19="","",'Resumo por ativo'!$I19+ROW()/1000000)</f>
        <v/>
      </c>
    </row>
    <row r="20" customFormat="false" ht="15" hidden="false" customHeight="false" outlineLevel="0" collapsed="false">
      <c r="B20" s="29" t="n">
        <v>5</v>
      </c>
      <c r="C20" s="43" t="str">
        <f aca="false">IFERROR(INDEX('Resumo por ativo'!$A$3:$A$42,MATCH(SMALL($R$3:$R$42,5),$R$3:$R$42,0)),"")</f>
        <v>ET-001</v>
      </c>
      <c r="D20" s="23" t="str">
        <f aca="false">IFERROR(INDEX('Resumo por ativo'!$B$3:$B$42,MATCH(SMALL($R$3:$R$42,5),$R$3:$R$42,0)),"")</f>
        <v>Esteira transportadora 12 m</v>
      </c>
      <c r="E20" s="23"/>
      <c r="F20" s="23"/>
      <c r="G20" s="23"/>
      <c r="H20" s="45" t="n">
        <f aca="false">IFERROR(INDEX('Resumo por ativo'!$I$3:$I$42,MATCH(SMALL($R$3:$R$42,5),$R$3:$R$42,0)),"")</f>
        <v>100</v>
      </c>
      <c r="R20" s="0" t="str">
        <f aca="false">IF('Resumo por ativo'!$I20="","",'Resumo por ativo'!$I20+ROW()/1000000)</f>
        <v/>
      </c>
    </row>
    <row r="21" customFormat="false" ht="15" hidden="false" customHeight="false" outlineLevel="0" collapsed="false">
      <c r="R21" s="0" t="str">
        <f aca="false">IF('Resumo por ativo'!$I21="","",'Resumo por ativo'!$I21+ROW()/1000000)</f>
        <v/>
      </c>
    </row>
    <row r="22" customFormat="false" ht="15" hidden="false" customHeight="false" outlineLevel="0" collapsed="false">
      <c r="R22" s="0" t="str">
        <f aca="false">IF('Resumo por ativo'!$I22="","",'Resumo por ativo'!$I22+ROW()/1000000)</f>
        <v/>
      </c>
    </row>
    <row r="23" customFormat="false" ht="15" hidden="false" customHeight="false" outlineLevel="0" collapsed="false">
      <c r="R23" s="0" t="str">
        <f aca="false">IF('Resumo por ativo'!$I23="","",'Resumo por ativo'!$I23+ROW()/1000000)</f>
        <v/>
      </c>
    </row>
    <row r="24" customFormat="false" ht="15" hidden="false" customHeight="false" outlineLevel="0" collapsed="false">
      <c r="R24" s="0" t="str">
        <f aca="false">IF('Resumo por ativo'!$I24="","",'Resumo por ativo'!$I24+ROW()/1000000)</f>
        <v/>
      </c>
    </row>
    <row r="25" customFormat="false" ht="15" hidden="false" customHeight="false" outlineLevel="0" collapsed="false">
      <c r="R25" s="0" t="str">
        <f aca="false">IF('Resumo por ativo'!$I25="","",'Resumo por ativo'!$I25+ROW()/1000000)</f>
        <v/>
      </c>
    </row>
    <row r="26" customFormat="false" ht="15" hidden="false" customHeight="false" outlineLevel="0" collapsed="false">
      <c r="R26" s="0" t="str">
        <f aca="false">IF('Resumo por ativo'!$I26="","",'Resumo por ativo'!$I26+ROW()/1000000)</f>
        <v/>
      </c>
    </row>
    <row r="27" customFormat="false" ht="15" hidden="false" customHeight="false" outlineLevel="0" collapsed="false">
      <c r="R27" s="0" t="str">
        <f aca="false">IF('Resumo por ativo'!$I27="","",'Resumo por ativo'!$I27+ROW()/1000000)</f>
        <v/>
      </c>
    </row>
    <row r="28" customFormat="false" ht="15" hidden="false" customHeight="false" outlineLevel="0" collapsed="false">
      <c r="R28" s="0" t="str">
        <f aca="false">IF('Resumo por ativo'!$I28="","",'Resumo por ativo'!$I28+ROW()/1000000)</f>
        <v/>
      </c>
    </row>
    <row r="29" customFormat="false" ht="15" hidden="false" customHeight="false" outlineLevel="0" collapsed="false">
      <c r="R29" s="0" t="str">
        <f aca="false">IF('Resumo por ativo'!$I29="","",'Resumo por ativo'!$I29+ROW()/1000000)</f>
        <v/>
      </c>
    </row>
    <row r="30" customFormat="false" ht="15" hidden="false" customHeight="false" outlineLevel="0" collapsed="false">
      <c r="R30" s="0" t="str">
        <f aca="false">IF('Resumo por ativo'!$I30="","",'Resumo por ativo'!$I30+ROW()/1000000)</f>
        <v/>
      </c>
    </row>
    <row r="31" customFormat="false" ht="15" hidden="false" customHeight="false" outlineLevel="0" collapsed="false">
      <c r="R31" s="0" t="str">
        <f aca="false">IF('Resumo por ativo'!$I31="","",'Resumo por ativo'!$I31+ROW()/1000000)</f>
        <v/>
      </c>
    </row>
    <row r="32" customFormat="false" ht="15" hidden="false" customHeight="false" outlineLevel="0" collapsed="false">
      <c r="R32" s="0" t="str">
        <f aca="false">IF('Resumo por ativo'!$I32="","",'Resumo por ativo'!$I32+ROW()/1000000)</f>
        <v/>
      </c>
    </row>
    <row r="33" customFormat="false" ht="15" hidden="false" customHeight="false" outlineLevel="0" collapsed="false">
      <c r="R33" s="0" t="str">
        <f aca="false">IF('Resumo por ativo'!$I33="","",'Resumo por ativo'!$I33+ROW()/1000000)</f>
        <v/>
      </c>
    </row>
    <row r="34" customFormat="false" ht="15" hidden="false" customHeight="false" outlineLevel="0" collapsed="false">
      <c r="R34" s="0" t="str">
        <f aca="false">IF('Resumo por ativo'!$I34="","",'Resumo por ativo'!$I34+ROW()/1000000)</f>
        <v/>
      </c>
    </row>
    <row r="35" customFormat="false" ht="15" hidden="false" customHeight="false" outlineLevel="0" collapsed="false">
      <c r="R35" s="0" t="str">
        <f aca="false">IF('Resumo por ativo'!$I35="","",'Resumo por ativo'!$I35+ROW()/1000000)</f>
        <v/>
      </c>
    </row>
    <row r="36" customFormat="false" ht="15" hidden="false" customHeight="false" outlineLevel="0" collapsed="false">
      <c r="R36" s="0" t="str">
        <f aca="false">IF('Resumo por ativo'!$I36="","",'Resumo por ativo'!$I36+ROW()/1000000)</f>
        <v/>
      </c>
    </row>
    <row r="37" customFormat="false" ht="15" hidden="false" customHeight="false" outlineLevel="0" collapsed="false">
      <c r="R37" s="0" t="str">
        <f aca="false">IF('Resumo por ativo'!$I37="","",'Resumo por ativo'!$I37+ROW()/1000000)</f>
        <v/>
      </c>
    </row>
    <row r="38" customFormat="false" ht="15" hidden="false" customHeight="false" outlineLevel="0" collapsed="false">
      <c r="R38" s="0" t="str">
        <f aca="false">IF('Resumo por ativo'!$I38="","",'Resumo por ativo'!$I38+ROW()/1000000)</f>
        <v/>
      </c>
    </row>
    <row r="39" customFormat="false" ht="15" hidden="false" customHeight="false" outlineLevel="0" collapsed="false">
      <c r="R39" s="0" t="str">
        <f aca="false">IF('Resumo por ativo'!$I39="","",'Resumo por ativo'!$I39+ROW()/1000000)</f>
        <v/>
      </c>
    </row>
    <row r="40" customFormat="false" ht="25.5" hidden="false" customHeight="true" outlineLevel="0" collapsed="false">
      <c r="B40" s="65" t="s">
        <v>158</v>
      </c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</row>
    <row r="41" customFormat="false" ht="15" hidden="false" customHeight="false" outlineLevel="0" collapsed="false">
      <c r="R41" s="0" t="str">
        <f aca="false">IF('Resumo por ativo'!$I41="","",'Resumo por ativo'!$I41+ROW()/1000000)</f>
        <v/>
      </c>
    </row>
    <row r="42" customFormat="false" ht="15" hidden="false" customHeight="false" outlineLevel="0" collapsed="false">
      <c r="R42" s="0" t="str">
        <f aca="false">IF('Resumo por ativo'!$I42="","",'Resumo por ativo'!$I42+ROW()/1000000)</f>
        <v/>
      </c>
    </row>
    <row r="57" customFormat="false" ht="15" hidden="false" customHeight="false" outlineLevel="0" collapsed="false">
      <c r="B57" s="66" t="s">
        <v>159</v>
      </c>
    </row>
    <row r="58" customFormat="false" ht="15" hidden="false" customHeight="false" outlineLevel="0" collapsed="false">
      <c r="B58" s="67" t="s">
        <v>160</v>
      </c>
    </row>
    <row r="60" customFormat="false" ht="15" hidden="false" customHeight="false" outlineLevel="0" collapsed="false">
      <c r="B60" s="19" t="s">
        <v>161</v>
      </c>
      <c r="C60" s="19" t="s">
        <v>162</v>
      </c>
      <c r="E60" s="19" t="s">
        <v>163</v>
      </c>
      <c r="F60" s="19" t="s">
        <v>134</v>
      </c>
    </row>
    <row r="61" customFormat="false" ht="15" hidden="false" customHeight="false" outlineLevel="0" collapsed="false">
      <c r="B61" s="68" t="n">
        <f aca="false">DATE(YEAR(Parâmetros!$C$4),MONTH(Parâmetros!$C$4)+0,1)</f>
        <v>46204</v>
      </c>
      <c r="C61" s="69" t="n">
        <f aca="false">SUMPRODUCT(('Cronograma (calculado)'!$C$3:$C$602&lt;&gt;"")*('Cronograma (calculado)'!$G$3:$G$602&gt;=$B61)*('Cronograma (calculado)'!$G$3:$G$602&lt;DATE(YEAR(Parâmetros!$C$4),MONTH(Parâmetros!$C$4)+1,1)))</f>
        <v>3</v>
      </c>
      <c r="E61" s="70" t="s">
        <v>164</v>
      </c>
      <c r="F61" s="69" t="n">
        <f aca="false">IF(COUNTIFS('Cronograma (calculado)'!$L$3:$L$602,$E61,'Cronograma (calculado)'!$I$3:$I$602,"&gt;="&amp;EDATE(INT(Parâmetros!$C$4),-3))=0,NA(),COUNTIFS('Cronograma (calculado)'!$L$3:$L$602,$E61,'Cronograma (calculado)'!$I$3:$I$602,"&gt;="&amp;EDATE(INT(Parâmetros!$C$4),-3)))</f>
        <v>9</v>
      </c>
    </row>
    <row r="62" customFormat="false" ht="15" hidden="false" customHeight="false" outlineLevel="0" collapsed="false">
      <c r="B62" s="68" t="n">
        <f aca="false">DATE(YEAR(Parâmetros!$C$4),MONTH(Parâmetros!$C$4)+1,1)</f>
        <v>46235</v>
      </c>
      <c r="C62" s="69" t="n">
        <f aca="false">SUMPRODUCT(('Cronograma (calculado)'!$C$3:$C$602&lt;&gt;"")*('Cronograma (calculado)'!$G$3:$G$602&gt;=$B62)*('Cronograma (calculado)'!$G$3:$G$602&lt;DATE(YEAR(Parâmetros!$C$4),MONTH(Parâmetros!$C$4)+2,1)))</f>
        <v>10</v>
      </c>
      <c r="E62" s="70" t="s">
        <v>165</v>
      </c>
      <c r="F62" s="69" t="n">
        <f aca="false">IF(COUNTIFS('Cronograma (calculado)'!$L$3:$L$602,$E62,'Cronograma (calculado)'!$I$3:$I$602,"&gt;="&amp;EDATE(INT(Parâmetros!$C$4),-3))=0,NA(),COUNTIFS('Cronograma (calculado)'!$L$3:$L$602,$E62,'Cronograma (calculado)'!$I$3:$I$602,"&gt;="&amp;EDATE(INT(Parâmetros!$C$4),-3)))</f>
        <v>1</v>
      </c>
    </row>
    <row r="63" customFormat="false" ht="15" hidden="false" customHeight="false" outlineLevel="0" collapsed="false">
      <c r="B63" s="68" t="n">
        <f aca="false">DATE(YEAR(Parâmetros!$C$4),MONTH(Parâmetros!$C$4)+2,1)</f>
        <v>46266</v>
      </c>
      <c r="C63" s="69" t="n">
        <f aca="false">SUMPRODUCT(('Cronograma (calculado)'!$C$3:$C$602&lt;&gt;"")*('Cronograma (calculado)'!$G$3:$G$602&gt;=$B63)*('Cronograma (calculado)'!$G$3:$G$602&lt;DATE(YEAR(Parâmetros!$C$4),MONTH(Parâmetros!$C$4)+3,1)))</f>
        <v>4</v>
      </c>
      <c r="E63" s="70" t="s">
        <v>166</v>
      </c>
      <c r="F63" s="69" t="n">
        <f aca="false">IF(COUNTIFS('Cronograma (calculado)'!$L$3:$L$602,$E63,'Cronograma (calculado)'!$I$3:$I$602,"&gt;="&amp;EDATE(INT(Parâmetros!$C$4),-3))=0,NA(),COUNTIFS('Cronograma (calculado)'!$L$3:$L$602,$E63,'Cronograma (calculado)'!$I$3:$I$602,"&gt;="&amp;EDATE(INT(Parâmetros!$C$4),-3)))</f>
        <v>1</v>
      </c>
    </row>
    <row r="64" customFormat="false" ht="15" hidden="false" customHeight="false" outlineLevel="0" collapsed="false">
      <c r="B64" s="68" t="n">
        <f aca="false">DATE(YEAR(Parâmetros!$C$4),MONTH(Parâmetros!$C$4)+3,1)</f>
        <v>46296</v>
      </c>
      <c r="C64" s="69" t="n">
        <f aca="false">SUMPRODUCT(('Cronograma (calculado)'!$C$3:$C$602&lt;&gt;"")*('Cronograma (calculado)'!$G$3:$G$602&gt;=$B64)*('Cronograma (calculado)'!$G$3:$G$602&lt;DATE(YEAR(Parâmetros!$C$4),MONTH(Parâmetros!$C$4)+4,1)))</f>
        <v>6</v>
      </c>
      <c r="E64" s="70" t="s">
        <v>167</v>
      </c>
      <c r="F64" s="69" t="e">
        <f aca="false">IF(COUNTIFS('Cronograma (calculado)'!$L$3:$L$602,$E64,'Cronograma (calculado)'!$I$3:$I$602,"&gt;="&amp;EDATE(INT(Parâmetros!$C$4),-3))=0,NA(),COUNTIFS('Cronograma (calculado)'!$L$3:$L$602,$E64,'Cronograma (calculado)'!$I$3:$I$602,"&gt;="&amp;EDATE(INT(Parâmetros!$C$4),-3)))</f>
        <v>#N/A</v>
      </c>
    </row>
    <row r="65" customFormat="false" ht="15" hidden="false" customHeight="false" outlineLevel="0" collapsed="false">
      <c r="B65" s="68" t="n">
        <f aca="false">DATE(YEAR(Parâmetros!$C$4),MONTH(Parâmetros!$C$4)+4,1)</f>
        <v>46327</v>
      </c>
      <c r="C65" s="69" t="n">
        <f aca="false">SUMPRODUCT(('Cronograma (calculado)'!$C$3:$C$602&lt;&gt;"")*('Cronograma (calculado)'!$G$3:$G$602&gt;=$B65)*('Cronograma (calculado)'!$G$3:$G$602&lt;DATE(YEAR(Parâmetros!$C$4),MONTH(Parâmetros!$C$4)+5,1)))</f>
        <v>8</v>
      </c>
    </row>
    <row r="66" customFormat="false" ht="15" hidden="false" customHeight="false" outlineLevel="0" collapsed="false">
      <c r="B66" s="68" t="n">
        <f aca="false">DATE(YEAR(Parâmetros!$C$4),MONTH(Parâmetros!$C$4)+5,1)</f>
        <v>46357</v>
      </c>
      <c r="C66" s="69" t="n">
        <f aca="false">SUMPRODUCT(('Cronograma (calculado)'!$C$3:$C$602&lt;&gt;"")*('Cronograma (calculado)'!$G$3:$G$602&gt;=$B66)*('Cronograma (calculado)'!$G$3:$G$602&lt;DATE(YEAR(Parâmetros!$C$4),MONTH(Parâmetros!$C$4)+6,1)))</f>
        <v>6</v>
      </c>
    </row>
    <row r="67" customFormat="false" ht="15" hidden="false" customHeight="false" outlineLevel="0" collapsed="false">
      <c r="B67" s="68" t="n">
        <f aca="false">DATE(YEAR(Parâmetros!$C$4),MONTH(Parâmetros!$C$4)+6,1)</f>
        <v>46388</v>
      </c>
      <c r="C67" s="69" t="n">
        <f aca="false">SUMPRODUCT(('Cronograma (calculado)'!$C$3:$C$602&lt;&gt;"")*('Cronograma (calculado)'!$G$3:$G$602&gt;=$B67)*('Cronograma (calculado)'!$G$3:$G$602&lt;DATE(YEAR(Parâmetros!$C$4),MONTH(Parâmetros!$C$4)+7,1)))</f>
        <v>5</v>
      </c>
    </row>
    <row r="68" customFormat="false" ht="15" hidden="false" customHeight="false" outlineLevel="0" collapsed="false">
      <c r="B68" s="68" t="n">
        <f aca="false">DATE(YEAR(Parâmetros!$C$4),MONTH(Parâmetros!$C$4)+7,1)</f>
        <v>46419</v>
      </c>
      <c r="C68" s="69" t="n">
        <f aca="false">SUMPRODUCT(('Cronograma (calculado)'!$C$3:$C$602&lt;&gt;"")*('Cronograma (calculado)'!$G$3:$G$602&gt;=$B68)*('Cronograma (calculado)'!$G$3:$G$602&lt;DATE(YEAR(Parâmetros!$C$4),MONTH(Parâmetros!$C$4)+8,1)))</f>
        <v>9</v>
      </c>
    </row>
    <row r="69" customFormat="false" ht="15" hidden="false" customHeight="false" outlineLevel="0" collapsed="false">
      <c r="B69" s="68" t="n">
        <f aca="false">DATE(YEAR(Parâmetros!$C$4),MONTH(Parâmetros!$C$4)+8,1)</f>
        <v>46447</v>
      </c>
      <c r="C69" s="69" t="n">
        <f aca="false">SUMPRODUCT(('Cronograma (calculado)'!$C$3:$C$602&lt;&gt;"")*('Cronograma (calculado)'!$G$3:$G$602&gt;=$B69)*('Cronograma (calculado)'!$G$3:$G$602&lt;DATE(YEAR(Parâmetros!$C$4),MONTH(Parâmetros!$C$4)+9,1)))</f>
        <v>4</v>
      </c>
    </row>
    <row r="70" customFormat="false" ht="15" hidden="false" customHeight="false" outlineLevel="0" collapsed="false">
      <c r="B70" s="68" t="n">
        <f aca="false">DATE(YEAR(Parâmetros!$C$4),MONTH(Parâmetros!$C$4)+9,1)</f>
        <v>46478</v>
      </c>
      <c r="C70" s="69" t="n">
        <f aca="false">SUMPRODUCT(('Cronograma (calculado)'!$C$3:$C$602&lt;&gt;"")*('Cronograma (calculado)'!$G$3:$G$602&gt;=$B70)*('Cronograma (calculado)'!$G$3:$G$602&lt;DATE(YEAR(Parâmetros!$C$4),MONTH(Parâmetros!$C$4)+10,1)))</f>
        <v>5</v>
      </c>
    </row>
    <row r="71" customFormat="false" ht="15" hidden="false" customHeight="false" outlineLevel="0" collapsed="false">
      <c r="B71" s="68" t="n">
        <f aca="false">DATE(YEAR(Parâmetros!$C$4),MONTH(Parâmetros!$C$4)+10,1)</f>
        <v>46508</v>
      </c>
      <c r="C71" s="69" t="n">
        <f aca="false">SUMPRODUCT(('Cronograma (calculado)'!$C$3:$C$602&lt;&gt;"")*('Cronograma (calculado)'!$G$3:$G$602&gt;=$B71)*('Cronograma (calculado)'!$G$3:$G$602&lt;DATE(YEAR(Parâmetros!$C$4),MONTH(Parâmetros!$C$4)+11,1)))</f>
        <v>8</v>
      </c>
    </row>
    <row r="72" customFormat="false" ht="15" hidden="false" customHeight="false" outlineLevel="0" collapsed="false">
      <c r="B72" s="68" t="n">
        <f aca="false">DATE(YEAR(Parâmetros!$C$4),MONTH(Parâmetros!$C$4)+11,1)</f>
        <v>46539</v>
      </c>
      <c r="C72" s="69" t="n">
        <f aca="false">SUMPRODUCT(('Cronograma (calculado)'!$C$3:$C$602&lt;&gt;"")*('Cronograma (calculado)'!$G$3:$G$602&gt;=$B72)*('Cronograma (calculado)'!$G$3:$G$602&lt;DATE(YEAR(Parâmetros!$C$4),MONTH(Parâmetros!$C$4)+12,1)))</f>
        <v>6</v>
      </c>
    </row>
  </sheetData>
  <sheetProtection sheet="true"/>
  <mergeCells count="31">
    <mergeCell ref="B5:D5"/>
    <mergeCell ref="F5:H5"/>
    <mergeCell ref="J5:L5"/>
    <mergeCell ref="N5:P5"/>
    <mergeCell ref="B6:D6"/>
    <mergeCell ref="F6:H6"/>
    <mergeCell ref="J6:L6"/>
    <mergeCell ref="N6:P6"/>
    <mergeCell ref="B7:D7"/>
    <mergeCell ref="F7:H7"/>
    <mergeCell ref="J7:L7"/>
    <mergeCell ref="N7:P7"/>
    <mergeCell ref="B9:D9"/>
    <mergeCell ref="F9:H9"/>
    <mergeCell ref="J9:L9"/>
    <mergeCell ref="N9:P9"/>
    <mergeCell ref="B10:D10"/>
    <mergeCell ref="F10:H10"/>
    <mergeCell ref="J10:L10"/>
    <mergeCell ref="N10:P10"/>
    <mergeCell ref="B11:D11"/>
    <mergeCell ref="F11:H11"/>
    <mergeCell ref="J11:L11"/>
    <mergeCell ref="N11:P11"/>
    <mergeCell ref="D15:G15"/>
    <mergeCell ref="D16:G16"/>
    <mergeCell ref="D17:G17"/>
    <mergeCell ref="D18:G18"/>
    <mergeCell ref="D19:G19"/>
    <mergeCell ref="D20:G20"/>
    <mergeCell ref="B40:R40"/>
  </mergeCells>
  <conditionalFormatting sqref="H16:H20">
    <cfRule type="cellIs" priority="2" operator="lessThan" aboveAverage="0" equalAverage="0" bottom="0" percent="0" rank="0" text="" dxfId="14">
      <formula>Parâmetros!$C$6</formula>
    </cfRule>
    <cfRule type="cellIs" priority="3" operator="lessThan" aboveAverage="0" equalAverage="0" bottom="0" percent="0" rank="0" text="" dxfId="16">
      <formula>Parâmetros!$C$5</formula>
    </cfRule>
  </conditionalFormatting>
  <conditionalFormatting sqref="F61:F64">
    <cfRule type="expression" priority="4" aboveAverage="0" equalAverage="0" bottom="0" percent="0" rank="0" text="" dxfId="17">
      <formula>ISNA(F61)</formula>
    </cfRule>
  </conditionalFormatting>
  <printOptions headings="false" gridLines="false" gridLinesSet="true" horizontalCentered="true" verticalCentered="false"/>
  <pageMargins left="0.75" right="0.75" top="1" bottom="1" header="0.511811023622047" footer="0.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&amp;L&amp;8 Cronograma de Manutenção Preventiva · Andonize&amp;R&amp;8 &amp;P/&amp;N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2026-07-30T22:44:40Z</dcterms:created>
  <dc:creator>Andonize</dc:creator>
  <dc:description>Planilha gratuita da Andonize. Uso livre na sua empresa e com os seus clientes, inclusive comercial. Não é permitido revender, redistribuir como material próprio nem publicar o arquivo para download em outro site. © 2026 Andonize · andonize.com</dc:description>
  <dc:language>en-US</dc:language>
  <cp:lastModifiedBy>Andonize</cp:lastModifiedBy>
  <dcterms:modified xsi:type="dcterms:W3CDTF">2026-07-30T22:44:41Z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