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comments8.xml" ContentType="application/vnd.openxmlformats-officedocument.spreadsheetml.comments+xml"/>
  <Override PartName="/xl/theme/theme1.xml" ContentType="application/vnd.openxmlformats-officedocument.them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comments10.xml" ContentType="application/vnd.openxmlformats-officedocument.spreadsheetml.comments+xml"/>
  <Override PartName="/xl/workbook.xml" ContentType="application/vnd.openxmlformats-officedocument.spreadsheetml.sheet.main+xml"/>
  <Override PartName="/xl/comments7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vmlDrawing7.vml" ContentType="application/vnd.openxmlformats-officedocument.vmlDrawing"/>
  <Override PartName="/xl/drawings/vmlDrawing6.vml" ContentType="application/vnd.openxmlformats-officedocument.vmlDrawing"/>
  <Override PartName="/xl/drawings/drawing6.xml" ContentType="application/vnd.openxmlformats-officedocument.drawing+xml"/>
  <Override PartName="/xl/drawings/vmlDrawing5.vml" ContentType="application/vnd.openxmlformats-officedocument.vmlDrawing"/>
  <Override PartName="/xl/drawings/_rels/drawing6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drawing5.xml" ContentType="application/vnd.openxmlformats-officedocument.drawing+xml"/>
  <Override PartName="/xl/drawings/vmlDrawing4.vml" ContentType="application/vnd.openxmlformats-officedocument.vmlDrawing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drawing4.xml" ContentType="application/vnd.openxmlformats-officedocument.drawing+xml"/>
  <Override PartName="/xl/drawings/vmlDrawing3.vml" ContentType="application/vnd.openxmlformats-officedocument.vmlDrawing"/>
  <Override PartName="/xl/drawings/drawing1.xml" ContentType="application/vnd.openxmlformats-officedocument.drawing+xml"/>
  <Override PartName="/xl/media/image1.png" ContentType="image/png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styles.xml" ContentType="application/vnd.openxmlformats-officedocument.spreadsheetml.style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ia-me" sheetId="1" state="visible" r:id="rId3"/>
    <sheet name="Parâmetros" sheetId="2" state="visible" r:id="rId4"/>
    <sheet name="Equipamentos" sheetId="3" state="visible" r:id="rId5"/>
    <sheet name="Itens Inspecionados" sheetId="4" state="visible" r:id="rId6"/>
    <sheet name="Inspeções" sheetId="5" state="visible" r:id="rId7"/>
    <sheet name="Folha de Campo" sheetId="6" state="visible" r:id="rId8"/>
    <sheet name="Modelo para lançamento" sheetId="7" state="visible" r:id="rId9"/>
    <sheet name="Lançar Resultado" sheetId="8" state="visible" r:id="rId10"/>
    <sheet name="Plano de ação" sheetId="9" state="visible" r:id="rId11"/>
    <sheet name="Resumo por inspeção" sheetId="10" state="visible" r:id="rId12"/>
    <sheet name="Painel" sheetId="11" state="visible" r:id="rId13"/>
  </sheets>
  <definedNames>
    <definedName function="false" hidden="false" localSheetId="2" name="_xlnm.Print_Titles" vbProcedure="false">Equipamentos!$1:$2</definedName>
    <definedName function="false" hidden="false" localSheetId="5" name="_xlnm.Print_Area" vbProcedure="false">'Folha de Campo'!$B$2:$K$63</definedName>
    <definedName function="false" hidden="true" localSheetId="5" name="_xlnm._FilterDatabase" vbProcedure="false">'Folha de Campo'!$B$9:$K$54</definedName>
    <definedName function="false" hidden="false" localSheetId="4" name="_xlnm.Print_Titles" vbProcedure="false">Inspeções!$1:$2</definedName>
    <definedName function="false" hidden="false" localSheetId="3" name="_xlnm.Print_Titles" vbProcedure="false">'Itens Inspecionados'!$1:$2</definedName>
    <definedName function="false" hidden="true" localSheetId="3" name="_xlnm._FilterDatabase" vbProcedure="false">'Itens Inspecionados'!$A$2:$E$402</definedName>
    <definedName function="false" hidden="false" localSheetId="7" name="_xlnm.Print_Titles" vbProcedure="false">'Lançar Resultado'!$1:$2</definedName>
    <definedName function="false" hidden="true" localSheetId="7" name="_xlnm._FilterDatabase" vbProcedure="false">'Lançar Resultado'!$A$2:$O$2002</definedName>
    <definedName function="false" hidden="false" localSheetId="10" name="_xlnm.Print_Area" vbProcedure="false">Painel!$A$1:$R$41</definedName>
    <definedName function="false" hidden="false" localSheetId="8" name="_xlnm.Print_Titles" vbProcedure="false">'Plano de ação'!$1:$2</definedName>
    <definedName function="false" hidden="true" localSheetId="8" name="_xlnm._FilterDatabase" vbProcedure="false">'Plano de ação'!$A$2:$P$302</definedName>
    <definedName function="false" hidden="false" localSheetId="9" name="_xlnm.Print_Titles" vbProcedure="false">'Resumo por inspeção'!$1:$2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0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M2" authorId="0">
      <text>
        <r>
          <rPr>
            <sz val="10"/>
            <rFont val="Arial"/>
            <family val="2"/>
          </rPr>
          <t xml:space="preserve">OK ÷ (OK + NOK) × 100. Os N/A ficam fora do denominador: item que não se aplica à máquina não deve contar nem a favor nem contra.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69</xdr:colOff>
                <xdr:row>3</xdr:row>
                <xdr:rowOff>23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I2" authorId="0">
      <text>
        <r>
          <rPr>
            <sz val="10"/>
            <rFont val="Arial"/>
            <family val="2"/>
          </rPr>
          <t xml:space="preserve">De quantos em quantos dias esta máquina deve ser inspecionada.
A próxima inspeção é calculada como última + periodicidade — pelo intervalo desde a última, não por dia fixo do calendário.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69</xdr:colOff>
                <xdr:row>4</xdr:row>
                <xdr:rowOff>19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A2" authorId="0">
      <text>
        <r>
          <rPr>
            <sz val="10"/>
            <rFont val="Arial"/>
            <family val="2"/>
          </rPr>
          <t xml:space="preserve">A máquina aqui serve só para descobrir o TIPO. O item cadastrado passa a valer para toda a frota daquele tipo — se você repetir o mesmo item escolhendo outra máquina do mesmo tipo, ele vai aparecer DUAS VEZES na folha de campo. A coluna «Repetido?» avisa quando isso acontece.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89</xdr:colOff>
                <xdr:row>6</xdr:row>
                <xdr:rowOff>11</xdr:rowOff>
              </xdr:to>
            </anchor>
          </commentPr>
        </mc:Choice>
        <mc:Fallback/>
      </mc:AlternateContent>
    </comment>
    <comment ref="E2" authorId="0">
      <text>
        <r>
          <rPr>
            <sz val="10"/>
            <rFont val="Arial"/>
            <family val="2"/>
          </rPr>
          <t xml:space="preserve">Quanto este item vale SE for reprovado (NOK). Você NUNCA digita a nota da inspeção: ela é aplicada automaticamente a partir daqui quando a resposta é NOK.
0 conforme · 3 observação · 5 programar · 7 próxima parada · 9 imediato · 10 bloqueio.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89</xdr:colOff>
                <xdr:row>7</xdr:row>
                <xdr:rowOff>7</xdr:rowOff>
              </xdr:to>
            </anchor>
          </commentPr>
        </mc:Choice>
        <mc:Fallback/>
      </mc:AlternateContent>
    </comment>
  </commentList>
</comments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B2" authorId="0">
      <text>
        <r>
          <rPr>
            <sz val="10"/>
            <rFont val="Arial"/>
            <family val="2"/>
          </rPr>
          <t xml:space="preserve">TAG + data é o que identifica a inspeção nas outras abas. Duas inspeções da MESMA máquina no MESMO dia se misturam — se precisar disso, separe pela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49</xdr:colOff>
                <xdr:row>4</xdr:row>
                <xdr:rowOff>9</xdr:rowOff>
              </xdr:to>
            </anchor>
          </commentPr>
        </mc:Choice>
        <mc:Fallback/>
      </mc:AlternateContent>
    </comment>
    <comment ref="I2" authorId="0">
      <text>
        <r>
          <rPr>
            <sz val="10"/>
            <rFont val="Arial"/>
            <family val="2"/>
          </rPr>
          <t xml:space="preserve">Compara os itens que o catálogo prevê para o tipo desta máquina com os que foram lançados em «Lançar Resultado». Se faltou colar item, diz quantos faltam — é a guarda contra lançamento incompleto.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49</xdr:colOff>
                <xdr:row>5</xdr:row>
                <xdr:rowOff>5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B8" authorId="0">
      <text>
        <r>
          <rPr>
            <sz val="10"/>
            <rFont val="Arial"/>
            <family val="2"/>
          </rPr>
          <t xml:space="preserve">SUBTOTAL(102;…) conta só as linhas VISÍVEIS. O filtro do Excel não se recalcula quando você troca a máquina — sem esta comparação, você imprimiria metade do checklist sem perceber.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</xdr:col>
                <xdr:colOff>35</xdr:colOff>
                <xdr:row>0</xdr:row>
                <xdr:rowOff>2</xdr:rowOff>
              </xdr:from>
              <xdr:to>
                <xdr:col>7</xdr:col>
                <xdr:colOff>49</xdr:colOff>
                <xdr:row>5</xdr:row>
                <xdr:rowOff>20</xdr:rowOff>
              </xdr:to>
            </anchor>
          </commentPr>
        </mc:Choice>
        <mc:Fallback/>
      </mc:AlternateContent>
    </comment>
    <comment ref="K5" authorId="0">
      <text>
        <r>
          <rPr>
            <sz val="10"/>
            <rFont val="Arial"/>
            <family val="2"/>
          </rPr>
          <t xml:space="preserve">Data, inspetor e O.S. ficam em branco de propósito: ou você digita antes de imprimir, ou o técnico escreve à mão no campo.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</xdr:col>
                <xdr:colOff>35</xdr:colOff>
                <xdr:row>0</xdr:row>
                <xdr:rowOff>2</xdr:rowOff>
              </xdr:from>
              <xdr:to>
                <xdr:col>7</xdr:col>
                <xdr:colOff>29</xdr:colOff>
                <xdr:row>4</xdr:row>
                <xdr:rowOff>10</xdr:rowOff>
              </xdr:to>
            </anchor>
          </commentPr>
        </mc:Choice>
        <mc:Fallback/>
      </mc:AlternateContent>
    </comment>
  </commentList>
</comments>
</file>

<file path=xl/comments7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A4" authorId="0">
      <text>
        <r>
          <rPr>
            <sz val="10"/>
            <rFont val="Arial"/>
            <family val="2"/>
          </rPr>
          <t xml:space="preserve">Vem preenchida com a data da última inspeção desta máquina. Digite outra data por cima para lançar uma inspeção anterior.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29</xdr:colOff>
                <xdr:row>4</xdr:row>
                <xdr:rowOff>13</xdr:rowOff>
              </xdr:to>
            </anchor>
          </commentPr>
        </mc:Choice>
        <mc:Fallback/>
      </mc:AlternateContent>
    </comment>
  </commentList>
</comments>
</file>

<file path=xl/comments8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A2" authorId="0">
      <text>
        <r>
          <rPr>
            <sz val="10"/>
            <rFont val="Arial"/>
            <family val="2"/>
          </rPr>
          <t xml:space="preserve">As colunas A a F são COLADAS a partir de «Modelo para lançamento» — não têm fórmula de propósito, para que o histórico não mude quando você corrigir o catálogo depois.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79</xdr:colOff>
                <xdr:row>4</xdr:row>
                <xdr:rowOff>19</xdr:rowOff>
              </xdr:to>
            </anchor>
          </commentPr>
        </mc:Choice>
        <mc:Fallback/>
      </mc:AlternateContent>
    </comment>
    <comment ref="G2" authorId="0">
      <text>
        <r>
          <rPr>
            <sz val="10"/>
            <rFont val="Arial"/>
            <family val="2"/>
          </rPr>
          <t xml:space="preserve">OK, NOK ou N/A. A nota sai daqui: NOK aplica a criticidade do item; OK e N/A aplicam zero. A gravidade está na criticidade, não na resposta.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69</xdr:colOff>
                <xdr:row>4</xdr:row>
                <xdr:rowOff>9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<sst xmlns="http://schemas.openxmlformats.org/spreadsheetml/2006/main" count="823" uniqueCount="381">
  <si>
    <t xml:space="preserve">ANDONIZE</t>
  </si>
  <si>
    <t xml:space="preserve">Checklist de Inspeção — do catálogo ao plano de ação</t>
  </si>
  <si>
    <t xml:space="preserve">Monte o catálogo de itens uma vez por tipo de máquina, imprima a folha de campo, lance o resultado e o plano de ação se monta sozinho. Feita para quem cuida do PCM sozinho ou com pouca gente.</t>
  </si>
  <si>
    <t xml:space="preserve">A ordem das abas é a ordem do trabalho</t>
  </si>
  <si>
    <t xml:space="preserve">1. «Equipamentos» — suas máquinas</t>
  </si>
  <si>
    <t xml:space="preserve">TAG, tipo, setor e de quantos em quantos dias inspecionar. A planilha calcula a última e a próxima inspeção e avisa o que está atrasado. É o que faz esta planilha dizer o que FAZER, e não só registrar o que foi feito.</t>
  </si>
  <si>
    <t xml:space="preserve">2. «Itens Inspecionados» — o catálogo</t>
  </si>
  <si>
    <t xml:space="preserve">Uma linha por item de verificação, com a criticidade que aquele item vale se reprovar. Escolha uma máquina só para achar o TIPO: o item passa a valer para todas as máquinas daquele tipo, para sempre. A coluna «Repetido?» avisa se o mesmo item foi cadastrado duas vezes para o mesmo tipo. É a aba que dá o maior retorno pelo tempo investido.</t>
  </si>
  <si>
    <t xml:space="preserve">3. «Inspeções» — cada evento</t>
  </si>
  <si>
    <t xml:space="preserve">Data, TAG e inspetor. Não há código a inventar: a dupla TAG + data é o que identifica a inspeção nas outras abas — o que também significa que duas inspeções da mesma máquina no mesmo dia se misturam. A coluna «Conferência» avisa se o lançamento ficou incompleto.</t>
  </si>
  <si>
    <t xml:space="preserve">4. «Folha de Campo» — imprima e leve</t>
  </si>
  <si>
    <t xml:space="preserve">Escolha a TAG no alto: os itens do tipo daquela máquina aparecem. Imprima (Ctrl+P) e leve para o campo.</t>
  </si>
  <si>
    <t xml:space="preserve">5. «Modelo para lançamento» — o atalho</t>
  </si>
  <si>
    <t xml:space="preserve">Escolha a máquina e a data (ela já vem na última inspeção daquela máquina) e a aba monta o bloco pronto: TAG, data, tipo, seção, item e criticidade. Copie o retângulo e cole em «Lançar Resultado». Você digita só a resposta.</t>
  </si>
  <si>
    <t xml:space="preserve">6. «Lançar Resultado» — cole e preencha</t>
  </si>
  <si>
    <t xml:space="preserve">Cole o bloco na primeira linha vazia e marque OK, NOK ou N/A. Onde houver NOK, escreva o que fazer, quem faz e até quando. Esta aba é o seu HISTÓRICO: as linhas se acumulam inspeção após inspeção — nunca apague as antigas nem cole por cima delas.</t>
  </si>
  <si>
    <t xml:space="preserve">7. Leia o resultado</t>
  </si>
  <si>
    <t xml:space="preserve">«Plano de ação», «Resumo por inspeção» e «Painel» são calculadas e protegidas.</t>
  </si>
  <si>
    <t xml:space="preserve">Legenda das células</t>
  </si>
  <si>
    <t xml:space="preserve">Fundo branco</t>
  </si>
  <si>
    <t xml:space="preserve">Você preenche.</t>
  </si>
  <si>
    <t xml:space="preserve">Fundo cinza, itálico</t>
  </si>
  <si>
    <t xml:space="preserve">Calculado. Não digite por cima: a fórmula se perde e o plano de ação para de montar.</t>
  </si>
  <si>
    <t xml:space="preserve">Resposta e criticidade</t>
  </si>
  <si>
    <t xml:space="preserve">Três respostas, e só</t>
  </si>
  <si>
    <t xml:space="preserve">OK, NOK e N/A. Não existe meio-termo na resposta de propósito: a gravidade não está no que o técnico marca, está na criticidade do item.</t>
  </si>
  <si>
    <t xml:space="preserve">A criticidade é do item, não da inspeção</t>
  </si>
  <si>
    <t xml:space="preserve">Você define no catálogo quanto cada item vale SE reprovar. NOK num item de criticidade 3 é uma observação; NOK num item de criticidade 10 é bloqueio. Assim a mesma constatação recebe sempre a mesma gravidade, mês após mês — e o indicador para de oscilar sem motivo.</t>
  </si>
  <si>
    <t xml:space="preserve">A nota nunca é digitada</t>
  </si>
  <si>
    <t xml:space="preserve">NOK aplica a criticidade do item. OK e N/A aplicam zero. Você marca a resposta; a nota, a classificação e a prioridade saem sozinhas.</t>
  </si>
  <si>
    <t xml:space="preserve">Zero é conforme</t>
  </si>
  <si>
    <t xml:space="preserve">Convenção do sistema, e ela é contra-intuitiva: nota alta é problema grave, não item aprovado. A escala completa está em «Parâmetros»: 0 conforme · 3 observação · 5 programar · 7 próxima parada · 9 imediato · 10 bloqueio.</t>
  </si>
  <si>
    <t xml:space="preserve">O que vira pendência</t>
  </si>
  <si>
    <t xml:space="preserve">Nota igual ou acima do limite (5, por padrão). Limite em zero desliga a geração, como no sistema. Prioridade: 8 ou mais é alta, de 5 a 7 média, abaixo baixa.</t>
  </si>
  <si>
    <t xml:space="preserve">As duas guardas contra erro silencioso</t>
  </si>
  <si>
    <t xml:space="preserve">Na «Folha de Campo»: o filtro velho</t>
  </si>
  <si>
    <t xml:space="preserve">O filtro do Excel NÃO se recalcula quando você troca a máquina — linhas ocultas continuam ocultas e itens novos ficam escondidos. A folha conta as linhas visíveis e compara com o catálogo: se não bater, aparece um aviso vermelho pedindo para refazer o filtro. Sem isso, você imprimiria metade do checklist sem perceber.</t>
  </si>
  <si>
    <t xml:space="preserve">Nas «Inspeções»: o lançamento incompleto</t>
  </si>
  <si>
    <t xml:space="preserve">A coluna «Conferência» compara os itens que o catálogo prevê com os que foram lançados. Se faltou colar um item, ela diz quantos faltam.</t>
  </si>
  <si>
    <t xml:space="preserve">Uma nota de honestidade</t>
  </si>
  <si>
    <t xml:space="preserve">O índice de conformidade é da planilha</t>
  </si>
  <si>
    <t xml:space="preserve">O sistema não calcula índice agregado: ele lista item a item, porque média esconde o item grave no meio dos conformes. Aqui o índice existe para você ler o conjunto, e ignora os N/A no denominador — item que não se aplica não deve contar nem a favor nem contra.</t>
  </si>
  <si>
    <t xml:space="preserve">Antes de começar</t>
  </si>
  <si>
    <t xml:space="preserve">Apague os dados de exemplo</t>
  </si>
  <si>
    <t xml:space="preserve">Vêm oito tipos de máquina com 66 itens de catálogo, dez equipamentos e cinco inspeções lançadas, para você ver tudo funcionando. As datas são relativas a hoje, por isso aparecem como fórmula.</t>
  </si>
  <si>
    <t xml:space="preserve">Requisitos</t>
  </si>
  <si>
    <t xml:space="preserve">Excel 2010 ou superior, Google Sheets ou LibreOffice. Sem macros e sem fórmula matricial.</t>
  </si>
  <si>
    <t xml:space="preserve">Até onde esta planilha vai</t>
  </si>
  <si>
    <t xml:space="preserve">50 equipamentos, 400 itens de catálogo, 120 inspeções, 2000 linhas de resultado e 300 pendências. Para uma equipe pequena, isso é alguns anos de histórico.</t>
  </si>
  <si>
    <t xml:space="preserve">Feita por quem faz o Andonize</t>
  </si>
  <si>
    <t xml:space="preserve">Aqui a folha vai impressa e o resultado volta digitado. No Andonize o técnico responde no celular, com foto em cada item e sem internet no galpão, e o plano de ação nasce junto do relatório em PDF com a sua marca.   ·   andonize.com</t>
  </si>
  <si>
    <t xml:space="preserve">Versão 2.0 · julho de 2026</t>
  </si>
  <si>
    <t xml:space="preserve">Parâmetros</t>
  </si>
  <si>
    <t xml:space="preserve">Listas dos menus suspensos</t>
  </si>
  <si>
    <t xml:space="preserve">Data/hora de referência</t>
  </si>
  <si>
    <t xml:space="preserve">Atualiza sozinha. Para congelar um retrato, digite uma data por cima.</t>
  </si>
  <si>
    <t xml:space="preserve">Tipos de equipamento</t>
  </si>
  <si>
    <t xml:space="preserve">Resposta</t>
  </si>
  <si>
    <t xml:space="preserve">Situação da pendência</t>
  </si>
  <si>
    <t xml:space="preserve">Limite para gerar pendência</t>
  </si>
  <si>
    <t xml:space="preserve">Nota igual ou maior entra no plano de ação. Zero desliga, como no sistema.</t>
  </si>
  <si>
    <t xml:space="preserve">Empilhadeira</t>
  </si>
  <si>
    <t xml:space="preserve">OK</t>
  </si>
  <si>
    <t xml:space="preserve">Aberta</t>
  </si>
  <si>
    <t xml:space="preserve">Alerta de inspeção a vencer (dias)</t>
  </si>
  <si>
    <t xml:space="preserve">Com quantos dias de antecedência a máquina entra em «Vence em breve».</t>
  </si>
  <si>
    <t xml:space="preserve">Compressor de ar</t>
  </si>
  <si>
    <t xml:space="preserve">NOK</t>
  </si>
  <si>
    <t xml:space="preserve">Concluída</t>
  </si>
  <si>
    <t xml:space="preserve">Meta de conformidade (%)</t>
  </si>
  <si>
    <t xml:space="preserve">Acima disso, verde no resumo e no painel.</t>
  </si>
  <si>
    <t xml:space="preserve">Esteira transportadora</t>
  </si>
  <si>
    <t xml:space="preserve">N/A</t>
  </si>
  <si>
    <t xml:space="preserve">Conformidade — limite amarelo (%)</t>
  </si>
  <si>
    <t xml:space="preserve">Abaixo deste valor, vermelho.</t>
  </si>
  <si>
    <t xml:space="preserve">Torno mecânico</t>
  </si>
  <si>
    <t xml:space="preserve">Fresadora</t>
  </si>
  <si>
    <t xml:space="preserve">Prensa hidráulica</t>
  </si>
  <si>
    <t xml:space="preserve">Escala de criticidade</t>
  </si>
  <si>
    <t xml:space="preserve">Furadeira de bancada</t>
  </si>
  <si>
    <t xml:space="preserve">Quanto o item vale SE reprovar. Zero é conforme — nota alta é problema grave, não item aprovado.</t>
  </si>
  <si>
    <t xml:space="preserve">Máquina de solda</t>
  </si>
  <si>
    <t xml:space="preserve">Nota</t>
  </si>
  <si>
    <t xml:space="preserve">Criticidade</t>
  </si>
  <si>
    <t xml:space="preserve">O que significa</t>
  </si>
  <si>
    <t xml:space="preserve">Conforme / N/A</t>
  </si>
  <si>
    <t xml:space="preserve">Item aprovado, ou que não se aplica a esta máquina.</t>
  </si>
  <si>
    <t xml:space="preserve">Observação</t>
  </si>
  <si>
    <t xml:space="preserve">Registrar no relatório; não exige ação agora.</t>
  </si>
  <si>
    <t xml:space="preserve">Programar correção</t>
  </si>
  <si>
    <t xml:space="preserve">Entra no planejamento de manutenção.</t>
  </si>
  <si>
    <t xml:space="preserve">Corrigir na próxima parada</t>
  </si>
  <si>
    <t xml:space="preserve">Não pode esperar o próximo ciclo.</t>
  </si>
  <si>
    <t xml:space="preserve">Corrigir imediatamente</t>
  </si>
  <si>
    <t xml:space="preserve">Risco relevante — inclui item não inspecionado.</t>
  </si>
  <si>
    <t xml:space="preserve">Bloqueio</t>
  </si>
  <si>
    <t xml:space="preserve">A máquina não deve operar até a correção.</t>
  </si>
  <si>
    <t xml:space="preserve">Equipamentos</t>
  </si>
  <si>
    <t xml:space="preserve">Suas máquinas. A periodicidade é o que faz a planilha avisar o que está vencendo. As colunas A a H são iguais nas planilhas de ativos e de preventiva.</t>
  </si>
  <si>
    <t xml:space="preserve">TAG *</t>
  </si>
  <si>
    <t xml:space="preserve">Descrição (nome/modelo)</t>
  </si>
  <si>
    <t xml:space="preserve">Tipo de equipamento *</t>
  </si>
  <si>
    <t xml:space="preserve">Fabricante</t>
  </si>
  <si>
    <t xml:space="preserve">Setor / Local</t>
  </si>
  <si>
    <t xml:space="preserve">Entidade / Cliente</t>
  </si>
  <si>
    <t xml:space="preserve">Data de cadastro</t>
  </si>
  <si>
    <t xml:space="preserve">Observações</t>
  </si>
  <si>
    <t xml:space="preserve">Periodicidade (dias) *</t>
  </si>
  <si>
    <t xml:space="preserve">Última inspeção</t>
  </si>
  <si>
    <t xml:space="preserve">Próxima inspeção</t>
  </si>
  <si>
    <t xml:space="preserve">Dias</t>
  </si>
  <si>
    <t xml:space="preserve">Situação</t>
  </si>
  <si>
    <t xml:space="preserve">COMP-01</t>
  </si>
  <si>
    <t xml:space="preserve">Compressor de ar 50 hp</t>
  </si>
  <si>
    <t xml:space="preserve">Arcomp</t>
  </si>
  <si>
    <t xml:space="preserve">Casa de Máquinas</t>
  </si>
  <si>
    <t xml:space="preserve">Metalúrgica Vale Norte</t>
  </si>
  <si>
    <t xml:space="preserve">COMP-02</t>
  </si>
  <si>
    <t xml:space="preserve">Compressor de ar 20 hp</t>
  </si>
  <si>
    <t xml:space="preserve">Utilidades</t>
  </si>
  <si>
    <t xml:space="preserve">TORN-01</t>
  </si>
  <si>
    <t xml:space="preserve">Torno mecânico universal 1.000 mm</t>
  </si>
  <si>
    <t xml:space="preserve">Metalmec</t>
  </si>
  <si>
    <t xml:space="preserve">Usinagem — Setor A</t>
  </si>
  <si>
    <t xml:space="preserve">TORN-02</t>
  </si>
  <si>
    <t xml:space="preserve">Torno mecânico universal 800 mm</t>
  </si>
  <si>
    <t xml:space="preserve">Usinagem — Setor B</t>
  </si>
  <si>
    <t xml:space="preserve">FRES-01</t>
  </si>
  <si>
    <t xml:space="preserve">Fresadora ferramenteira</t>
  </si>
  <si>
    <t xml:space="preserve">Fresatec</t>
  </si>
  <si>
    <t xml:space="preserve">Máquina nova — a janela de observação começa no cadastro</t>
  </si>
  <si>
    <t xml:space="preserve">PREN-01</t>
  </si>
  <si>
    <t xml:space="preserve">Prensa hidráulica 100 t</t>
  </si>
  <si>
    <t xml:space="preserve">Hidropress</t>
  </si>
  <si>
    <t xml:space="preserve">Estamparia</t>
  </si>
  <si>
    <t xml:space="preserve">ESTE-01</t>
  </si>
  <si>
    <t xml:space="preserve">Esteira transportadora 12 m</t>
  </si>
  <si>
    <t xml:space="preserve">Transportec</t>
  </si>
  <si>
    <t xml:space="preserve">Expedição</t>
  </si>
  <si>
    <t xml:space="preserve">EMPI-01</t>
  </si>
  <si>
    <t xml:space="preserve">Empilhadeira 2,5 t — GLP</t>
  </si>
  <si>
    <t xml:space="preserve">Elevac</t>
  </si>
  <si>
    <t xml:space="preserve">FURA-01</t>
  </si>
  <si>
    <t xml:space="preserve">Furadeira de bancada 5/8"</t>
  </si>
  <si>
    <t xml:space="preserve">Bancoflex</t>
  </si>
  <si>
    <t xml:space="preserve">Ferramentaria</t>
  </si>
  <si>
    <t xml:space="preserve">SOLD-01</t>
  </si>
  <si>
    <t xml:space="preserve">Máquina de solda MIG 350 A</t>
  </si>
  <si>
    <t xml:space="preserve">Soldamax</t>
  </si>
  <si>
    <t xml:space="preserve">Caldeiraria</t>
  </si>
  <si>
    <t xml:space="preserve">Itens Inspecionados</t>
  </si>
  <si>
    <t xml:space="preserve">O catálogo, por TIPO de máquina. Escolha uma máquina só para achar o tipo — o item vale para TODAS as máquinas daquele tipo, não só a escolhida.</t>
  </si>
  <si>
    <t xml:space="preserve">Máquina de referência *</t>
  </si>
  <si>
    <t xml:space="preserve">Tipo de equipamento</t>
  </si>
  <si>
    <t xml:space="preserve">Seção</t>
  </si>
  <si>
    <t xml:space="preserve">Item de verificação *</t>
  </si>
  <si>
    <t xml:space="preserve">Criticidade *</t>
  </si>
  <si>
    <t xml:space="preserve">Ordem</t>
  </si>
  <si>
    <t xml:space="preserve">Chave</t>
  </si>
  <si>
    <t xml:space="preserve">Repetido?</t>
  </si>
  <si>
    <t xml:space="preserve">Lubrificação</t>
  </si>
  <si>
    <t xml:space="preserve">Nível de óleo</t>
  </si>
  <si>
    <t xml:space="preserve">Ar comprimido</t>
  </si>
  <si>
    <t xml:space="preserve">Vazamentos de ar</t>
  </si>
  <si>
    <t xml:space="preserve">Pressão de operação</t>
  </si>
  <si>
    <t xml:space="preserve">Mecânica</t>
  </si>
  <si>
    <t xml:space="preserve">Ruído e vibração</t>
  </si>
  <si>
    <t xml:space="preserve">Temperatura de operação</t>
  </si>
  <si>
    <t xml:space="preserve">Transmissão</t>
  </si>
  <si>
    <t xml:space="preserve">Correias</t>
  </si>
  <si>
    <t xml:space="preserve">Reservatório</t>
  </si>
  <si>
    <t xml:space="preserve">Dreno do reservatório</t>
  </si>
  <si>
    <t xml:space="preserve">Conservação</t>
  </si>
  <si>
    <t xml:space="preserve">Limpeza externa</t>
  </si>
  <si>
    <t xml:space="preserve">Elétrica</t>
  </si>
  <si>
    <t xml:space="preserve">Proteções e conexões elétricas</t>
  </si>
  <si>
    <t xml:space="preserve">Identificação</t>
  </si>
  <si>
    <t xml:space="preserve">Placa de identificação legível</t>
  </si>
  <si>
    <t xml:space="preserve">Botão de emergência funcional</t>
  </si>
  <si>
    <t xml:space="preserve">Proteções</t>
  </si>
  <si>
    <t xml:space="preserve">Proteção da árvore e da castanha</t>
  </si>
  <si>
    <t xml:space="preserve">Nível de óleo do cabeçote</t>
  </si>
  <si>
    <t xml:space="preserve">Folga do carro e do barramento</t>
  </si>
  <si>
    <t xml:space="preserve">Fixação da placa e das castanhas</t>
  </si>
  <si>
    <t xml:space="preserve">Refrigeração</t>
  </si>
  <si>
    <t xml:space="preserve">Sistema de refrigeração do corte</t>
  </si>
  <si>
    <t xml:space="preserve">Cavaco acumulado na bandeja</t>
  </si>
  <si>
    <t xml:space="preserve">Aterramento do painel</t>
  </si>
  <si>
    <t xml:space="preserve">Documentação</t>
  </si>
  <si>
    <t xml:space="preserve">Habilitação do operador (NR-11) vigente</t>
  </si>
  <si>
    <t xml:space="preserve">Elevação</t>
  </si>
  <si>
    <t xml:space="preserve">Garfos sem trinca ou deformação</t>
  </si>
  <si>
    <t xml:space="preserve">Correntes de elevação e lubrificação</t>
  </si>
  <si>
    <t xml:space="preserve">Vazamento no cilindro de elevação</t>
  </si>
  <si>
    <t xml:space="preserve">Segurança</t>
  </si>
  <si>
    <t xml:space="preserve">Cinto de segurança do operador</t>
  </si>
  <si>
    <t xml:space="preserve">Alarme de ré e sinalização sonora</t>
  </si>
  <si>
    <t xml:space="preserve">Rodagem</t>
  </si>
  <si>
    <t xml:space="preserve">Estado dos pneus</t>
  </si>
  <si>
    <t xml:space="preserve">Freios</t>
  </si>
  <si>
    <t xml:space="preserve">Freio de serviço e de estacionamento</t>
  </si>
  <si>
    <t xml:space="preserve">GLP</t>
  </si>
  <si>
    <t xml:space="preserve">Mangueira e fixação do cilindro de GLP</t>
  </si>
  <si>
    <t xml:space="preserve">Proteção dos tambores e do retorno</t>
  </si>
  <si>
    <t xml:space="preserve">Chave de emergência tipo cabo (trip)</t>
  </si>
  <si>
    <t xml:space="preserve">Correia</t>
  </si>
  <si>
    <t xml:space="preserve">Alinhamento e centragem da correia</t>
  </si>
  <si>
    <t xml:space="preserve">Emendas e desgaste da correia</t>
  </si>
  <si>
    <t xml:space="preserve">Roletes</t>
  </si>
  <si>
    <t xml:space="preserve">Roletes travados ou ruidosos</t>
  </si>
  <si>
    <t xml:space="preserve">Acionamento</t>
  </si>
  <si>
    <t xml:space="preserve">Tensionamento e estado do redutor</t>
  </si>
  <si>
    <t xml:space="preserve">Sensor de rotação e de desalinhamento</t>
  </si>
  <si>
    <t xml:space="preserve">Acúmulo de material sob a esteira</t>
  </si>
  <si>
    <t xml:space="preserve">Proteção da mesa e da árvore</t>
  </si>
  <si>
    <t xml:space="preserve">Lubrificação das guias</t>
  </si>
  <si>
    <t xml:space="preserve">Folga do fuso e das guias</t>
  </si>
  <si>
    <t xml:space="preserve">Fixação da morsa e dos rasgos T</t>
  </si>
  <si>
    <t xml:space="preserve">Fluido de corte: nível e vazão</t>
  </si>
  <si>
    <t xml:space="preserve">Limpeza da mesa e retirada do cavaco</t>
  </si>
  <si>
    <t xml:space="preserve">Comando bimanual funcional</t>
  </si>
  <si>
    <t xml:space="preserve">Cortina de luz ou proteção fixa</t>
  </si>
  <si>
    <t xml:space="preserve">Hidráulica</t>
  </si>
  <si>
    <t xml:space="preserve">Vazamento em mangueiras e cilindro</t>
  </si>
  <si>
    <t xml:space="preserve">Pressão e nível do fluido</t>
  </si>
  <si>
    <t xml:space="preserve">Estrutura</t>
  </si>
  <si>
    <t xml:space="preserve">Fixação da matriz e do martelo</t>
  </si>
  <si>
    <t xml:space="preserve">Botão de emergência e aterramento</t>
  </si>
  <si>
    <t xml:space="preserve">Freio e retenção do curso</t>
  </si>
  <si>
    <t xml:space="preserve">Limpeza e sinalização da área</t>
  </si>
  <si>
    <t xml:space="preserve">Proteção da correia e da polia</t>
  </si>
  <si>
    <t xml:space="preserve">Protetor da broca (visor)</t>
  </si>
  <si>
    <t xml:space="preserve">Cabo, plugue e aterramento</t>
  </si>
  <si>
    <t xml:space="preserve">Fixação da base na bancada</t>
  </si>
  <si>
    <t xml:space="preserve">Folga do mandril e da coluna</t>
  </si>
  <si>
    <t xml:space="preserve">Trava da mesa e do curso</t>
  </si>
  <si>
    <t xml:space="preserve">Limpeza e organização do posto</t>
  </si>
  <si>
    <t xml:space="preserve">Cabo de alimentação sem emenda</t>
  </si>
  <si>
    <t xml:space="preserve">Aterramento da obra e do equipamento</t>
  </si>
  <si>
    <t xml:space="preserve">Porta-eletrodo e garra isolados</t>
  </si>
  <si>
    <t xml:space="preserve">Gases</t>
  </si>
  <si>
    <t xml:space="preserve">Mangueiras, válvulas e manômetros</t>
  </si>
  <si>
    <t xml:space="preserve">Cilindros presos e na vertical</t>
  </si>
  <si>
    <t xml:space="preserve">Ventilação</t>
  </si>
  <si>
    <t xml:space="preserve">Exaustão de fumos metálicos</t>
  </si>
  <si>
    <t xml:space="preserve">EPI</t>
  </si>
  <si>
    <t xml:space="preserve">Máscara, avental e luvas disponíveis</t>
  </si>
  <si>
    <t xml:space="preserve">Área livre de material combustível</t>
  </si>
  <si>
    <t xml:space="preserve">Inspeções</t>
  </si>
  <si>
    <t xml:space="preserve">Cada evento de inspeção. A dupla TAG + data identifica o evento — não há código a inventar. A «Conferência» avisa se o lançamento ficou incompleto.</t>
  </si>
  <si>
    <t xml:space="preserve">Data *</t>
  </si>
  <si>
    <t xml:space="preserve">Inspetor</t>
  </si>
  <si>
    <t xml:space="preserve">O.S. / Observação</t>
  </si>
  <si>
    <t xml:space="preserve">Itens do catálogo</t>
  </si>
  <si>
    <t xml:space="preserve">Itens lançados</t>
  </si>
  <si>
    <t xml:space="preserve">Conferência</t>
  </si>
  <si>
    <t xml:space="preserve">Carlos Silva</t>
  </si>
  <si>
    <t xml:space="preserve">OS-1001</t>
  </si>
  <si>
    <t xml:space="preserve">Juliana Reis</t>
  </si>
  <si>
    <t xml:space="preserve">OS-1002</t>
  </si>
  <si>
    <t xml:space="preserve">Rafael Lima</t>
  </si>
  <si>
    <t xml:space="preserve">OS-1003</t>
  </si>
  <si>
    <t xml:space="preserve">OS-1004</t>
  </si>
  <si>
    <t xml:space="preserve">OS-1005</t>
  </si>
  <si>
    <t xml:space="preserve">Máquina a inspecionar:</t>
  </si>
  <si>
    <t xml:space="preserve">Escolha a TAG e imprima (Ctrl+P). AO TROCAR A TAG, refaça o filtro da tabela: marque todos e desmarque só os vazios. Esta linha não é impressa.</t>
  </si>
  <si>
    <t xml:space="preserve">LOGO</t>
  </si>
  <si>
    <t xml:space="preserve">TAG:</t>
  </si>
  <si>
    <t xml:space="preserve">Data:</t>
  </si>
  <si>
    <t xml:space="preserve">Equipamento:</t>
  </si>
  <si>
    <t xml:space="preserve">Inspetor:</t>
  </si>
  <si>
    <t xml:space="preserve">Setor / Local:</t>
  </si>
  <si>
    <t xml:space="preserve">O.S.:</t>
  </si>
  <si>
    <t xml:space="preserve">Item</t>
  </si>
  <si>
    <t xml:space="preserve">Verificação</t>
  </si>
  <si>
    <t xml:space="preserve">Observações gerais</t>
  </si>
  <si>
    <t xml:space="preserve">Visto do responsável pela área</t>
  </si>
  <si>
    <t xml:space="preserve">Assinatura do inspetor</t>
  </si>
  <si>
    <t xml:space="preserve">Modelo para lançamento</t>
  </si>
  <si>
    <t xml:space="preserve">Gera as linhas prontas da inspeção escolhida. Você copia daqui e cola em «Lançar Resultado» — nada é digitado duas vezes.</t>
  </si>
  <si>
    <t xml:space="preserve">Máquina (TAG):</t>
  </si>
  <si>
    <t xml:space="preserve">Data da inspeção:</t>
  </si>
  <si>
    <t xml:space="preserve">Tipo:</t>
  </si>
  <si>
    <t xml:space="preserve">Inspeção:</t>
  </si>
  <si>
    <t xml:space="preserve">Modelo — copie estas linhas</t>
  </si>
  <si>
    <t xml:space="preserve">TAG</t>
  </si>
  <si>
    <t xml:space="preserve">Data</t>
  </si>
  <si>
    <t xml:space="preserve">Tipo</t>
  </si>
  <si>
    <t xml:space="preserve">Item de verificação</t>
  </si>
  <si>
    <t xml:space="preserve">Lançar Resultado</t>
  </si>
  <si>
    <t xml:space="preserve">Cole o bloco da aba «Modelo para lançamento» (colunas A a F) na primeira linha VAZIA e marque a resposta. As linhas se acumulam — este é o histórico, e uma vez colado, corrigir o catálogo não altera inspeção antiga.</t>
  </si>
  <si>
    <t xml:space="preserve">Resposta *</t>
  </si>
  <si>
    <t xml:space="preserve">O que fazer</t>
  </si>
  <si>
    <t xml:space="preserve">Quem</t>
  </si>
  <si>
    <t xml:space="preserve">Quando</t>
  </si>
  <si>
    <t xml:space="preserve">Classificação</t>
  </si>
  <si>
    <t xml:space="preserve">Prioridade</t>
  </si>
  <si>
    <t xml:space="preserve">Vai p/ o plano?</t>
  </si>
  <si>
    <t xml:space="preserve">Nota nº</t>
  </si>
  <si>
    <t xml:space="preserve">normal</t>
  </si>
  <si>
    <t xml:space="preserve">sem vazamentos</t>
  </si>
  <si>
    <t xml:space="preserve">7,5 bar</t>
  </si>
  <si>
    <t xml:space="preserve">leve vibração</t>
  </si>
  <si>
    <t xml:space="preserve">acúmulo de condensado</t>
  </si>
  <si>
    <t xml:space="preserve">Programar drenagem do reservatório no fim do turno</t>
  </si>
  <si>
    <t xml:space="preserve">botão travado</t>
  </si>
  <si>
    <t xml:space="preserve">Substituir o botão de emergência — máquina bloqueada até a correção</t>
  </si>
  <si>
    <t xml:space="preserve">proteção removida</t>
  </si>
  <si>
    <t xml:space="preserve">Reinstalar a proteção da castanha</t>
  </si>
  <si>
    <t xml:space="preserve">dentro do aceitável</t>
  </si>
  <si>
    <t xml:space="preserve">bomba sem vazão</t>
  </si>
  <si>
    <t xml:space="preserve">Desobstruir o circuito e testar a bomba</t>
  </si>
  <si>
    <t xml:space="preserve">bandeja cheia</t>
  </si>
  <si>
    <t xml:space="preserve">Incluir limpeza da bandeja no fim de turno</t>
  </si>
  <si>
    <t xml:space="preserve">vencida há 4 dias</t>
  </si>
  <si>
    <t xml:space="preserve">Reciclagem do operador — NR-11</t>
  </si>
  <si>
    <t xml:space="preserve">lubrificação pobre</t>
  </si>
  <si>
    <t xml:space="preserve">Lubrificar as correntes de elevação</t>
  </si>
  <si>
    <t xml:space="preserve">gotejamento</t>
  </si>
  <si>
    <t xml:space="preserve">Trocar o vedante do cilindro de elevação</t>
  </si>
  <si>
    <t xml:space="preserve">alarme inoperante</t>
  </si>
  <si>
    <t xml:space="preserve">Substituir o alarme de ré</t>
  </si>
  <si>
    <t xml:space="preserve">testada</t>
  </si>
  <si>
    <t xml:space="preserve">emenda abrindo</t>
  </si>
  <si>
    <t xml:space="preserve">Refazer a emenda da correia</t>
  </si>
  <si>
    <t xml:space="preserve">3 roletes travados</t>
  </si>
  <si>
    <t xml:space="preserve">Substituir os roletes travados</t>
  </si>
  <si>
    <t xml:space="preserve">esteira sem sensor</t>
  </si>
  <si>
    <t xml:space="preserve">acúmulo sob o retorno</t>
  </si>
  <si>
    <t xml:space="preserve">Limpeza semanal sob o retorno</t>
  </si>
  <si>
    <t xml:space="preserve">testado</t>
  </si>
  <si>
    <t xml:space="preserve">cortina desalinhada</t>
  </si>
  <si>
    <t xml:space="preserve">Realinhar e testar a cortina de luz — máquina bloqueada até a correção</t>
  </si>
  <si>
    <t xml:space="preserve">mangueira suando</t>
  </si>
  <si>
    <t xml:space="preserve">Trocar a mangueira do cilindro principal</t>
  </si>
  <si>
    <t xml:space="preserve">demarcação apagada</t>
  </si>
  <si>
    <t xml:space="preserve">Repintar a demarcação do posto</t>
  </si>
  <si>
    <t xml:space="preserve">Plano de ação</t>
  </si>
  <si>
    <t xml:space="preserve">Monta-se sozinha: entra todo item cuja nota ficou igual ou acima do limite, na ordem em que foi lançado. Para mudar algo, edite «Lançar Resultado».</t>
  </si>
  <si>
    <t xml:space="preserve">#</t>
  </si>
  <si>
    <t xml:space="preserve">O que foi encontrado</t>
  </si>
  <si>
    <t xml:space="preserve">Atraso (dias)</t>
  </si>
  <si>
    <t xml:space="preserve">Linha</t>
  </si>
  <si>
    <t xml:space="preserve">Resumo por inspeção</t>
  </si>
  <si>
    <t xml:space="preserve">Calculado — não digite nada aqui.</t>
  </si>
  <si>
    <t xml:space="preserve">Nota máxima</t>
  </si>
  <si>
    <t xml:space="preserve">Pendências</t>
  </si>
  <si>
    <t xml:space="preserve">Alta</t>
  </si>
  <si>
    <t xml:space="preserve">Conformidade</t>
  </si>
  <si>
    <t xml:space="preserve">Ordenação (coluna técnica)</t>
  </si>
  <si>
    <t xml:space="preserve">Painel de inspeções e plano de ação</t>
  </si>
  <si>
    <t xml:space="preserve">EQUIPAMENTOS</t>
  </si>
  <si>
    <t xml:space="preserve">INSPEÇÃO ATRASADA</t>
  </si>
  <si>
    <t xml:space="preserve">VENCE EM BREVE</t>
  </si>
  <si>
    <t xml:space="preserve">SEM HISTÓRICO</t>
  </si>
  <si>
    <t xml:space="preserve">cadastrados</t>
  </si>
  <si>
    <t xml:space="preserve">máquinas fora do prazo</t>
  </si>
  <si>
    <t xml:space="preserve">dentro da janela de alerta</t>
  </si>
  <si>
    <t xml:space="preserve">nunca inspecionadas</t>
  </si>
  <si>
    <t xml:space="preserve">CONFORMIDADE</t>
  </si>
  <si>
    <t xml:space="preserve">BLOQUEIOS</t>
  </si>
  <si>
    <t xml:space="preserve">PENDÊNCIAS ABERTAS</t>
  </si>
  <si>
    <t xml:space="preserve">PENDÊNCIAS ATRASADAS</t>
  </si>
  <si>
    <t xml:space="preserve">OK ÷ (OK + NOK)</t>
  </si>
  <si>
    <t xml:space="preserve">máquina não deve operar</t>
  </si>
  <si>
    <t xml:space="preserve">no plano de ação</t>
  </si>
  <si>
    <t xml:space="preserve">prazo vencido</t>
  </si>
  <si>
    <t xml:space="preserve">Prioridade alta em aberto — as cinco primeiras</t>
  </si>
  <si>
    <t xml:space="preserve">A folha vai impressa e o resultado volta digitado. No Andonize o técnico responde no celular, com foto em cada item — e o plano de ação nasce junto do relatório.   ·   andonize.com</t>
  </si>
  <si>
    <t xml:space="preserve">Dados dos gráficos</t>
  </si>
  <si>
    <t xml:space="preserve">Calculadas.</t>
  </si>
  <si>
    <t xml:space="preserve">Situação da inspeção</t>
  </si>
  <si>
    <t xml:space="preserve">Máquinas</t>
  </si>
  <si>
    <t xml:space="preserve">Em dia</t>
  </si>
  <si>
    <t xml:space="preserve">Vence em breve</t>
  </si>
  <si>
    <t xml:space="preserve">Média</t>
  </si>
  <si>
    <t xml:space="preserve">Atrasada</t>
  </si>
  <si>
    <t xml:space="preserve">Baixa</t>
  </si>
  <si>
    <t xml:space="preserve">Sem histórico</t>
  </si>
  <si>
    <t xml:space="preserve">Uso e direitos</t>
  </si>
  <si>
    <t xml:space="preserve">Planilha gratuita da Andonize. Uso livre na sua empresa e com os seus clientes, inclusive comercial. Não é permitido revender, redistribuir como material próprio nem publicar o arquivo para download em outro site. © 2026 Andonize · andonize.com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</si>
</sst>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\ hh:mm"/>
    <numFmt numFmtId="166" formatCode="0"/>
    <numFmt numFmtId="167" formatCode="dd/mm/yyyy"/>
    <numFmt numFmtId="168" formatCode="dd/mm/yyyy;;;"/>
    <numFmt numFmtId="169" formatCode="General"/>
    <numFmt numFmtId="170" formatCode="0\%"/>
  </numFmts>
  <fonts count="4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38C4"/>
      <name val="Arial"/>
      <family val="0"/>
      <charset val="1"/>
    </font>
    <font>
      <b val="true"/>
      <sz val="18"/>
      <color rgb="FF1A2B42"/>
      <name val="Arial"/>
      <family val="0"/>
      <charset val="1"/>
    </font>
    <font>
      <sz val="11"/>
      <color rgb="FF5C6C85"/>
      <name val="Arial"/>
      <family val="0"/>
      <charset val="1"/>
    </font>
    <font>
      <b val="true"/>
      <sz val="12"/>
      <color rgb="FF1A2B42"/>
      <name val="Arial"/>
      <family val="0"/>
      <charset val="1"/>
    </font>
    <font>
      <b val="true"/>
      <sz val="10"/>
      <color rgb="FF1A2B42"/>
      <name val="Arial"/>
      <family val="0"/>
      <charset val="1"/>
    </font>
    <font>
      <sz val="10"/>
      <color rgb="FF5C6C85"/>
      <name val="Arial"/>
      <family val="0"/>
      <charset val="1"/>
    </font>
    <font>
      <b val="true"/>
      <i val="true"/>
      <sz val="10"/>
      <color rgb="FF5C6C85"/>
      <name val="Arial"/>
      <family val="0"/>
      <charset val="1"/>
    </font>
    <font>
      <sz val="10"/>
      <color rgb="FF0F38C4"/>
      <name val="Arial"/>
      <family val="0"/>
      <charset val="1"/>
    </font>
    <font>
      <sz val="9"/>
      <color rgb="FF8A9AB5"/>
      <name val="Arial"/>
      <family val="0"/>
      <charset val="1"/>
    </font>
    <font>
      <b val="true"/>
      <sz val="14"/>
      <color rgb="FF1A2B42"/>
      <name val="Arial"/>
      <family val="0"/>
      <charset val="1"/>
    </font>
    <font>
      <b val="true"/>
      <sz val="10"/>
      <color rgb="FF0F38C4"/>
      <name val="Arial"/>
      <family val="0"/>
      <charset val="1"/>
    </font>
    <font>
      <sz val="9"/>
      <color rgb="FF5C6C8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A2B42"/>
      <name val="Arial"/>
      <family val="0"/>
      <charset val="1"/>
    </font>
    <font>
      <b val="true"/>
      <sz val="11"/>
      <color rgb="FF00875A"/>
      <name val="Arial"/>
      <family val="0"/>
      <charset val="1"/>
    </font>
    <font>
      <b val="true"/>
      <sz val="10"/>
      <color rgb="FF00875A"/>
      <name val="Arial"/>
      <family val="0"/>
      <charset val="1"/>
    </font>
    <font>
      <b val="true"/>
      <sz val="11"/>
      <color rgb="FF5C6C85"/>
      <name val="Arial"/>
      <family val="0"/>
      <charset val="1"/>
    </font>
    <font>
      <b val="true"/>
      <sz val="10"/>
      <color rgb="FF5C6C85"/>
      <name val="Arial"/>
      <family val="0"/>
      <charset val="1"/>
    </font>
    <font>
      <b val="true"/>
      <sz val="11"/>
      <color rgb="FFA66300"/>
      <name val="Arial"/>
      <family val="0"/>
      <charset val="1"/>
    </font>
    <font>
      <b val="true"/>
      <sz val="10"/>
      <color rgb="FFA66300"/>
      <name val="Arial"/>
      <family val="0"/>
      <charset val="1"/>
    </font>
    <font>
      <b val="true"/>
      <sz val="11"/>
      <color rgb="FFB5480B"/>
      <name val="Arial"/>
      <family val="0"/>
      <charset val="1"/>
    </font>
    <font>
      <b val="true"/>
      <sz val="10"/>
      <color rgb="FFB5480B"/>
      <name val="Arial"/>
      <family val="0"/>
      <charset val="1"/>
    </font>
    <font>
      <b val="true"/>
      <sz val="11"/>
      <color rgb="FFC41E3A"/>
      <name val="Arial"/>
      <family val="0"/>
      <charset val="1"/>
    </font>
    <font>
      <b val="true"/>
      <sz val="10"/>
      <color rgb="FFC41E3A"/>
      <name val="Arial"/>
      <family val="0"/>
      <charset val="1"/>
    </font>
    <font>
      <i val="true"/>
      <sz val="10"/>
      <color rgb="FF5C6C85"/>
      <name val="Arial"/>
      <family val="0"/>
      <charset val="1"/>
    </font>
    <font>
      <sz val="10"/>
      <name val="Arial"/>
      <family val="2"/>
    </font>
    <font>
      <b val="true"/>
      <sz val="9"/>
      <color rgb="FF8A9AB5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1"/>
      <color rgb="FF1A2B4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A2B42"/>
      <name val="Arial"/>
      <family val="0"/>
      <charset val="1"/>
    </font>
    <font>
      <sz val="8"/>
      <color rgb="FF8A9AB5"/>
      <name val="Arial"/>
      <family val="0"/>
      <charset val="1"/>
    </font>
    <font>
      <b val="true"/>
      <sz val="20"/>
      <color rgb="FF1A2B42"/>
      <name val="Arial"/>
      <family val="0"/>
      <charset val="1"/>
    </font>
    <font>
      <b val="true"/>
      <sz val="9"/>
      <color rgb="FF5C6C85"/>
      <name val="Arial"/>
      <family val="0"/>
      <charset val="1"/>
    </font>
    <font>
      <b val="true"/>
      <sz val="22"/>
      <color rgb="FF0F38C4"/>
      <name val="Arial"/>
      <family val="0"/>
      <charset val="1"/>
    </font>
    <font>
      <b val="true"/>
      <sz val="22"/>
      <color rgb="FFC41E3A"/>
      <name val="Arial"/>
      <family val="0"/>
      <charset val="1"/>
    </font>
    <font>
      <b val="true"/>
      <sz val="22"/>
      <color rgb="FFA66300"/>
      <name val="Arial"/>
      <family val="0"/>
      <charset val="1"/>
    </font>
    <font>
      <b val="true"/>
      <sz val="22"/>
      <color rgb="FF5C6C85"/>
      <name val="Arial"/>
      <family val="0"/>
      <charset val="1"/>
    </font>
    <font>
      <b val="true"/>
      <sz val="22"/>
      <color rgb="FF00875A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1A2B42"/>
      <name val="Arial"/>
      <family val="2"/>
    </font>
    <font>
      <sz val="9"/>
      <color rgb="FF8A9AB5"/>
      <name val="Arial"/>
      <family val="2"/>
    </font>
    <font>
      <b val="true"/>
      <sz val="9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BF0FF"/>
        <bgColor rgb="FFEBF0F8"/>
      </patternFill>
    </fill>
    <fill>
      <patternFill patternType="solid">
        <fgColor rgb="FFFFFFFF"/>
        <bgColor rgb="FFFFF4E0"/>
      </patternFill>
    </fill>
    <fill>
      <patternFill patternType="solid">
        <fgColor rgb="FFEBF0F8"/>
        <bgColor rgb="FFEBF0FF"/>
      </patternFill>
    </fill>
    <fill>
      <patternFill patternType="solid">
        <fgColor rgb="FF1A2B42"/>
        <bgColor rgb="FF003366"/>
      </patternFill>
    </fill>
    <fill>
      <patternFill patternType="solid">
        <fgColor rgb="FFE6FAF4"/>
        <bgColor rgb="FFEBF0F8"/>
      </patternFill>
    </fill>
    <fill>
      <patternFill patternType="solid">
        <fgColor rgb="FFFFF4E0"/>
        <bgColor rgb="FFFFEEE2"/>
      </patternFill>
    </fill>
    <fill>
      <patternFill patternType="solid">
        <fgColor rgb="FFFFEEE2"/>
        <bgColor rgb="FFFFF4E0"/>
      </patternFill>
    </fill>
    <fill>
      <patternFill patternType="solid">
        <fgColor rgb="FFFFECF0"/>
        <bgColor rgb="FFFFEEE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AE2EF"/>
      </left>
      <right style="thin">
        <color rgb="FFDAE2EF"/>
      </right>
      <top style="thin">
        <color rgb="FFDAE2EF"/>
      </top>
      <bottom style="thin">
        <color rgb="FFDAE2EF"/>
      </bottom>
      <diagonal/>
    </border>
    <border diagonalUp="false" diagonalDown="false">
      <left style="thin">
        <color rgb="FF9AA7BC"/>
      </left>
      <right style="thin">
        <color rgb="FF9AA7BC"/>
      </right>
      <top style="thin">
        <color rgb="FF9AA7BC"/>
      </top>
      <bottom style="thin">
        <color rgb="FF9AA7BC"/>
      </bottom>
      <diagonal/>
    </border>
    <border diagonalUp="false" diagonalDown="false">
      <left style="thin">
        <color rgb="FF9AA7BC"/>
      </left>
      <right style="thin">
        <color rgb="FF9AA7BC"/>
      </right>
      <top/>
      <bottom style="hair">
        <color rgb="FF9AA7BC"/>
      </bottom>
      <diagonal/>
    </border>
    <border diagonalUp="false" diagonalDown="false">
      <left/>
      <right/>
      <top/>
      <bottom style="thin">
        <color rgb="FF9AA7B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7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7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9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0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1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9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7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7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42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4">
    <dxf>
      <font>
        <name val="Arial"/>
        <charset val="1"/>
        <family val="0"/>
        <b val="1"/>
        <i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b val="1"/>
        <i val="1"/>
        <color rgb="FFA66300"/>
        <sz val="10"/>
      </font>
      <fill>
        <patternFill>
          <bgColor rgb="FFFFF4E0"/>
        </patternFill>
      </fill>
    </dxf>
    <dxf>
      <font>
        <name val="Arial"/>
        <charset val="1"/>
        <family val="0"/>
        <b val="1"/>
        <i val="1"/>
        <color rgb="FF00875A"/>
        <sz val="10"/>
      </font>
      <fill>
        <patternFill>
          <bgColor rgb="FFE6FAF4"/>
        </patternFill>
      </fill>
    </dxf>
    <dxf>
      <font>
        <name val="Arial"/>
        <charset val="1"/>
        <family val="0"/>
        <b val="1"/>
        <i val="1"/>
        <color rgb="FF5C6C85"/>
        <sz val="10"/>
      </font>
      <fill>
        <patternFill>
          <bgColor rgb="FFEBF0F8"/>
        </patternFill>
      </fill>
    </dxf>
    <dxf>
      <font>
        <name val="Arial"/>
        <charset val="1"/>
        <family val="0"/>
        <b val="1"/>
        <color rgb="FFC41E3A"/>
        <sz val="10"/>
      </font>
      <fill>
        <patternFill>
          <bgColor rgb="FFFFECF0"/>
        </patternFill>
      </fill>
    </dxf>
    <dxf>
      <fill>
        <patternFill patternType="solid">
          <fgColor rgb="FF1A2B4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BF0F8"/>
          <bgColor rgb="FF000000"/>
        </patternFill>
      </fill>
    </dxf>
    <dxf>
      <fill>
        <patternFill patternType="solid">
          <fgColor rgb="FF5C6C8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EBF0FF"/>
          <bgColor rgb="FF000000"/>
        </patternFill>
      </fill>
    </dxf>
    <dxf>
      <border diagonalUp="false" diagonalDown="false">
        <left style="thin">
          <color rgb="FF9AA7BC"/>
        </left>
        <right style="thin">
          <color rgb="FF9AA7BC"/>
        </right>
        <top style="thin">
          <color rgb="FF9AA7BC"/>
        </top>
        <bottom style="thin">
          <color rgb="FF9AA7BC"/>
        </bottom>
        <diagonal/>
      </border>
    </dxf>
    <dxf>
      <fill>
        <patternFill patternType="solid">
          <fgColor rgb="FFFFECF0"/>
          <bgColor rgb="FF000000"/>
        </patternFill>
      </fill>
    </dxf>
    <dxf>
      <fill>
        <patternFill patternType="solid">
          <fgColor rgb="FFC41E3A"/>
          <bgColor rgb="FF000000"/>
        </patternFill>
      </fill>
    </dxf>
    <dxf>
      <fill>
        <patternFill patternType="solid">
          <fgColor rgb="FFE6FAF4"/>
          <bgColor rgb="FF000000"/>
        </patternFill>
      </fill>
    </dxf>
    <dxf>
      <fill>
        <patternFill patternType="solid">
          <fgColor rgb="FFFFEEE2"/>
          <bgColor rgb="FF000000"/>
        </patternFill>
      </fill>
    </dxf>
    <dxf>
      <fill>
        <patternFill patternType="solid">
          <fgColor rgb="FFFFF4E0"/>
          <bgColor rgb="FF000000"/>
        </patternFill>
      </fill>
    </dxf>
    <dxf>
      <fill>
        <patternFill patternType="solid">
          <fgColor rgb="FF00875A"/>
          <bgColor rgb="FF000000"/>
        </patternFill>
      </fill>
    </dxf>
    <dxf>
      <fill>
        <patternFill patternType="solid">
          <fgColor rgb="FFA66300"/>
          <bgColor rgb="FF000000"/>
        </patternFill>
      </fill>
    </dxf>
    <dxf>
      <fill>
        <patternFill patternType="solid">
          <fgColor rgb="FFB5480B"/>
          <bgColor rgb="FF000000"/>
        </patternFill>
      </fill>
    </dxf>
    <dxf>
      <font>
        <name val="Arial"/>
        <charset val="1"/>
        <family val="0"/>
        <b val="1"/>
        <i val="1"/>
        <color rgb="FFB5480B"/>
        <sz val="10"/>
      </font>
      <fill>
        <patternFill>
          <bgColor rgb="FFFFEEE2"/>
        </patternFill>
      </fill>
    </dxf>
    <dxf>
      <font>
        <name val="Arial"/>
        <charset val="1"/>
        <family val="0"/>
        <b val="1"/>
        <color rgb="FFA66300"/>
        <sz val="10"/>
      </font>
      <fill>
        <patternFill>
          <bgColor rgb="FFFFF4E0"/>
        </patternFill>
      </fill>
    </dxf>
    <dxf>
      <font>
        <name val="Arial"/>
        <charset val="1"/>
        <family val="0"/>
        <b val="1"/>
        <color rgb="FF00875A"/>
        <sz val="10"/>
      </font>
      <fill>
        <patternFill>
          <bgColor rgb="FFE6FAF4"/>
        </patternFill>
      </fill>
    </dxf>
    <dxf>
      <font>
        <name val="Arial"/>
        <charset val="1"/>
        <family val="0"/>
        <color rgb="FFFFFFFF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6300"/>
      <rgbColor rgb="FF800080"/>
      <rgbColor rgb="FF00875A"/>
      <rgbColor rgb="FFDAE2EF"/>
      <rgbColor rgb="FF878787"/>
      <rgbColor rgb="FF9AA7BC"/>
      <rgbColor rgb="FFC41E3A"/>
      <rgbColor rgb="FFFFF4E0"/>
      <rgbColor rgb="FFE6FA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0FF"/>
      <rgbColor rgb="FFEBF0F8"/>
      <rgbColor rgb="FFFFEEE2"/>
      <rgbColor rgb="FF99CCFF"/>
      <rgbColor rgb="FFFF99CC"/>
      <rgbColor rgb="FFCC99FF"/>
      <rgbColor rgb="FFFFECF0"/>
      <rgbColor rgb="FF4F81BD"/>
      <rgbColor rgb="FF33CCCC"/>
      <rgbColor rgb="FF99CC00"/>
      <rgbColor rgb="FFFFCC00"/>
      <rgbColor rgb="FFFF9900"/>
      <rgbColor rgb="FFFF6600"/>
      <rgbColor rgb="FF5C6C85"/>
      <rgbColor rgb="FF8A9AB5"/>
      <rgbColor rgb="FF003366"/>
      <rgbColor rgb="FF339966"/>
      <rgbColor rgb="FF003300"/>
      <rgbColor rgb="FF333300"/>
      <rgbColor rgb="FFB5480B"/>
      <rgbColor rgb="FF993366"/>
      <rgbColor rgb="FF0F38C4"/>
      <rgbColor rgb="FF1A2B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Máquinas por situação da inspeção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Painel!D60</c:f>
              <c:strCache>
                <c:ptCount val="1"/>
                <c:pt idx="0">
                  <c:v>Máquinas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Painel!$B$61:$B$64</c:f>
              <c:strCache>
                <c:ptCount val="4"/>
                <c:pt idx="0">
                  <c:v>Em dia</c:v>
                </c:pt>
                <c:pt idx="1">
                  <c:v>Vence em breve</c:v>
                </c:pt>
                <c:pt idx="2">
                  <c:v>Atrasada</c:v>
                </c:pt>
                <c:pt idx="3">
                  <c:v>Sem histórico</c:v>
                </c:pt>
              </c:strCache>
            </c:strRef>
          </c:cat>
          <c:val>
            <c:numRef>
              <c:f>Painel!$D$61:$D$64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</c:numCache>
            </c:numRef>
          </c:val>
        </c:ser>
        <c:gapWidth val="150"/>
        <c:overlap val="0"/>
        <c:axId val="2496097"/>
        <c:axId val="97507688"/>
      </c:barChart>
      <c:catAx>
        <c:axId val="249609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507688"/>
        <c:crosses val="autoZero"/>
        <c:auto val="1"/>
        <c:lblAlgn val="ctr"/>
        <c:lblOffset val="100"/>
        <c:noMultiLvlLbl val="0"/>
      </c:catAx>
      <c:valAx>
        <c:axId val="97507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9609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Pendências
Por prioridade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Painel!G60</c:f>
              <c:strCache>
                <c:ptCount val="1"/>
                <c:pt idx="0">
                  <c:v>Pendências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c41e3a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6630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c6c85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900" spc="-1" strike="noStrike">
                    <a:solidFill>
                      <a:srgbClr val="ffffff"/>
                    </a:solidFill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Painel!$F$61:$F$63</c:f>
              <c:strCache>
                <c:ptCount val="3"/>
                <c:pt idx="0">
                  <c:v>Alta</c:v>
                </c:pt>
                <c:pt idx="1">
                  <c:v>Média</c:v>
                </c:pt>
                <c:pt idx="2">
                  <c:v>Baixa</c:v>
                </c:pt>
              </c:strCache>
            </c:strRef>
          </c:cat>
          <c:val>
            <c:numRef>
              <c:f>Painel!$G$61:$G$63</c:f>
              <c:numCache>
                <c:formatCode>General</c:formatCode>
                <c:ptCount val="3"/>
                <c:pt idx="0">
                  <c:v>4</c:v>
                </c:pt>
                <c:pt idx="1">
                  <c:v>8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218880</xdr:colOff>
      <xdr:row>1</xdr:row>
      <xdr:rowOff>266400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190440"/>
          <a:ext cx="21888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21</xdr:row>
      <xdr:rowOff>70560</xdr:rowOff>
    </xdr:from>
    <xdr:to>
      <xdr:col>10</xdr:col>
      <xdr:colOff>89640</xdr:colOff>
      <xdr:row>35</xdr:row>
      <xdr:rowOff>67320</xdr:rowOff>
    </xdr:to>
    <xdr:graphicFrame>
      <xdr:nvGraphicFramePr>
        <xdr:cNvPr id="1" name="Chart 1"/>
        <xdr:cNvGraphicFramePr/>
      </xdr:nvGraphicFramePr>
      <xdr:xfrm>
        <a:off x="141120" y="4896000"/>
        <a:ext cx="593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21</xdr:row>
      <xdr:rowOff>70560</xdr:rowOff>
    </xdr:from>
    <xdr:to>
      <xdr:col>14</xdr:col>
      <xdr:colOff>466920</xdr:colOff>
      <xdr:row>35</xdr:row>
      <xdr:rowOff>67320</xdr:rowOff>
    </xdr:to>
    <xdr:graphicFrame>
      <xdr:nvGraphicFramePr>
        <xdr:cNvPr id="2" name="Chart 2"/>
        <xdr:cNvGraphicFramePr/>
      </xdr:nvGraphicFramePr>
      <xdr:xfrm>
        <a:off x="5216040" y="4896000"/>
        <a:ext cx="377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vmlDrawing" Target="../drawings/vmlDrawing7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6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2:C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100"/>
    <col collapsed="false" customWidth="true" hidden="false" outlineLevel="0" max="4" min="4" style="0" width="2"/>
  </cols>
  <sheetData>
    <row r="2" customFormat="false" ht="25.5" hidden="false" customHeight="true" outlineLevel="0" collapsed="false">
      <c r="B2" s="1" t="s">
        <v>0</v>
      </c>
    </row>
    <row r="4" customFormat="false" ht="22.05" hidden="false" customHeight="false" outlineLevel="0" collapsed="false">
      <c r="B4" s="2" t="s">
        <v>1</v>
      </c>
    </row>
    <row r="5" customFormat="false" ht="31.5" hidden="false" customHeight="true" outlineLevel="0" collapsed="false">
      <c r="B5" s="3" t="s">
        <v>2</v>
      </c>
      <c r="C5" s="3"/>
    </row>
    <row r="8" customFormat="false" ht="25.5" hidden="false" customHeight="true" outlineLevel="0" collapsed="false">
      <c r="B8" s="4" t="s">
        <v>3</v>
      </c>
      <c r="C8" s="5"/>
    </row>
    <row r="10" customFormat="false" ht="45.75" hidden="false" customHeight="true" outlineLevel="0" collapsed="false">
      <c r="B10" s="6" t="s">
        <v>4</v>
      </c>
      <c r="C10" s="7" t="s">
        <v>5</v>
      </c>
    </row>
    <row r="11" customFormat="false" ht="60" hidden="false" customHeight="true" outlineLevel="0" collapsed="false">
      <c r="B11" s="6" t="s">
        <v>6</v>
      </c>
      <c r="C11" s="7" t="s">
        <v>7</v>
      </c>
    </row>
    <row r="12" customFormat="false" ht="60" hidden="false" customHeight="true" outlineLevel="0" collapsed="false">
      <c r="B12" s="6" t="s">
        <v>8</v>
      </c>
      <c r="C12" s="7" t="s">
        <v>9</v>
      </c>
    </row>
    <row r="13" customFormat="false" ht="30" hidden="false" customHeight="true" outlineLevel="0" collapsed="false">
      <c r="B13" s="6" t="s">
        <v>10</v>
      </c>
      <c r="C13" s="7" t="s">
        <v>11</v>
      </c>
    </row>
    <row r="14" customFormat="false" ht="45.75" hidden="false" customHeight="true" outlineLevel="0" collapsed="false">
      <c r="B14" s="6" t="s">
        <v>12</v>
      </c>
      <c r="C14" s="7" t="s">
        <v>13</v>
      </c>
    </row>
    <row r="15" customFormat="false" ht="60" hidden="false" customHeight="true" outlineLevel="0" collapsed="false">
      <c r="B15" s="6" t="s">
        <v>14</v>
      </c>
      <c r="C15" s="7" t="s">
        <v>15</v>
      </c>
    </row>
    <row r="16" customFormat="false" ht="30" hidden="false" customHeight="true" outlineLevel="0" collapsed="false">
      <c r="B16" s="6" t="s">
        <v>16</v>
      </c>
      <c r="C16" s="7" t="s">
        <v>17</v>
      </c>
    </row>
    <row r="17" customFormat="false" ht="25.5" hidden="false" customHeight="true" outlineLevel="0" collapsed="false">
      <c r="B17" s="4" t="s">
        <v>18</v>
      </c>
      <c r="C17" s="5"/>
    </row>
    <row r="19" customFormat="false" ht="30" hidden="false" customHeight="true" outlineLevel="0" collapsed="false">
      <c r="B19" s="8" t="s">
        <v>19</v>
      </c>
      <c r="C19" s="7" t="s">
        <v>20</v>
      </c>
    </row>
    <row r="20" customFormat="false" ht="30" hidden="false" customHeight="true" outlineLevel="0" collapsed="false">
      <c r="B20" s="9" t="s">
        <v>21</v>
      </c>
      <c r="C20" s="7" t="s">
        <v>22</v>
      </c>
    </row>
    <row r="21" customFormat="false" ht="25.5" hidden="false" customHeight="true" outlineLevel="0" collapsed="false">
      <c r="B21" s="4" t="s">
        <v>23</v>
      </c>
      <c r="C21" s="5"/>
    </row>
    <row r="23" customFormat="false" ht="45.75" hidden="false" customHeight="true" outlineLevel="0" collapsed="false">
      <c r="B23" s="6" t="s">
        <v>24</v>
      </c>
      <c r="C23" s="7" t="s">
        <v>25</v>
      </c>
    </row>
    <row r="24" customFormat="false" ht="60" hidden="false" customHeight="true" outlineLevel="0" collapsed="false">
      <c r="B24" s="6" t="s">
        <v>26</v>
      </c>
      <c r="C24" s="7" t="s">
        <v>27</v>
      </c>
    </row>
    <row r="25" customFormat="false" ht="45.75" hidden="false" customHeight="true" outlineLevel="0" collapsed="false">
      <c r="B25" s="6" t="s">
        <v>28</v>
      </c>
      <c r="C25" s="7" t="s">
        <v>29</v>
      </c>
    </row>
    <row r="26" customFormat="false" ht="45.75" hidden="false" customHeight="true" outlineLevel="0" collapsed="false">
      <c r="B26" s="6" t="s">
        <v>30</v>
      </c>
      <c r="C26" s="7" t="s">
        <v>31</v>
      </c>
    </row>
    <row r="27" customFormat="false" ht="45.75" hidden="false" customHeight="true" outlineLevel="0" collapsed="false">
      <c r="B27" s="6" t="s">
        <v>32</v>
      </c>
      <c r="C27" s="7" t="s">
        <v>33</v>
      </c>
    </row>
    <row r="28" customFormat="false" ht="25.5" hidden="false" customHeight="true" outlineLevel="0" collapsed="false">
      <c r="B28" s="4" t="s">
        <v>34</v>
      </c>
      <c r="C28" s="5"/>
    </row>
    <row r="30" customFormat="false" ht="60" hidden="false" customHeight="true" outlineLevel="0" collapsed="false">
      <c r="B30" s="6" t="s">
        <v>35</v>
      </c>
      <c r="C30" s="7" t="s">
        <v>36</v>
      </c>
    </row>
    <row r="31" customFormat="false" ht="45.75" hidden="false" customHeight="true" outlineLevel="0" collapsed="false">
      <c r="B31" s="6" t="s">
        <v>37</v>
      </c>
      <c r="C31" s="7" t="s">
        <v>38</v>
      </c>
    </row>
    <row r="32" customFormat="false" ht="25.5" hidden="false" customHeight="true" outlineLevel="0" collapsed="false">
      <c r="B32" s="4" t="s">
        <v>39</v>
      </c>
      <c r="C32" s="5"/>
    </row>
    <row r="34" customFormat="false" ht="60" hidden="false" customHeight="true" outlineLevel="0" collapsed="false">
      <c r="B34" s="6" t="s">
        <v>40</v>
      </c>
      <c r="C34" s="7" t="s">
        <v>41</v>
      </c>
    </row>
    <row r="35" customFormat="false" ht="25.5" hidden="false" customHeight="true" outlineLevel="0" collapsed="false">
      <c r="B35" s="4" t="s">
        <v>42</v>
      </c>
      <c r="C35" s="5"/>
    </row>
    <row r="37" customFormat="false" ht="45.75" hidden="false" customHeight="true" outlineLevel="0" collapsed="false">
      <c r="B37" s="6" t="s">
        <v>43</v>
      </c>
      <c r="C37" s="7" t="s">
        <v>44</v>
      </c>
    </row>
    <row r="38" customFormat="false" ht="30" hidden="false" customHeight="true" outlineLevel="0" collapsed="false">
      <c r="B38" s="6" t="s">
        <v>45</v>
      </c>
      <c r="C38" s="7" t="s">
        <v>46</v>
      </c>
    </row>
    <row r="39" customFormat="false" ht="45.75" hidden="false" customHeight="true" outlineLevel="0" collapsed="false">
      <c r="B39" s="6" t="s">
        <v>47</v>
      </c>
      <c r="C39" s="7" t="s">
        <v>48</v>
      </c>
    </row>
    <row r="41" customFormat="false" ht="33.75" hidden="false" customHeight="true" outlineLevel="0" collapsed="false">
      <c r="B41" s="10" t="s">
        <v>49</v>
      </c>
      <c r="C41" s="11" t="s">
        <v>50</v>
      </c>
    </row>
    <row r="43" customFormat="false" ht="15" hidden="false" customHeight="false" outlineLevel="0" collapsed="false">
      <c r="B43" s="12" t="s">
        <v>51</v>
      </c>
    </row>
    <row r="45">
      <c r="B45" s="10" t="s">
        <v>379</v>
      </c>
      <c r="C45" s="11" t="s">
        <v>380</v>
      </c>
    </row>
  </sheetData>
  <mergeCells count="1">
    <mergeCell ref="B5:C5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A1:M1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2"/>
    <col collapsed="false" customWidth="true" hidden="false" outlineLevel="0" max="4" min="3" style="0" width="22"/>
    <col collapsed="false" customWidth="true" hidden="false" outlineLevel="0" max="5" min="5" style="0" width="12"/>
    <col collapsed="false" customWidth="true" hidden="false" outlineLevel="0" max="6" min="6" style="0" width="8"/>
    <col collapsed="false" customWidth="true" hidden="false" outlineLevel="0" max="7" min="7" style="0" width="9"/>
    <col collapsed="false" customWidth="true" hidden="false" outlineLevel="0" max="8" min="8" style="0" width="8"/>
    <col collapsed="false" customWidth="true" hidden="false" outlineLevel="0" max="10" min="9" style="0" width="12"/>
    <col collapsed="false" customWidth="true" hidden="false" outlineLevel="0" max="11" min="11" style="0" width="8"/>
    <col collapsed="false" customWidth="true" hidden="false" outlineLevel="0" max="12" min="12" style="0" width="10"/>
    <col collapsed="false" customWidth="true" hidden="false" outlineLevel="0" max="13" min="13" style="0" width="15"/>
  </cols>
  <sheetData>
    <row r="1" customFormat="false" ht="17.35" hidden="false" customHeight="false" outlineLevel="0" collapsed="false">
      <c r="A1" s="13" t="s">
        <v>343</v>
      </c>
      <c r="E1" s="38" t="s">
        <v>344</v>
      </c>
    </row>
    <row r="2" customFormat="false" ht="33.75" hidden="false" customHeight="true" outlineLevel="0" collapsed="false">
      <c r="A2" s="18" t="s">
        <v>286</v>
      </c>
      <c r="B2" s="18" t="s">
        <v>285</v>
      </c>
      <c r="C2" s="18" t="s">
        <v>287</v>
      </c>
      <c r="D2" s="18" t="s">
        <v>103</v>
      </c>
      <c r="E2" s="18" t="s">
        <v>254</v>
      </c>
      <c r="F2" s="18" t="s">
        <v>62</v>
      </c>
      <c r="G2" s="18" t="s">
        <v>67</v>
      </c>
      <c r="H2" s="18" t="s">
        <v>72</v>
      </c>
      <c r="I2" s="18" t="s">
        <v>345</v>
      </c>
      <c r="J2" s="18" t="s">
        <v>346</v>
      </c>
      <c r="K2" s="18" t="s">
        <v>347</v>
      </c>
      <c r="L2" s="18" t="s">
        <v>95</v>
      </c>
      <c r="M2" s="18" t="s">
        <v>348</v>
      </c>
    </row>
    <row r="3" customFormat="false" ht="18" hidden="false" customHeight="true" outlineLevel="0" collapsed="false">
      <c r="A3" s="75" t="n">
        <f aca="false">IF(Inspeções!$B3="","",Inspeções!$A3)</f>
        <v>46232</v>
      </c>
      <c r="B3" s="39" t="str">
        <f aca="false">IF($A3="","",Inspeções!$B3)</f>
        <v>COMP-01</v>
      </c>
      <c r="C3" s="40" t="str">
        <f aca="false">IF($A3="","",Inspeções!$E3)</f>
        <v>Compressor de ar</v>
      </c>
      <c r="D3" s="40" t="str">
        <f aca="false">IF($A3="","",Inspeções!$F3)</f>
        <v>Casa de Máquinas</v>
      </c>
      <c r="E3" s="39" t="n">
        <f aca="false">IF($A3="","",COUNTIFS('Lançar Resultado'!$A$3:$A$2002,$B3,'Lançar Resultado'!$B$3:$B$2002,$A3))</f>
        <v>9</v>
      </c>
      <c r="F3" s="39" t="n">
        <f aca="false">IF($A3="","",COUNTIFS('Lançar Resultado'!$A$3:$A$2002,$B3,'Lançar Resultado'!$B$3:$B$2002,$A3,'Lançar Resultado'!$G$3:$G$2002,"OK"))</f>
        <v>8</v>
      </c>
      <c r="G3" s="39" t="n">
        <f aca="false">IF($A3="","",COUNTIFS('Lançar Resultado'!$A$3:$A$2002,$B3,'Lançar Resultado'!$B$3:$B$2002,$A3,'Lançar Resultado'!$G$3:$G$2002,"NOK"))</f>
        <v>1</v>
      </c>
      <c r="H3" s="39" t="n">
        <f aca="false">IF($A3="","",COUNTIFS('Lançar Resultado'!$A$3:$A$2002,$B3,'Lançar Resultado'!$B$3:$B$2002,$A3,'Lançar Resultado'!$G$3:$G$2002,"N/A"))</f>
        <v>0</v>
      </c>
      <c r="I3" s="39" t="n">
        <f aca="false">IF($A3="","",IF($E3=0,"",SUMPRODUCT(MAX(('Lançar Resultado'!$A$3:$A$2002=$B3)*('Lançar Resultado'!$B$3:$B$2002=$A3)*'Lançar Resultado'!$R$3:$R$2002))))</f>
        <v>5</v>
      </c>
      <c r="J3" s="39" t="n">
        <f aca="false">IF($A3="","",COUNTIFS('Lançar Resultado'!$A$3:$A$2002,$B3,'Lançar Resultado'!$B$3:$B$2002,$A3,'Lançar Resultado'!$O$3:$O$2002,"Sim"))</f>
        <v>1</v>
      </c>
      <c r="K3" s="76" t="n">
        <f aca="false">IF($A3="","",COUNTIFS('Lançar Resultado'!$A$3:$A$2002,$B3,'Lançar Resultado'!$B$3:$B$2002,$A3,'Lançar Resultado'!$N$3:$N$2002,"Alta"))</f>
        <v>0</v>
      </c>
      <c r="L3" s="76" t="n">
        <f aca="false">IF($A3="","",COUNTIFS('Lançar Resultado'!$A$3:$A$2002,$B3,'Lançar Resultado'!$B$3:$B$2002,$A3,'Lançar Resultado'!$P$3:$P$2002,10))</f>
        <v>0</v>
      </c>
      <c r="M3" s="77" t="n">
        <f aca="false">IF($A3="","",IF(($F3+$G3)=0,"",$F3/($F3+$G3)*100))</f>
        <v>88.8888888888889</v>
      </c>
    </row>
    <row r="4" customFormat="false" ht="18" hidden="false" customHeight="true" outlineLevel="0" collapsed="false">
      <c r="A4" s="75" t="n">
        <f aca="false">IF(Inspeções!$B4="","",Inspeções!$A4)</f>
        <v>46228</v>
      </c>
      <c r="B4" s="39" t="str">
        <f aca="false">IF($A4="","",Inspeções!$B4)</f>
        <v>TORN-02</v>
      </c>
      <c r="C4" s="40" t="str">
        <f aca="false">IF($A4="","",Inspeções!$E4)</f>
        <v>Torno mecânico</v>
      </c>
      <c r="D4" s="40" t="str">
        <f aca="false">IF($A4="","",Inspeções!$F4)</f>
        <v>Usinagem — Setor B</v>
      </c>
      <c r="E4" s="39" t="n">
        <f aca="false">IF($A4="","",COUNTIFS('Lançar Resultado'!$A$3:$A$2002,$B4,'Lançar Resultado'!$B$3:$B$2002,$A4))</f>
        <v>9</v>
      </c>
      <c r="F4" s="39" t="n">
        <f aca="false">IF($A4="","",COUNTIFS('Lançar Resultado'!$A$3:$A$2002,$B4,'Lançar Resultado'!$B$3:$B$2002,$A4,'Lançar Resultado'!$G$3:$G$2002,"OK"))</f>
        <v>5</v>
      </c>
      <c r="G4" s="39" t="n">
        <f aca="false">IF($A4="","",COUNTIFS('Lançar Resultado'!$A$3:$A$2002,$B4,'Lançar Resultado'!$B$3:$B$2002,$A4,'Lançar Resultado'!$G$3:$G$2002,"NOK"))</f>
        <v>4</v>
      </c>
      <c r="H4" s="39" t="n">
        <f aca="false">IF($A4="","",COUNTIFS('Lançar Resultado'!$A$3:$A$2002,$B4,'Lançar Resultado'!$B$3:$B$2002,$A4,'Lançar Resultado'!$G$3:$G$2002,"N/A"))</f>
        <v>0</v>
      </c>
      <c r="I4" s="39" t="n">
        <f aca="false">IF($A4="","",IF($E4=0,"",SUMPRODUCT(MAX(('Lançar Resultado'!$A$3:$A$2002=$B4)*('Lançar Resultado'!$B$3:$B$2002=$A4)*'Lançar Resultado'!$R$3:$R$2002))))</f>
        <v>10</v>
      </c>
      <c r="J4" s="39" t="n">
        <f aca="false">IF($A4="","",COUNTIFS('Lançar Resultado'!$A$3:$A$2002,$B4,'Lançar Resultado'!$B$3:$B$2002,$A4,'Lançar Resultado'!$O$3:$O$2002,"Sim"))</f>
        <v>3</v>
      </c>
      <c r="K4" s="76" t="n">
        <f aca="false">IF($A4="","",COUNTIFS('Lançar Resultado'!$A$3:$A$2002,$B4,'Lançar Resultado'!$B$3:$B$2002,$A4,'Lançar Resultado'!$N$3:$N$2002,"Alta"))</f>
        <v>2</v>
      </c>
      <c r="L4" s="76" t="n">
        <f aca="false">IF($A4="","",COUNTIFS('Lançar Resultado'!$A$3:$A$2002,$B4,'Lançar Resultado'!$B$3:$B$2002,$A4,'Lançar Resultado'!$P$3:$P$2002,10))</f>
        <v>1</v>
      </c>
      <c r="M4" s="77" t="n">
        <f aca="false">IF($A4="","",IF(($F4+$G4)=0,"",$F4/($F4+$G4)*100))</f>
        <v>55.5555555555556</v>
      </c>
    </row>
    <row r="5" customFormat="false" ht="18" hidden="false" customHeight="true" outlineLevel="0" collapsed="false">
      <c r="A5" s="75" t="n">
        <f aca="false">IF(Inspeções!$B5="","",Inspeções!$A5)</f>
        <v>46223</v>
      </c>
      <c r="B5" s="39" t="str">
        <f aca="false">IF($A5="","",Inspeções!$B5)</f>
        <v>EMPI-01</v>
      </c>
      <c r="C5" s="40" t="str">
        <f aca="false">IF($A5="","",Inspeções!$E5)</f>
        <v>Empilhadeira</v>
      </c>
      <c r="D5" s="40" t="str">
        <f aca="false">IF($A5="","",Inspeções!$F5)</f>
        <v>Expedição</v>
      </c>
      <c r="E5" s="39" t="n">
        <f aca="false">IF($A5="","",COUNTIFS('Lançar Resultado'!$A$3:$A$2002,$B5,'Lançar Resultado'!$B$3:$B$2002,$A5))</f>
        <v>9</v>
      </c>
      <c r="F5" s="39" t="n">
        <f aca="false">IF($A5="","",COUNTIFS('Lançar Resultado'!$A$3:$A$2002,$B5,'Lançar Resultado'!$B$3:$B$2002,$A5,'Lançar Resultado'!$G$3:$G$2002,"OK"))</f>
        <v>5</v>
      </c>
      <c r="G5" s="39" t="n">
        <f aca="false">IF($A5="","",COUNTIFS('Lançar Resultado'!$A$3:$A$2002,$B5,'Lançar Resultado'!$B$3:$B$2002,$A5,'Lançar Resultado'!$G$3:$G$2002,"NOK"))</f>
        <v>4</v>
      </c>
      <c r="H5" s="39" t="n">
        <f aca="false">IF($A5="","",COUNTIFS('Lançar Resultado'!$A$3:$A$2002,$B5,'Lançar Resultado'!$B$3:$B$2002,$A5,'Lançar Resultado'!$G$3:$G$2002,"N/A"))</f>
        <v>0</v>
      </c>
      <c r="I5" s="39" t="n">
        <f aca="false">IF($A5="","",IF($E5=0,"",SUMPRODUCT(MAX(('Lançar Resultado'!$A$3:$A$2002=$B5)*('Lançar Resultado'!$B$3:$B$2002=$A5)*'Lançar Resultado'!$R$3:$R$2002))))</f>
        <v>9</v>
      </c>
      <c r="J5" s="39" t="n">
        <f aca="false">IF($A5="","",COUNTIFS('Lançar Resultado'!$A$3:$A$2002,$B5,'Lançar Resultado'!$B$3:$B$2002,$A5,'Lançar Resultado'!$O$3:$O$2002,"Sim"))</f>
        <v>4</v>
      </c>
      <c r="K5" s="76" t="n">
        <f aca="false">IF($A5="","",COUNTIFS('Lançar Resultado'!$A$3:$A$2002,$B5,'Lançar Resultado'!$B$3:$B$2002,$A5,'Lançar Resultado'!$N$3:$N$2002,"Alta"))</f>
        <v>1</v>
      </c>
      <c r="L5" s="76" t="n">
        <f aca="false">IF($A5="","",COUNTIFS('Lançar Resultado'!$A$3:$A$2002,$B5,'Lançar Resultado'!$B$3:$B$2002,$A5,'Lançar Resultado'!$P$3:$P$2002,10))</f>
        <v>0</v>
      </c>
      <c r="M5" s="77" t="n">
        <f aca="false">IF($A5="","",IF(($F5+$G5)=0,"",$F5/($F5+$G5)*100))</f>
        <v>55.5555555555556</v>
      </c>
    </row>
    <row r="6" customFormat="false" ht="18" hidden="false" customHeight="true" outlineLevel="0" collapsed="false">
      <c r="A6" s="75" t="n">
        <f aca="false">IF(Inspeções!$B6="","",Inspeções!$A6)</f>
        <v>46209</v>
      </c>
      <c r="B6" s="39" t="str">
        <f aca="false">IF($A6="","",Inspeções!$B6)</f>
        <v>ESTE-01</v>
      </c>
      <c r="C6" s="40" t="str">
        <f aca="false">IF($A6="","",Inspeções!$E6)</f>
        <v>Esteira transportadora</v>
      </c>
      <c r="D6" s="40" t="str">
        <f aca="false">IF($A6="","",Inspeções!$F6)</f>
        <v>Expedição</v>
      </c>
      <c r="E6" s="39" t="n">
        <f aca="false">IF($A6="","",COUNTIFS('Lançar Resultado'!$A$3:$A$2002,$B6,'Lançar Resultado'!$B$3:$B$2002,$A6))</f>
        <v>8</v>
      </c>
      <c r="F6" s="39" t="n">
        <f aca="false">IF($A6="","",COUNTIFS('Lançar Resultado'!$A$3:$A$2002,$B6,'Lançar Resultado'!$B$3:$B$2002,$A6,'Lançar Resultado'!$G$3:$G$2002,"OK"))</f>
        <v>4</v>
      </c>
      <c r="G6" s="39" t="n">
        <f aca="false">IF($A6="","",COUNTIFS('Lançar Resultado'!$A$3:$A$2002,$B6,'Lançar Resultado'!$B$3:$B$2002,$A6,'Lançar Resultado'!$G$3:$G$2002,"NOK"))</f>
        <v>3</v>
      </c>
      <c r="H6" s="39" t="n">
        <f aca="false">IF($A6="","",COUNTIFS('Lançar Resultado'!$A$3:$A$2002,$B6,'Lançar Resultado'!$B$3:$B$2002,$A6,'Lançar Resultado'!$G$3:$G$2002,"N/A"))</f>
        <v>1</v>
      </c>
      <c r="I6" s="39" t="n">
        <f aca="false">IF($A6="","",IF($E6=0,"",SUMPRODUCT(MAX(('Lançar Resultado'!$A$3:$A$2002=$B6)*('Lançar Resultado'!$B$3:$B$2002=$A6)*'Lançar Resultado'!$R$3:$R$2002))))</f>
        <v>7</v>
      </c>
      <c r="J6" s="39" t="n">
        <f aca="false">IF($A6="","",COUNTIFS('Lançar Resultado'!$A$3:$A$2002,$B6,'Lançar Resultado'!$B$3:$B$2002,$A6,'Lançar Resultado'!$O$3:$O$2002,"Sim"))</f>
        <v>2</v>
      </c>
      <c r="K6" s="76" t="n">
        <f aca="false">IF($A6="","",COUNTIFS('Lançar Resultado'!$A$3:$A$2002,$B6,'Lançar Resultado'!$B$3:$B$2002,$A6,'Lançar Resultado'!$N$3:$N$2002,"Alta"))</f>
        <v>0</v>
      </c>
      <c r="L6" s="76" t="n">
        <f aca="false">IF($A6="","",COUNTIFS('Lançar Resultado'!$A$3:$A$2002,$B6,'Lançar Resultado'!$B$3:$B$2002,$A6,'Lançar Resultado'!$P$3:$P$2002,10))</f>
        <v>0</v>
      </c>
      <c r="M6" s="77" t="n">
        <f aca="false">IF($A6="","",IF(($F6+$G6)=0,"",$F6/($F6+$G6)*100))</f>
        <v>57.1428571428571</v>
      </c>
    </row>
    <row r="7" customFormat="false" ht="18" hidden="false" customHeight="true" outlineLevel="0" collapsed="false">
      <c r="A7" s="75" t="n">
        <f aca="false">IF(Inspeções!$B7="","",Inspeções!$A7)</f>
        <v>46194</v>
      </c>
      <c r="B7" s="39" t="str">
        <f aca="false">IF($A7="","",Inspeções!$B7)</f>
        <v>PREN-01</v>
      </c>
      <c r="C7" s="40" t="str">
        <f aca="false">IF($A7="","",Inspeções!$E7)</f>
        <v>Prensa hidráulica</v>
      </c>
      <c r="D7" s="40" t="str">
        <f aca="false">IF($A7="","",Inspeções!$F7)</f>
        <v>Estamparia</v>
      </c>
      <c r="E7" s="39" t="n">
        <f aca="false">IF($A7="","",COUNTIFS('Lançar Resultado'!$A$3:$A$2002,$B7,'Lançar Resultado'!$B$3:$B$2002,$A7))</f>
        <v>8</v>
      </c>
      <c r="F7" s="39" t="n">
        <f aca="false">IF($A7="","",COUNTIFS('Lançar Resultado'!$A$3:$A$2002,$B7,'Lançar Resultado'!$B$3:$B$2002,$A7,'Lançar Resultado'!$G$3:$G$2002,"OK"))</f>
        <v>5</v>
      </c>
      <c r="G7" s="39" t="n">
        <f aca="false">IF($A7="","",COUNTIFS('Lançar Resultado'!$A$3:$A$2002,$B7,'Lançar Resultado'!$B$3:$B$2002,$A7,'Lançar Resultado'!$G$3:$G$2002,"NOK"))</f>
        <v>3</v>
      </c>
      <c r="H7" s="39" t="n">
        <f aca="false">IF($A7="","",COUNTIFS('Lançar Resultado'!$A$3:$A$2002,$B7,'Lançar Resultado'!$B$3:$B$2002,$A7,'Lançar Resultado'!$G$3:$G$2002,"N/A"))</f>
        <v>0</v>
      </c>
      <c r="I7" s="39" t="n">
        <f aca="false">IF($A7="","",IF($E7=0,"",SUMPRODUCT(MAX(('Lançar Resultado'!$A$3:$A$2002=$B7)*('Lançar Resultado'!$B$3:$B$2002=$A7)*'Lançar Resultado'!$R$3:$R$2002))))</f>
        <v>10</v>
      </c>
      <c r="J7" s="39" t="n">
        <f aca="false">IF($A7="","",COUNTIFS('Lançar Resultado'!$A$3:$A$2002,$B7,'Lançar Resultado'!$B$3:$B$2002,$A7,'Lançar Resultado'!$O$3:$O$2002,"Sim"))</f>
        <v>2</v>
      </c>
      <c r="K7" s="76" t="n">
        <f aca="false">IF($A7="","",COUNTIFS('Lançar Resultado'!$A$3:$A$2002,$B7,'Lançar Resultado'!$B$3:$B$2002,$A7,'Lançar Resultado'!$N$3:$N$2002,"Alta"))</f>
        <v>1</v>
      </c>
      <c r="L7" s="76" t="n">
        <f aca="false">IF($A7="","",COUNTIFS('Lançar Resultado'!$A$3:$A$2002,$B7,'Lançar Resultado'!$B$3:$B$2002,$A7,'Lançar Resultado'!$P$3:$P$2002,10))</f>
        <v>1</v>
      </c>
      <c r="M7" s="77" t="n">
        <f aca="false">IF($A7="","",IF(($F7+$G7)=0,"",$F7/($F7+$G7)*100))</f>
        <v>62.5</v>
      </c>
    </row>
    <row r="8" customFormat="false" ht="18" hidden="false" customHeight="true" outlineLevel="0" collapsed="false">
      <c r="A8" s="75" t="str">
        <f aca="false">IF(Inspeções!$B8="","",Inspeções!$A8)</f>
        <v/>
      </c>
      <c r="B8" s="39" t="str">
        <f aca="false">IF($A8="","",Inspeções!$B8)</f>
        <v/>
      </c>
      <c r="C8" s="40" t="str">
        <f aca="false">IF($A8="","",Inspeções!$E8)</f>
        <v/>
      </c>
      <c r="D8" s="40" t="str">
        <f aca="false">IF($A8="","",Inspeções!$F8)</f>
        <v/>
      </c>
      <c r="E8" s="39" t="str">
        <f aca="false">IF($A8="","",COUNTIFS('Lançar Resultado'!$A$3:$A$2002,$B8,'Lançar Resultado'!$B$3:$B$2002,$A8))</f>
        <v/>
      </c>
      <c r="F8" s="39" t="str">
        <f aca="false">IF($A8="","",COUNTIFS('Lançar Resultado'!$A$3:$A$2002,$B8,'Lançar Resultado'!$B$3:$B$2002,$A8,'Lançar Resultado'!$G$3:$G$2002,"OK"))</f>
        <v/>
      </c>
      <c r="G8" s="39" t="str">
        <f aca="false">IF($A8="","",COUNTIFS('Lançar Resultado'!$A$3:$A$2002,$B8,'Lançar Resultado'!$B$3:$B$2002,$A8,'Lançar Resultado'!$G$3:$G$2002,"NOK"))</f>
        <v/>
      </c>
      <c r="H8" s="39" t="str">
        <f aca="false">IF($A8="","",COUNTIFS('Lançar Resultado'!$A$3:$A$2002,$B8,'Lançar Resultado'!$B$3:$B$2002,$A8,'Lançar Resultado'!$G$3:$G$2002,"N/A"))</f>
        <v/>
      </c>
      <c r="I8" s="39" t="str">
        <f aca="false">IF($A8="","",IF($E8=0,"",SUMPRODUCT(MAX(('Lançar Resultado'!$A$3:$A$2002=$B8)*('Lançar Resultado'!$B$3:$B$2002=$A8)*'Lançar Resultado'!$R$3:$R$2002))))</f>
        <v/>
      </c>
      <c r="J8" s="39" t="str">
        <f aca="false">IF($A8="","",COUNTIFS('Lançar Resultado'!$A$3:$A$2002,$B8,'Lançar Resultado'!$B$3:$B$2002,$A8,'Lançar Resultado'!$O$3:$O$2002,"Sim"))</f>
        <v/>
      </c>
      <c r="K8" s="76" t="str">
        <f aca="false">IF($A8="","",COUNTIFS('Lançar Resultado'!$A$3:$A$2002,$B8,'Lançar Resultado'!$B$3:$B$2002,$A8,'Lançar Resultado'!$N$3:$N$2002,"Alta"))</f>
        <v/>
      </c>
      <c r="L8" s="76" t="str">
        <f aca="false">IF($A8="","",COUNTIFS('Lançar Resultado'!$A$3:$A$2002,$B8,'Lançar Resultado'!$B$3:$B$2002,$A8,'Lançar Resultado'!$P$3:$P$2002,10))</f>
        <v/>
      </c>
      <c r="M8" s="77" t="str">
        <f aca="false">IF($A8="","",IF(($F8+$G8)=0,"",$F8/($F8+$G8)*100))</f>
        <v/>
      </c>
    </row>
    <row r="9" customFormat="false" ht="18" hidden="false" customHeight="true" outlineLevel="0" collapsed="false">
      <c r="A9" s="75" t="str">
        <f aca="false">IF(Inspeções!$B9="","",Inspeções!$A9)</f>
        <v/>
      </c>
      <c r="B9" s="39" t="str">
        <f aca="false">IF($A9="","",Inspeções!$B9)</f>
        <v/>
      </c>
      <c r="C9" s="40" t="str">
        <f aca="false">IF($A9="","",Inspeções!$E9)</f>
        <v/>
      </c>
      <c r="D9" s="40" t="str">
        <f aca="false">IF($A9="","",Inspeções!$F9)</f>
        <v/>
      </c>
      <c r="E9" s="39" t="str">
        <f aca="false">IF($A9="","",COUNTIFS('Lançar Resultado'!$A$3:$A$2002,$B9,'Lançar Resultado'!$B$3:$B$2002,$A9))</f>
        <v/>
      </c>
      <c r="F9" s="39" t="str">
        <f aca="false">IF($A9="","",COUNTIFS('Lançar Resultado'!$A$3:$A$2002,$B9,'Lançar Resultado'!$B$3:$B$2002,$A9,'Lançar Resultado'!$G$3:$G$2002,"OK"))</f>
        <v/>
      </c>
      <c r="G9" s="39" t="str">
        <f aca="false">IF($A9="","",COUNTIFS('Lançar Resultado'!$A$3:$A$2002,$B9,'Lançar Resultado'!$B$3:$B$2002,$A9,'Lançar Resultado'!$G$3:$G$2002,"NOK"))</f>
        <v/>
      </c>
      <c r="H9" s="39" t="str">
        <f aca="false">IF($A9="","",COUNTIFS('Lançar Resultado'!$A$3:$A$2002,$B9,'Lançar Resultado'!$B$3:$B$2002,$A9,'Lançar Resultado'!$G$3:$G$2002,"N/A"))</f>
        <v/>
      </c>
      <c r="I9" s="39" t="str">
        <f aca="false">IF($A9="","",IF($E9=0,"",SUMPRODUCT(MAX(('Lançar Resultado'!$A$3:$A$2002=$B9)*('Lançar Resultado'!$B$3:$B$2002=$A9)*'Lançar Resultado'!$R$3:$R$2002))))</f>
        <v/>
      </c>
      <c r="J9" s="39" t="str">
        <f aca="false">IF($A9="","",COUNTIFS('Lançar Resultado'!$A$3:$A$2002,$B9,'Lançar Resultado'!$B$3:$B$2002,$A9,'Lançar Resultado'!$O$3:$O$2002,"Sim"))</f>
        <v/>
      </c>
      <c r="K9" s="76" t="str">
        <f aca="false">IF($A9="","",COUNTIFS('Lançar Resultado'!$A$3:$A$2002,$B9,'Lançar Resultado'!$B$3:$B$2002,$A9,'Lançar Resultado'!$N$3:$N$2002,"Alta"))</f>
        <v/>
      </c>
      <c r="L9" s="76" t="str">
        <f aca="false">IF($A9="","",COUNTIFS('Lançar Resultado'!$A$3:$A$2002,$B9,'Lançar Resultado'!$B$3:$B$2002,$A9,'Lançar Resultado'!$P$3:$P$2002,10))</f>
        <v/>
      </c>
      <c r="M9" s="77" t="str">
        <f aca="false">IF($A9="","",IF(($F9+$G9)=0,"",$F9/($F9+$G9)*100))</f>
        <v/>
      </c>
    </row>
    <row r="10" customFormat="false" ht="18" hidden="false" customHeight="true" outlineLevel="0" collapsed="false">
      <c r="A10" s="75" t="str">
        <f aca="false">IF(Inspeções!$B10="","",Inspeções!$A10)</f>
        <v/>
      </c>
      <c r="B10" s="39" t="str">
        <f aca="false">IF($A10="","",Inspeções!$B10)</f>
        <v/>
      </c>
      <c r="C10" s="40" t="str">
        <f aca="false">IF($A10="","",Inspeções!$E10)</f>
        <v/>
      </c>
      <c r="D10" s="40" t="str">
        <f aca="false">IF($A10="","",Inspeções!$F10)</f>
        <v/>
      </c>
      <c r="E10" s="39" t="str">
        <f aca="false">IF($A10="","",COUNTIFS('Lançar Resultado'!$A$3:$A$2002,$B10,'Lançar Resultado'!$B$3:$B$2002,$A10))</f>
        <v/>
      </c>
      <c r="F10" s="39" t="str">
        <f aca="false">IF($A10="","",COUNTIFS('Lançar Resultado'!$A$3:$A$2002,$B10,'Lançar Resultado'!$B$3:$B$2002,$A10,'Lançar Resultado'!$G$3:$G$2002,"OK"))</f>
        <v/>
      </c>
      <c r="G10" s="39" t="str">
        <f aca="false">IF($A10="","",COUNTIFS('Lançar Resultado'!$A$3:$A$2002,$B10,'Lançar Resultado'!$B$3:$B$2002,$A10,'Lançar Resultado'!$G$3:$G$2002,"NOK"))</f>
        <v/>
      </c>
      <c r="H10" s="39" t="str">
        <f aca="false">IF($A10="","",COUNTIFS('Lançar Resultado'!$A$3:$A$2002,$B10,'Lançar Resultado'!$B$3:$B$2002,$A10,'Lançar Resultado'!$G$3:$G$2002,"N/A"))</f>
        <v/>
      </c>
      <c r="I10" s="39" t="str">
        <f aca="false">IF($A10="","",IF($E10=0,"",SUMPRODUCT(MAX(('Lançar Resultado'!$A$3:$A$2002=$B10)*('Lançar Resultado'!$B$3:$B$2002=$A10)*'Lançar Resultado'!$R$3:$R$2002))))</f>
        <v/>
      </c>
      <c r="J10" s="39" t="str">
        <f aca="false">IF($A10="","",COUNTIFS('Lançar Resultado'!$A$3:$A$2002,$B10,'Lançar Resultado'!$B$3:$B$2002,$A10,'Lançar Resultado'!$O$3:$O$2002,"Sim"))</f>
        <v/>
      </c>
      <c r="K10" s="76" t="str">
        <f aca="false">IF($A10="","",COUNTIFS('Lançar Resultado'!$A$3:$A$2002,$B10,'Lançar Resultado'!$B$3:$B$2002,$A10,'Lançar Resultado'!$N$3:$N$2002,"Alta"))</f>
        <v/>
      </c>
      <c r="L10" s="76" t="str">
        <f aca="false">IF($A10="","",COUNTIFS('Lançar Resultado'!$A$3:$A$2002,$B10,'Lançar Resultado'!$B$3:$B$2002,$A10,'Lançar Resultado'!$P$3:$P$2002,10))</f>
        <v/>
      </c>
      <c r="M10" s="77" t="str">
        <f aca="false">IF($A10="","",IF(($F10+$G10)=0,"",$F10/($F10+$G10)*100))</f>
        <v/>
      </c>
    </row>
    <row r="11" customFormat="false" ht="18" hidden="false" customHeight="true" outlineLevel="0" collapsed="false">
      <c r="A11" s="75" t="str">
        <f aca="false">IF(Inspeções!$B11="","",Inspeções!$A11)</f>
        <v/>
      </c>
      <c r="B11" s="39" t="str">
        <f aca="false">IF($A11="","",Inspeções!$B11)</f>
        <v/>
      </c>
      <c r="C11" s="40" t="str">
        <f aca="false">IF($A11="","",Inspeções!$E11)</f>
        <v/>
      </c>
      <c r="D11" s="40" t="str">
        <f aca="false">IF($A11="","",Inspeções!$F11)</f>
        <v/>
      </c>
      <c r="E11" s="39" t="str">
        <f aca="false">IF($A11="","",COUNTIFS('Lançar Resultado'!$A$3:$A$2002,$B11,'Lançar Resultado'!$B$3:$B$2002,$A11))</f>
        <v/>
      </c>
      <c r="F11" s="39" t="str">
        <f aca="false">IF($A11="","",COUNTIFS('Lançar Resultado'!$A$3:$A$2002,$B11,'Lançar Resultado'!$B$3:$B$2002,$A11,'Lançar Resultado'!$G$3:$G$2002,"OK"))</f>
        <v/>
      </c>
      <c r="G11" s="39" t="str">
        <f aca="false">IF($A11="","",COUNTIFS('Lançar Resultado'!$A$3:$A$2002,$B11,'Lançar Resultado'!$B$3:$B$2002,$A11,'Lançar Resultado'!$G$3:$G$2002,"NOK"))</f>
        <v/>
      </c>
      <c r="H11" s="39" t="str">
        <f aca="false">IF($A11="","",COUNTIFS('Lançar Resultado'!$A$3:$A$2002,$B11,'Lançar Resultado'!$B$3:$B$2002,$A11,'Lançar Resultado'!$G$3:$G$2002,"N/A"))</f>
        <v/>
      </c>
      <c r="I11" s="39" t="str">
        <f aca="false">IF($A11="","",IF($E11=0,"",SUMPRODUCT(MAX(('Lançar Resultado'!$A$3:$A$2002=$B11)*('Lançar Resultado'!$B$3:$B$2002=$A11)*'Lançar Resultado'!$R$3:$R$2002))))</f>
        <v/>
      </c>
      <c r="J11" s="39" t="str">
        <f aca="false">IF($A11="","",COUNTIFS('Lançar Resultado'!$A$3:$A$2002,$B11,'Lançar Resultado'!$B$3:$B$2002,$A11,'Lançar Resultado'!$O$3:$O$2002,"Sim"))</f>
        <v/>
      </c>
      <c r="K11" s="76" t="str">
        <f aca="false">IF($A11="","",COUNTIFS('Lançar Resultado'!$A$3:$A$2002,$B11,'Lançar Resultado'!$B$3:$B$2002,$A11,'Lançar Resultado'!$N$3:$N$2002,"Alta"))</f>
        <v/>
      </c>
      <c r="L11" s="76" t="str">
        <f aca="false">IF($A11="","",COUNTIFS('Lançar Resultado'!$A$3:$A$2002,$B11,'Lançar Resultado'!$B$3:$B$2002,$A11,'Lançar Resultado'!$P$3:$P$2002,10))</f>
        <v/>
      </c>
      <c r="M11" s="77" t="str">
        <f aca="false">IF($A11="","",IF(($F11+$G11)=0,"",$F11/($F11+$G11)*100))</f>
        <v/>
      </c>
    </row>
    <row r="12" customFormat="false" ht="18" hidden="false" customHeight="true" outlineLevel="0" collapsed="false">
      <c r="A12" s="75" t="str">
        <f aca="false">IF(Inspeções!$B12="","",Inspeções!$A12)</f>
        <v/>
      </c>
      <c r="B12" s="39" t="str">
        <f aca="false">IF($A12="","",Inspeções!$B12)</f>
        <v/>
      </c>
      <c r="C12" s="40" t="str">
        <f aca="false">IF($A12="","",Inspeções!$E12)</f>
        <v/>
      </c>
      <c r="D12" s="40" t="str">
        <f aca="false">IF($A12="","",Inspeções!$F12)</f>
        <v/>
      </c>
      <c r="E12" s="39" t="str">
        <f aca="false">IF($A12="","",COUNTIFS('Lançar Resultado'!$A$3:$A$2002,$B12,'Lançar Resultado'!$B$3:$B$2002,$A12))</f>
        <v/>
      </c>
      <c r="F12" s="39" t="str">
        <f aca="false">IF($A12="","",COUNTIFS('Lançar Resultado'!$A$3:$A$2002,$B12,'Lançar Resultado'!$B$3:$B$2002,$A12,'Lançar Resultado'!$G$3:$G$2002,"OK"))</f>
        <v/>
      </c>
      <c r="G12" s="39" t="str">
        <f aca="false">IF($A12="","",COUNTIFS('Lançar Resultado'!$A$3:$A$2002,$B12,'Lançar Resultado'!$B$3:$B$2002,$A12,'Lançar Resultado'!$G$3:$G$2002,"NOK"))</f>
        <v/>
      </c>
      <c r="H12" s="39" t="str">
        <f aca="false">IF($A12="","",COUNTIFS('Lançar Resultado'!$A$3:$A$2002,$B12,'Lançar Resultado'!$B$3:$B$2002,$A12,'Lançar Resultado'!$G$3:$G$2002,"N/A"))</f>
        <v/>
      </c>
      <c r="I12" s="39" t="str">
        <f aca="false">IF($A12="","",IF($E12=0,"",SUMPRODUCT(MAX(('Lançar Resultado'!$A$3:$A$2002=$B12)*('Lançar Resultado'!$B$3:$B$2002=$A12)*'Lançar Resultado'!$R$3:$R$2002))))</f>
        <v/>
      </c>
      <c r="J12" s="39" t="str">
        <f aca="false">IF($A12="","",COUNTIFS('Lançar Resultado'!$A$3:$A$2002,$B12,'Lançar Resultado'!$B$3:$B$2002,$A12,'Lançar Resultado'!$O$3:$O$2002,"Sim"))</f>
        <v/>
      </c>
      <c r="K12" s="76" t="str">
        <f aca="false">IF($A12="","",COUNTIFS('Lançar Resultado'!$A$3:$A$2002,$B12,'Lançar Resultado'!$B$3:$B$2002,$A12,'Lançar Resultado'!$N$3:$N$2002,"Alta"))</f>
        <v/>
      </c>
      <c r="L12" s="76" t="str">
        <f aca="false">IF($A12="","",COUNTIFS('Lançar Resultado'!$A$3:$A$2002,$B12,'Lançar Resultado'!$B$3:$B$2002,$A12,'Lançar Resultado'!$P$3:$P$2002,10))</f>
        <v/>
      </c>
      <c r="M12" s="77" t="str">
        <f aca="false">IF($A12="","",IF(($F12+$G12)=0,"",$F12/($F12+$G12)*100))</f>
        <v/>
      </c>
    </row>
    <row r="13" customFormat="false" ht="18" hidden="false" customHeight="true" outlineLevel="0" collapsed="false">
      <c r="A13" s="75" t="str">
        <f aca="false">IF(Inspeções!$B13="","",Inspeções!$A13)</f>
        <v/>
      </c>
      <c r="B13" s="39" t="str">
        <f aca="false">IF($A13="","",Inspeções!$B13)</f>
        <v/>
      </c>
      <c r="C13" s="40" t="str">
        <f aca="false">IF($A13="","",Inspeções!$E13)</f>
        <v/>
      </c>
      <c r="D13" s="40" t="str">
        <f aca="false">IF($A13="","",Inspeções!$F13)</f>
        <v/>
      </c>
      <c r="E13" s="39" t="str">
        <f aca="false">IF($A13="","",COUNTIFS('Lançar Resultado'!$A$3:$A$2002,$B13,'Lançar Resultado'!$B$3:$B$2002,$A13))</f>
        <v/>
      </c>
      <c r="F13" s="39" t="str">
        <f aca="false">IF($A13="","",COUNTIFS('Lançar Resultado'!$A$3:$A$2002,$B13,'Lançar Resultado'!$B$3:$B$2002,$A13,'Lançar Resultado'!$G$3:$G$2002,"OK"))</f>
        <v/>
      </c>
      <c r="G13" s="39" t="str">
        <f aca="false">IF($A13="","",COUNTIFS('Lançar Resultado'!$A$3:$A$2002,$B13,'Lançar Resultado'!$B$3:$B$2002,$A13,'Lançar Resultado'!$G$3:$G$2002,"NOK"))</f>
        <v/>
      </c>
      <c r="H13" s="39" t="str">
        <f aca="false">IF($A13="","",COUNTIFS('Lançar Resultado'!$A$3:$A$2002,$B13,'Lançar Resultado'!$B$3:$B$2002,$A13,'Lançar Resultado'!$G$3:$G$2002,"N/A"))</f>
        <v/>
      </c>
      <c r="I13" s="39" t="str">
        <f aca="false">IF($A13="","",IF($E13=0,"",SUMPRODUCT(MAX(('Lançar Resultado'!$A$3:$A$2002=$B13)*('Lançar Resultado'!$B$3:$B$2002=$A13)*'Lançar Resultado'!$R$3:$R$2002))))</f>
        <v/>
      </c>
      <c r="J13" s="39" t="str">
        <f aca="false">IF($A13="","",COUNTIFS('Lançar Resultado'!$A$3:$A$2002,$B13,'Lançar Resultado'!$B$3:$B$2002,$A13,'Lançar Resultado'!$O$3:$O$2002,"Sim"))</f>
        <v/>
      </c>
      <c r="K13" s="76" t="str">
        <f aca="false">IF($A13="","",COUNTIFS('Lançar Resultado'!$A$3:$A$2002,$B13,'Lançar Resultado'!$B$3:$B$2002,$A13,'Lançar Resultado'!$N$3:$N$2002,"Alta"))</f>
        <v/>
      </c>
      <c r="L13" s="76" t="str">
        <f aca="false">IF($A13="","",COUNTIFS('Lançar Resultado'!$A$3:$A$2002,$B13,'Lançar Resultado'!$B$3:$B$2002,$A13,'Lançar Resultado'!$P$3:$P$2002,10))</f>
        <v/>
      </c>
      <c r="M13" s="77" t="str">
        <f aca="false">IF($A13="","",IF(($F13+$G13)=0,"",$F13/($F13+$G13)*100))</f>
        <v/>
      </c>
    </row>
    <row r="14" customFormat="false" ht="18" hidden="false" customHeight="true" outlineLevel="0" collapsed="false">
      <c r="A14" s="75" t="str">
        <f aca="false">IF(Inspeções!$B14="","",Inspeções!$A14)</f>
        <v/>
      </c>
      <c r="B14" s="39" t="str">
        <f aca="false">IF($A14="","",Inspeções!$B14)</f>
        <v/>
      </c>
      <c r="C14" s="40" t="str">
        <f aca="false">IF($A14="","",Inspeções!$E14)</f>
        <v/>
      </c>
      <c r="D14" s="40" t="str">
        <f aca="false">IF($A14="","",Inspeções!$F14)</f>
        <v/>
      </c>
      <c r="E14" s="39" t="str">
        <f aca="false">IF($A14="","",COUNTIFS('Lançar Resultado'!$A$3:$A$2002,$B14,'Lançar Resultado'!$B$3:$B$2002,$A14))</f>
        <v/>
      </c>
      <c r="F14" s="39" t="str">
        <f aca="false">IF($A14="","",COUNTIFS('Lançar Resultado'!$A$3:$A$2002,$B14,'Lançar Resultado'!$B$3:$B$2002,$A14,'Lançar Resultado'!$G$3:$G$2002,"OK"))</f>
        <v/>
      </c>
      <c r="G14" s="39" t="str">
        <f aca="false">IF($A14="","",COUNTIFS('Lançar Resultado'!$A$3:$A$2002,$B14,'Lançar Resultado'!$B$3:$B$2002,$A14,'Lançar Resultado'!$G$3:$G$2002,"NOK"))</f>
        <v/>
      </c>
      <c r="H14" s="39" t="str">
        <f aca="false">IF($A14="","",COUNTIFS('Lançar Resultado'!$A$3:$A$2002,$B14,'Lançar Resultado'!$B$3:$B$2002,$A14,'Lançar Resultado'!$G$3:$G$2002,"N/A"))</f>
        <v/>
      </c>
      <c r="I14" s="39" t="str">
        <f aca="false">IF($A14="","",IF($E14=0,"",SUMPRODUCT(MAX(('Lançar Resultado'!$A$3:$A$2002=$B14)*('Lançar Resultado'!$B$3:$B$2002=$A14)*'Lançar Resultado'!$R$3:$R$2002))))</f>
        <v/>
      </c>
      <c r="J14" s="39" t="str">
        <f aca="false">IF($A14="","",COUNTIFS('Lançar Resultado'!$A$3:$A$2002,$B14,'Lançar Resultado'!$B$3:$B$2002,$A14,'Lançar Resultado'!$O$3:$O$2002,"Sim"))</f>
        <v/>
      </c>
      <c r="K14" s="76" t="str">
        <f aca="false">IF($A14="","",COUNTIFS('Lançar Resultado'!$A$3:$A$2002,$B14,'Lançar Resultado'!$B$3:$B$2002,$A14,'Lançar Resultado'!$N$3:$N$2002,"Alta"))</f>
        <v/>
      </c>
      <c r="L14" s="76" t="str">
        <f aca="false">IF($A14="","",COUNTIFS('Lançar Resultado'!$A$3:$A$2002,$B14,'Lançar Resultado'!$B$3:$B$2002,$A14,'Lançar Resultado'!$P$3:$P$2002,10))</f>
        <v/>
      </c>
      <c r="M14" s="77" t="str">
        <f aca="false">IF($A14="","",IF(($F14+$G14)=0,"",$F14/($F14+$G14)*100))</f>
        <v/>
      </c>
    </row>
    <row r="15" customFormat="false" ht="18" hidden="false" customHeight="true" outlineLevel="0" collapsed="false">
      <c r="A15" s="75" t="str">
        <f aca="false">IF(Inspeções!$B15="","",Inspeções!$A15)</f>
        <v/>
      </c>
      <c r="B15" s="39" t="str">
        <f aca="false">IF($A15="","",Inspeções!$B15)</f>
        <v/>
      </c>
      <c r="C15" s="40" t="str">
        <f aca="false">IF($A15="","",Inspeções!$E15)</f>
        <v/>
      </c>
      <c r="D15" s="40" t="str">
        <f aca="false">IF($A15="","",Inspeções!$F15)</f>
        <v/>
      </c>
      <c r="E15" s="39" t="str">
        <f aca="false">IF($A15="","",COUNTIFS('Lançar Resultado'!$A$3:$A$2002,$B15,'Lançar Resultado'!$B$3:$B$2002,$A15))</f>
        <v/>
      </c>
      <c r="F15" s="39" t="str">
        <f aca="false">IF($A15="","",COUNTIFS('Lançar Resultado'!$A$3:$A$2002,$B15,'Lançar Resultado'!$B$3:$B$2002,$A15,'Lançar Resultado'!$G$3:$G$2002,"OK"))</f>
        <v/>
      </c>
      <c r="G15" s="39" t="str">
        <f aca="false">IF($A15="","",COUNTIFS('Lançar Resultado'!$A$3:$A$2002,$B15,'Lançar Resultado'!$B$3:$B$2002,$A15,'Lançar Resultado'!$G$3:$G$2002,"NOK"))</f>
        <v/>
      </c>
      <c r="H15" s="39" t="str">
        <f aca="false">IF($A15="","",COUNTIFS('Lançar Resultado'!$A$3:$A$2002,$B15,'Lançar Resultado'!$B$3:$B$2002,$A15,'Lançar Resultado'!$G$3:$G$2002,"N/A"))</f>
        <v/>
      </c>
      <c r="I15" s="39" t="str">
        <f aca="false">IF($A15="","",IF($E15=0,"",SUMPRODUCT(MAX(('Lançar Resultado'!$A$3:$A$2002=$B15)*('Lançar Resultado'!$B$3:$B$2002=$A15)*'Lançar Resultado'!$R$3:$R$2002))))</f>
        <v/>
      </c>
      <c r="J15" s="39" t="str">
        <f aca="false">IF($A15="","",COUNTIFS('Lançar Resultado'!$A$3:$A$2002,$B15,'Lançar Resultado'!$B$3:$B$2002,$A15,'Lançar Resultado'!$O$3:$O$2002,"Sim"))</f>
        <v/>
      </c>
      <c r="K15" s="76" t="str">
        <f aca="false">IF($A15="","",COUNTIFS('Lançar Resultado'!$A$3:$A$2002,$B15,'Lançar Resultado'!$B$3:$B$2002,$A15,'Lançar Resultado'!$N$3:$N$2002,"Alta"))</f>
        <v/>
      </c>
      <c r="L15" s="76" t="str">
        <f aca="false">IF($A15="","",COUNTIFS('Lançar Resultado'!$A$3:$A$2002,$B15,'Lançar Resultado'!$B$3:$B$2002,$A15,'Lançar Resultado'!$P$3:$P$2002,10))</f>
        <v/>
      </c>
      <c r="M15" s="77" t="str">
        <f aca="false">IF($A15="","",IF(($F15+$G15)=0,"",$F15/($F15+$G15)*100))</f>
        <v/>
      </c>
    </row>
    <row r="16" customFormat="false" ht="18" hidden="false" customHeight="true" outlineLevel="0" collapsed="false">
      <c r="A16" s="75" t="str">
        <f aca="false">IF(Inspeções!$B16="","",Inspeções!$A16)</f>
        <v/>
      </c>
      <c r="B16" s="39" t="str">
        <f aca="false">IF($A16="","",Inspeções!$B16)</f>
        <v/>
      </c>
      <c r="C16" s="40" t="str">
        <f aca="false">IF($A16="","",Inspeções!$E16)</f>
        <v/>
      </c>
      <c r="D16" s="40" t="str">
        <f aca="false">IF($A16="","",Inspeções!$F16)</f>
        <v/>
      </c>
      <c r="E16" s="39" t="str">
        <f aca="false">IF($A16="","",COUNTIFS('Lançar Resultado'!$A$3:$A$2002,$B16,'Lançar Resultado'!$B$3:$B$2002,$A16))</f>
        <v/>
      </c>
      <c r="F16" s="39" t="str">
        <f aca="false">IF($A16="","",COUNTIFS('Lançar Resultado'!$A$3:$A$2002,$B16,'Lançar Resultado'!$B$3:$B$2002,$A16,'Lançar Resultado'!$G$3:$G$2002,"OK"))</f>
        <v/>
      </c>
      <c r="G16" s="39" t="str">
        <f aca="false">IF($A16="","",COUNTIFS('Lançar Resultado'!$A$3:$A$2002,$B16,'Lançar Resultado'!$B$3:$B$2002,$A16,'Lançar Resultado'!$G$3:$G$2002,"NOK"))</f>
        <v/>
      </c>
      <c r="H16" s="39" t="str">
        <f aca="false">IF($A16="","",COUNTIFS('Lançar Resultado'!$A$3:$A$2002,$B16,'Lançar Resultado'!$B$3:$B$2002,$A16,'Lançar Resultado'!$G$3:$G$2002,"N/A"))</f>
        <v/>
      </c>
      <c r="I16" s="39" t="str">
        <f aca="false">IF($A16="","",IF($E16=0,"",SUMPRODUCT(MAX(('Lançar Resultado'!$A$3:$A$2002=$B16)*('Lançar Resultado'!$B$3:$B$2002=$A16)*'Lançar Resultado'!$R$3:$R$2002))))</f>
        <v/>
      </c>
      <c r="J16" s="39" t="str">
        <f aca="false">IF($A16="","",COUNTIFS('Lançar Resultado'!$A$3:$A$2002,$B16,'Lançar Resultado'!$B$3:$B$2002,$A16,'Lançar Resultado'!$O$3:$O$2002,"Sim"))</f>
        <v/>
      </c>
      <c r="K16" s="76" t="str">
        <f aca="false">IF($A16="","",COUNTIFS('Lançar Resultado'!$A$3:$A$2002,$B16,'Lançar Resultado'!$B$3:$B$2002,$A16,'Lançar Resultado'!$N$3:$N$2002,"Alta"))</f>
        <v/>
      </c>
      <c r="L16" s="76" t="str">
        <f aca="false">IF($A16="","",COUNTIFS('Lançar Resultado'!$A$3:$A$2002,$B16,'Lançar Resultado'!$B$3:$B$2002,$A16,'Lançar Resultado'!$P$3:$P$2002,10))</f>
        <v/>
      </c>
      <c r="M16" s="77" t="str">
        <f aca="false">IF($A16="","",IF(($F16+$G16)=0,"",$F16/($F16+$G16)*100))</f>
        <v/>
      </c>
    </row>
    <row r="17" customFormat="false" ht="18" hidden="false" customHeight="true" outlineLevel="0" collapsed="false">
      <c r="A17" s="75" t="str">
        <f aca="false">IF(Inspeções!$B17="","",Inspeções!$A17)</f>
        <v/>
      </c>
      <c r="B17" s="39" t="str">
        <f aca="false">IF($A17="","",Inspeções!$B17)</f>
        <v/>
      </c>
      <c r="C17" s="40" t="str">
        <f aca="false">IF($A17="","",Inspeções!$E17)</f>
        <v/>
      </c>
      <c r="D17" s="40" t="str">
        <f aca="false">IF($A17="","",Inspeções!$F17)</f>
        <v/>
      </c>
      <c r="E17" s="39" t="str">
        <f aca="false">IF($A17="","",COUNTIFS('Lançar Resultado'!$A$3:$A$2002,$B17,'Lançar Resultado'!$B$3:$B$2002,$A17))</f>
        <v/>
      </c>
      <c r="F17" s="39" t="str">
        <f aca="false">IF($A17="","",COUNTIFS('Lançar Resultado'!$A$3:$A$2002,$B17,'Lançar Resultado'!$B$3:$B$2002,$A17,'Lançar Resultado'!$G$3:$G$2002,"OK"))</f>
        <v/>
      </c>
      <c r="G17" s="39" t="str">
        <f aca="false">IF($A17="","",COUNTIFS('Lançar Resultado'!$A$3:$A$2002,$B17,'Lançar Resultado'!$B$3:$B$2002,$A17,'Lançar Resultado'!$G$3:$G$2002,"NOK"))</f>
        <v/>
      </c>
      <c r="H17" s="39" t="str">
        <f aca="false">IF($A17="","",COUNTIFS('Lançar Resultado'!$A$3:$A$2002,$B17,'Lançar Resultado'!$B$3:$B$2002,$A17,'Lançar Resultado'!$G$3:$G$2002,"N/A"))</f>
        <v/>
      </c>
      <c r="I17" s="39" t="str">
        <f aca="false">IF($A17="","",IF($E17=0,"",SUMPRODUCT(MAX(('Lançar Resultado'!$A$3:$A$2002=$B17)*('Lançar Resultado'!$B$3:$B$2002=$A17)*'Lançar Resultado'!$R$3:$R$2002))))</f>
        <v/>
      </c>
      <c r="J17" s="39" t="str">
        <f aca="false">IF($A17="","",COUNTIFS('Lançar Resultado'!$A$3:$A$2002,$B17,'Lançar Resultado'!$B$3:$B$2002,$A17,'Lançar Resultado'!$O$3:$O$2002,"Sim"))</f>
        <v/>
      </c>
      <c r="K17" s="76" t="str">
        <f aca="false">IF($A17="","",COUNTIFS('Lançar Resultado'!$A$3:$A$2002,$B17,'Lançar Resultado'!$B$3:$B$2002,$A17,'Lançar Resultado'!$N$3:$N$2002,"Alta"))</f>
        <v/>
      </c>
      <c r="L17" s="76" t="str">
        <f aca="false">IF($A17="","",COUNTIFS('Lançar Resultado'!$A$3:$A$2002,$B17,'Lançar Resultado'!$B$3:$B$2002,$A17,'Lançar Resultado'!$P$3:$P$2002,10))</f>
        <v/>
      </c>
      <c r="M17" s="77" t="str">
        <f aca="false">IF($A17="","",IF(($F17+$G17)=0,"",$F17/($F17+$G17)*100))</f>
        <v/>
      </c>
    </row>
    <row r="18" customFormat="false" ht="18" hidden="false" customHeight="true" outlineLevel="0" collapsed="false">
      <c r="A18" s="75" t="str">
        <f aca="false">IF(Inspeções!$B18="","",Inspeções!$A18)</f>
        <v/>
      </c>
      <c r="B18" s="39" t="str">
        <f aca="false">IF($A18="","",Inspeções!$B18)</f>
        <v/>
      </c>
      <c r="C18" s="40" t="str">
        <f aca="false">IF($A18="","",Inspeções!$E18)</f>
        <v/>
      </c>
      <c r="D18" s="40" t="str">
        <f aca="false">IF($A18="","",Inspeções!$F18)</f>
        <v/>
      </c>
      <c r="E18" s="39" t="str">
        <f aca="false">IF($A18="","",COUNTIFS('Lançar Resultado'!$A$3:$A$2002,$B18,'Lançar Resultado'!$B$3:$B$2002,$A18))</f>
        <v/>
      </c>
      <c r="F18" s="39" t="str">
        <f aca="false">IF($A18="","",COUNTIFS('Lançar Resultado'!$A$3:$A$2002,$B18,'Lançar Resultado'!$B$3:$B$2002,$A18,'Lançar Resultado'!$G$3:$G$2002,"OK"))</f>
        <v/>
      </c>
      <c r="G18" s="39" t="str">
        <f aca="false">IF($A18="","",COUNTIFS('Lançar Resultado'!$A$3:$A$2002,$B18,'Lançar Resultado'!$B$3:$B$2002,$A18,'Lançar Resultado'!$G$3:$G$2002,"NOK"))</f>
        <v/>
      </c>
      <c r="H18" s="39" t="str">
        <f aca="false">IF($A18="","",COUNTIFS('Lançar Resultado'!$A$3:$A$2002,$B18,'Lançar Resultado'!$B$3:$B$2002,$A18,'Lançar Resultado'!$G$3:$G$2002,"N/A"))</f>
        <v/>
      </c>
      <c r="I18" s="39" t="str">
        <f aca="false">IF($A18="","",IF($E18=0,"",SUMPRODUCT(MAX(('Lançar Resultado'!$A$3:$A$2002=$B18)*('Lançar Resultado'!$B$3:$B$2002=$A18)*'Lançar Resultado'!$R$3:$R$2002))))</f>
        <v/>
      </c>
      <c r="J18" s="39" t="str">
        <f aca="false">IF($A18="","",COUNTIFS('Lançar Resultado'!$A$3:$A$2002,$B18,'Lançar Resultado'!$B$3:$B$2002,$A18,'Lançar Resultado'!$O$3:$O$2002,"Sim"))</f>
        <v/>
      </c>
      <c r="K18" s="76" t="str">
        <f aca="false">IF($A18="","",COUNTIFS('Lançar Resultado'!$A$3:$A$2002,$B18,'Lançar Resultado'!$B$3:$B$2002,$A18,'Lançar Resultado'!$N$3:$N$2002,"Alta"))</f>
        <v/>
      </c>
      <c r="L18" s="76" t="str">
        <f aca="false">IF($A18="","",COUNTIFS('Lançar Resultado'!$A$3:$A$2002,$B18,'Lançar Resultado'!$B$3:$B$2002,$A18,'Lançar Resultado'!$P$3:$P$2002,10))</f>
        <v/>
      </c>
      <c r="M18" s="77" t="str">
        <f aca="false">IF($A18="","",IF(($F18+$G18)=0,"",$F18/($F18+$G18)*100))</f>
        <v/>
      </c>
    </row>
    <row r="19" customFormat="false" ht="18" hidden="false" customHeight="true" outlineLevel="0" collapsed="false">
      <c r="A19" s="75" t="str">
        <f aca="false">IF(Inspeções!$B19="","",Inspeções!$A19)</f>
        <v/>
      </c>
      <c r="B19" s="39" t="str">
        <f aca="false">IF($A19="","",Inspeções!$B19)</f>
        <v/>
      </c>
      <c r="C19" s="40" t="str">
        <f aca="false">IF($A19="","",Inspeções!$E19)</f>
        <v/>
      </c>
      <c r="D19" s="40" t="str">
        <f aca="false">IF($A19="","",Inspeções!$F19)</f>
        <v/>
      </c>
      <c r="E19" s="39" t="str">
        <f aca="false">IF($A19="","",COUNTIFS('Lançar Resultado'!$A$3:$A$2002,$B19,'Lançar Resultado'!$B$3:$B$2002,$A19))</f>
        <v/>
      </c>
      <c r="F19" s="39" t="str">
        <f aca="false">IF($A19="","",COUNTIFS('Lançar Resultado'!$A$3:$A$2002,$B19,'Lançar Resultado'!$B$3:$B$2002,$A19,'Lançar Resultado'!$G$3:$G$2002,"OK"))</f>
        <v/>
      </c>
      <c r="G19" s="39" t="str">
        <f aca="false">IF($A19="","",COUNTIFS('Lançar Resultado'!$A$3:$A$2002,$B19,'Lançar Resultado'!$B$3:$B$2002,$A19,'Lançar Resultado'!$G$3:$G$2002,"NOK"))</f>
        <v/>
      </c>
      <c r="H19" s="39" t="str">
        <f aca="false">IF($A19="","",COUNTIFS('Lançar Resultado'!$A$3:$A$2002,$B19,'Lançar Resultado'!$B$3:$B$2002,$A19,'Lançar Resultado'!$G$3:$G$2002,"N/A"))</f>
        <v/>
      </c>
      <c r="I19" s="39" t="str">
        <f aca="false">IF($A19="","",IF($E19=0,"",SUMPRODUCT(MAX(('Lançar Resultado'!$A$3:$A$2002=$B19)*('Lançar Resultado'!$B$3:$B$2002=$A19)*'Lançar Resultado'!$R$3:$R$2002))))</f>
        <v/>
      </c>
      <c r="J19" s="39" t="str">
        <f aca="false">IF($A19="","",COUNTIFS('Lançar Resultado'!$A$3:$A$2002,$B19,'Lançar Resultado'!$B$3:$B$2002,$A19,'Lançar Resultado'!$O$3:$O$2002,"Sim"))</f>
        <v/>
      </c>
      <c r="K19" s="76" t="str">
        <f aca="false">IF($A19="","",COUNTIFS('Lançar Resultado'!$A$3:$A$2002,$B19,'Lançar Resultado'!$B$3:$B$2002,$A19,'Lançar Resultado'!$N$3:$N$2002,"Alta"))</f>
        <v/>
      </c>
      <c r="L19" s="76" t="str">
        <f aca="false">IF($A19="","",COUNTIFS('Lançar Resultado'!$A$3:$A$2002,$B19,'Lançar Resultado'!$B$3:$B$2002,$A19,'Lançar Resultado'!$P$3:$P$2002,10))</f>
        <v/>
      </c>
      <c r="M19" s="77" t="str">
        <f aca="false">IF($A19="","",IF(($F19+$G19)=0,"",$F19/($F19+$G19)*100))</f>
        <v/>
      </c>
    </row>
    <row r="20" customFormat="false" ht="18" hidden="false" customHeight="true" outlineLevel="0" collapsed="false">
      <c r="A20" s="75" t="str">
        <f aca="false">IF(Inspeções!$B20="","",Inspeções!$A20)</f>
        <v/>
      </c>
      <c r="B20" s="39" t="str">
        <f aca="false">IF($A20="","",Inspeções!$B20)</f>
        <v/>
      </c>
      <c r="C20" s="40" t="str">
        <f aca="false">IF($A20="","",Inspeções!$E20)</f>
        <v/>
      </c>
      <c r="D20" s="40" t="str">
        <f aca="false">IF($A20="","",Inspeções!$F20)</f>
        <v/>
      </c>
      <c r="E20" s="39" t="str">
        <f aca="false">IF($A20="","",COUNTIFS('Lançar Resultado'!$A$3:$A$2002,$B20,'Lançar Resultado'!$B$3:$B$2002,$A20))</f>
        <v/>
      </c>
      <c r="F20" s="39" t="str">
        <f aca="false">IF($A20="","",COUNTIFS('Lançar Resultado'!$A$3:$A$2002,$B20,'Lançar Resultado'!$B$3:$B$2002,$A20,'Lançar Resultado'!$G$3:$G$2002,"OK"))</f>
        <v/>
      </c>
      <c r="G20" s="39" t="str">
        <f aca="false">IF($A20="","",COUNTIFS('Lançar Resultado'!$A$3:$A$2002,$B20,'Lançar Resultado'!$B$3:$B$2002,$A20,'Lançar Resultado'!$G$3:$G$2002,"NOK"))</f>
        <v/>
      </c>
      <c r="H20" s="39" t="str">
        <f aca="false">IF($A20="","",COUNTIFS('Lançar Resultado'!$A$3:$A$2002,$B20,'Lançar Resultado'!$B$3:$B$2002,$A20,'Lançar Resultado'!$G$3:$G$2002,"N/A"))</f>
        <v/>
      </c>
      <c r="I20" s="39" t="str">
        <f aca="false">IF($A20="","",IF($E20=0,"",SUMPRODUCT(MAX(('Lançar Resultado'!$A$3:$A$2002=$B20)*('Lançar Resultado'!$B$3:$B$2002=$A20)*'Lançar Resultado'!$R$3:$R$2002))))</f>
        <v/>
      </c>
      <c r="J20" s="39" t="str">
        <f aca="false">IF($A20="","",COUNTIFS('Lançar Resultado'!$A$3:$A$2002,$B20,'Lançar Resultado'!$B$3:$B$2002,$A20,'Lançar Resultado'!$O$3:$O$2002,"Sim"))</f>
        <v/>
      </c>
      <c r="K20" s="76" t="str">
        <f aca="false">IF($A20="","",COUNTIFS('Lançar Resultado'!$A$3:$A$2002,$B20,'Lançar Resultado'!$B$3:$B$2002,$A20,'Lançar Resultado'!$N$3:$N$2002,"Alta"))</f>
        <v/>
      </c>
      <c r="L20" s="76" t="str">
        <f aca="false">IF($A20="","",COUNTIFS('Lançar Resultado'!$A$3:$A$2002,$B20,'Lançar Resultado'!$B$3:$B$2002,$A20,'Lançar Resultado'!$P$3:$P$2002,10))</f>
        <v/>
      </c>
      <c r="M20" s="77" t="str">
        <f aca="false">IF($A20="","",IF(($F20+$G20)=0,"",$F20/($F20+$G20)*100))</f>
        <v/>
      </c>
    </row>
    <row r="21" customFormat="false" ht="18" hidden="false" customHeight="true" outlineLevel="0" collapsed="false">
      <c r="A21" s="75" t="str">
        <f aca="false">IF(Inspeções!$B21="","",Inspeções!$A21)</f>
        <v/>
      </c>
      <c r="B21" s="39" t="str">
        <f aca="false">IF($A21="","",Inspeções!$B21)</f>
        <v/>
      </c>
      <c r="C21" s="40" t="str">
        <f aca="false">IF($A21="","",Inspeções!$E21)</f>
        <v/>
      </c>
      <c r="D21" s="40" t="str">
        <f aca="false">IF($A21="","",Inspeções!$F21)</f>
        <v/>
      </c>
      <c r="E21" s="39" t="str">
        <f aca="false">IF($A21="","",COUNTIFS('Lançar Resultado'!$A$3:$A$2002,$B21,'Lançar Resultado'!$B$3:$B$2002,$A21))</f>
        <v/>
      </c>
      <c r="F21" s="39" t="str">
        <f aca="false">IF($A21="","",COUNTIFS('Lançar Resultado'!$A$3:$A$2002,$B21,'Lançar Resultado'!$B$3:$B$2002,$A21,'Lançar Resultado'!$G$3:$G$2002,"OK"))</f>
        <v/>
      </c>
      <c r="G21" s="39" t="str">
        <f aca="false">IF($A21="","",COUNTIFS('Lançar Resultado'!$A$3:$A$2002,$B21,'Lançar Resultado'!$B$3:$B$2002,$A21,'Lançar Resultado'!$G$3:$G$2002,"NOK"))</f>
        <v/>
      </c>
      <c r="H21" s="39" t="str">
        <f aca="false">IF($A21="","",COUNTIFS('Lançar Resultado'!$A$3:$A$2002,$B21,'Lançar Resultado'!$B$3:$B$2002,$A21,'Lançar Resultado'!$G$3:$G$2002,"N/A"))</f>
        <v/>
      </c>
      <c r="I21" s="39" t="str">
        <f aca="false">IF($A21="","",IF($E21=0,"",SUMPRODUCT(MAX(('Lançar Resultado'!$A$3:$A$2002=$B21)*('Lançar Resultado'!$B$3:$B$2002=$A21)*'Lançar Resultado'!$R$3:$R$2002))))</f>
        <v/>
      </c>
      <c r="J21" s="39" t="str">
        <f aca="false">IF($A21="","",COUNTIFS('Lançar Resultado'!$A$3:$A$2002,$B21,'Lançar Resultado'!$B$3:$B$2002,$A21,'Lançar Resultado'!$O$3:$O$2002,"Sim"))</f>
        <v/>
      </c>
      <c r="K21" s="76" t="str">
        <f aca="false">IF($A21="","",COUNTIFS('Lançar Resultado'!$A$3:$A$2002,$B21,'Lançar Resultado'!$B$3:$B$2002,$A21,'Lançar Resultado'!$N$3:$N$2002,"Alta"))</f>
        <v/>
      </c>
      <c r="L21" s="76" t="str">
        <f aca="false">IF($A21="","",COUNTIFS('Lançar Resultado'!$A$3:$A$2002,$B21,'Lançar Resultado'!$B$3:$B$2002,$A21,'Lançar Resultado'!$P$3:$P$2002,10))</f>
        <v/>
      </c>
      <c r="M21" s="77" t="str">
        <f aca="false">IF($A21="","",IF(($F21+$G21)=0,"",$F21/($F21+$G21)*100))</f>
        <v/>
      </c>
    </row>
    <row r="22" customFormat="false" ht="18" hidden="false" customHeight="true" outlineLevel="0" collapsed="false">
      <c r="A22" s="75" t="str">
        <f aca="false">IF(Inspeções!$B22="","",Inspeções!$A22)</f>
        <v/>
      </c>
      <c r="B22" s="39" t="str">
        <f aca="false">IF($A22="","",Inspeções!$B22)</f>
        <v/>
      </c>
      <c r="C22" s="40" t="str">
        <f aca="false">IF($A22="","",Inspeções!$E22)</f>
        <v/>
      </c>
      <c r="D22" s="40" t="str">
        <f aca="false">IF($A22="","",Inspeções!$F22)</f>
        <v/>
      </c>
      <c r="E22" s="39" t="str">
        <f aca="false">IF($A22="","",COUNTIFS('Lançar Resultado'!$A$3:$A$2002,$B22,'Lançar Resultado'!$B$3:$B$2002,$A22))</f>
        <v/>
      </c>
      <c r="F22" s="39" t="str">
        <f aca="false">IF($A22="","",COUNTIFS('Lançar Resultado'!$A$3:$A$2002,$B22,'Lançar Resultado'!$B$3:$B$2002,$A22,'Lançar Resultado'!$G$3:$G$2002,"OK"))</f>
        <v/>
      </c>
      <c r="G22" s="39" t="str">
        <f aca="false">IF($A22="","",COUNTIFS('Lançar Resultado'!$A$3:$A$2002,$B22,'Lançar Resultado'!$B$3:$B$2002,$A22,'Lançar Resultado'!$G$3:$G$2002,"NOK"))</f>
        <v/>
      </c>
      <c r="H22" s="39" t="str">
        <f aca="false">IF($A22="","",COUNTIFS('Lançar Resultado'!$A$3:$A$2002,$B22,'Lançar Resultado'!$B$3:$B$2002,$A22,'Lançar Resultado'!$G$3:$G$2002,"N/A"))</f>
        <v/>
      </c>
      <c r="I22" s="39" t="str">
        <f aca="false">IF($A22="","",IF($E22=0,"",SUMPRODUCT(MAX(('Lançar Resultado'!$A$3:$A$2002=$B22)*('Lançar Resultado'!$B$3:$B$2002=$A22)*'Lançar Resultado'!$R$3:$R$2002))))</f>
        <v/>
      </c>
      <c r="J22" s="39" t="str">
        <f aca="false">IF($A22="","",COUNTIFS('Lançar Resultado'!$A$3:$A$2002,$B22,'Lançar Resultado'!$B$3:$B$2002,$A22,'Lançar Resultado'!$O$3:$O$2002,"Sim"))</f>
        <v/>
      </c>
      <c r="K22" s="76" t="str">
        <f aca="false">IF($A22="","",COUNTIFS('Lançar Resultado'!$A$3:$A$2002,$B22,'Lançar Resultado'!$B$3:$B$2002,$A22,'Lançar Resultado'!$N$3:$N$2002,"Alta"))</f>
        <v/>
      </c>
      <c r="L22" s="76" t="str">
        <f aca="false">IF($A22="","",COUNTIFS('Lançar Resultado'!$A$3:$A$2002,$B22,'Lançar Resultado'!$B$3:$B$2002,$A22,'Lançar Resultado'!$P$3:$P$2002,10))</f>
        <v/>
      </c>
      <c r="M22" s="77" t="str">
        <f aca="false">IF($A22="","",IF(($F22+$G22)=0,"",$F22/($F22+$G22)*100))</f>
        <v/>
      </c>
    </row>
    <row r="23" customFormat="false" ht="18" hidden="false" customHeight="true" outlineLevel="0" collapsed="false">
      <c r="A23" s="75" t="str">
        <f aca="false">IF(Inspeções!$B23="","",Inspeções!$A23)</f>
        <v/>
      </c>
      <c r="B23" s="39" t="str">
        <f aca="false">IF($A23="","",Inspeções!$B23)</f>
        <v/>
      </c>
      <c r="C23" s="40" t="str">
        <f aca="false">IF($A23="","",Inspeções!$E23)</f>
        <v/>
      </c>
      <c r="D23" s="40" t="str">
        <f aca="false">IF($A23="","",Inspeções!$F23)</f>
        <v/>
      </c>
      <c r="E23" s="39" t="str">
        <f aca="false">IF($A23="","",COUNTIFS('Lançar Resultado'!$A$3:$A$2002,$B23,'Lançar Resultado'!$B$3:$B$2002,$A23))</f>
        <v/>
      </c>
      <c r="F23" s="39" t="str">
        <f aca="false">IF($A23="","",COUNTIFS('Lançar Resultado'!$A$3:$A$2002,$B23,'Lançar Resultado'!$B$3:$B$2002,$A23,'Lançar Resultado'!$G$3:$G$2002,"OK"))</f>
        <v/>
      </c>
      <c r="G23" s="39" t="str">
        <f aca="false">IF($A23="","",COUNTIFS('Lançar Resultado'!$A$3:$A$2002,$B23,'Lançar Resultado'!$B$3:$B$2002,$A23,'Lançar Resultado'!$G$3:$G$2002,"NOK"))</f>
        <v/>
      </c>
      <c r="H23" s="39" t="str">
        <f aca="false">IF($A23="","",COUNTIFS('Lançar Resultado'!$A$3:$A$2002,$B23,'Lançar Resultado'!$B$3:$B$2002,$A23,'Lançar Resultado'!$G$3:$G$2002,"N/A"))</f>
        <v/>
      </c>
      <c r="I23" s="39" t="str">
        <f aca="false">IF($A23="","",IF($E23=0,"",SUMPRODUCT(MAX(('Lançar Resultado'!$A$3:$A$2002=$B23)*('Lançar Resultado'!$B$3:$B$2002=$A23)*'Lançar Resultado'!$R$3:$R$2002))))</f>
        <v/>
      </c>
      <c r="J23" s="39" t="str">
        <f aca="false">IF($A23="","",COUNTIFS('Lançar Resultado'!$A$3:$A$2002,$B23,'Lançar Resultado'!$B$3:$B$2002,$A23,'Lançar Resultado'!$O$3:$O$2002,"Sim"))</f>
        <v/>
      </c>
      <c r="K23" s="76" t="str">
        <f aca="false">IF($A23="","",COUNTIFS('Lançar Resultado'!$A$3:$A$2002,$B23,'Lançar Resultado'!$B$3:$B$2002,$A23,'Lançar Resultado'!$N$3:$N$2002,"Alta"))</f>
        <v/>
      </c>
      <c r="L23" s="76" t="str">
        <f aca="false">IF($A23="","",COUNTIFS('Lançar Resultado'!$A$3:$A$2002,$B23,'Lançar Resultado'!$B$3:$B$2002,$A23,'Lançar Resultado'!$P$3:$P$2002,10))</f>
        <v/>
      </c>
      <c r="M23" s="77" t="str">
        <f aca="false">IF($A23="","",IF(($F23+$G23)=0,"",$F23/($F23+$G23)*100))</f>
        <v/>
      </c>
    </row>
    <row r="24" customFormat="false" ht="18" hidden="false" customHeight="true" outlineLevel="0" collapsed="false">
      <c r="A24" s="75" t="str">
        <f aca="false">IF(Inspeções!$B24="","",Inspeções!$A24)</f>
        <v/>
      </c>
      <c r="B24" s="39" t="str">
        <f aca="false">IF($A24="","",Inspeções!$B24)</f>
        <v/>
      </c>
      <c r="C24" s="40" t="str">
        <f aca="false">IF($A24="","",Inspeções!$E24)</f>
        <v/>
      </c>
      <c r="D24" s="40" t="str">
        <f aca="false">IF($A24="","",Inspeções!$F24)</f>
        <v/>
      </c>
      <c r="E24" s="39" t="str">
        <f aca="false">IF($A24="","",COUNTIFS('Lançar Resultado'!$A$3:$A$2002,$B24,'Lançar Resultado'!$B$3:$B$2002,$A24))</f>
        <v/>
      </c>
      <c r="F24" s="39" t="str">
        <f aca="false">IF($A24="","",COUNTIFS('Lançar Resultado'!$A$3:$A$2002,$B24,'Lançar Resultado'!$B$3:$B$2002,$A24,'Lançar Resultado'!$G$3:$G$2002,"OK"))</f>
        <v/>
      </c>
      <c r="G24" s="39" t="str">
        <f aca="false">IF($A24="","",COUNTIFS('Lançar Resultado'!$A$3:$A$2002,$B24,'Lançar Resultado'!$B$3:$B$2002,$A24,'Lançar Resultado'!$G$3:$G$2002,"NOK"))</f>
        <v/>
      </c>
      <c r="H24" s="39" t="str">
        <f aca="false">IF($A24="","",COUNTIFS('Lançar Resultado'!$A$3:$A$2002,$B24,'Lançar Resultado'!$B$3:$B$2002,$A24,'Lançar Resultado'!$G$3:$G$2002,"N/A"))</f>
        <v/>
      </c>
      <c r="I24" s="39" t="str">
        <f aca="false">IF($A24="","",IF($E24=0,"",SUMPRODUCT(MAX(('Lançar Resultado'!$A$3:$A$2002=$B24)*('Lançar Resultado'!$B$3:$B$2002=$A24)*'Lançar Resultado'!$R$3:$R$2002))))</f>
        <v/>
      </c>
      <c r="J24" s="39" t="str">
        <f aca="false">IF($A24="","",COUNTIFS('Lançar Resultado'!$A$3:$A$2002,$B24,'Lançar Resultado'!$B$3:$B$2002,$A24,'Lançar Resultado'!$O$3:$O$2002,"Sim"))</f>
        <v/>
      </c>
      <c r="K24" s="76" t="str">
        <f aca="false">IF($A24="","",COUNTIFS('Lançar Resultado'!$A$3:$A$2002,$B24,'Lançar Resultado'!$B$3:$B$2002,$A24,'Lançar Resultado'!$N$3:$N$2002,"Alta"))</f>
        <v/>
      </c>
      <c r="L24" s="76" t="str">
        <f aca="false">IF($A24="","",COUNTIFS('Lançar Resultado'!$A$3:$A$2002,$B24,'Lançar Resultado'!$B$3:$B$2002,$A24,'Lançar Resultado'!$P$3:$P$2002,10))</f>
        <v/>
      </c>
      <c r="M24" s="77" t="str">
        <f aca="false">IF($A24="","",IF(($F24+$G24)=0,"",$F24/($F24+$G24)*100))</f>
        <v/>
      </c>
    </row>
    <row r="25" customFormat="false" ht="18" hidden="false" customHeight="true" outlineLevel="0" collapsed="false">
      <c r="A25" s="75" t="str">
        <f aca="false">IF(Inspeções!$B25="","",Inspeções!$A25)</f>
        <v/>
      </c>
      <c r="B25" s="39" t="str">
        <f aca="false">IF($A25="","",Inspeções!$B25)</f>
        <v/>
      </c>
      <c r="C25" s="40" t="str">
        <f aca="false">IF($A25="","",Inspeções!$E25)</f>
        <v/>
      </c>
      <c r="D25" s="40" t="str">
        <f aca="false">IF($A25="","",Inspeções!$F25)</f>
        <v/>
      </c>
      <c r="E25" s="39" t="str">
        <f aca="false">IF($A25="","",COUNTIFS('Lançar Resultado'!$A$3:$A$2002,$B25,'Lançar Resultado'!$B$3:$B$2002,$A25))</f>
        <v/>
      </c>
      <c r="F25" s="39" t="str">
        <f aca="false">IF($A25="","",COUNTIFS('Lançar Resultado'!$A$3:$A$2002,$B25,'Lançar Resultado'!$B$3:$B$2002,$A25,'Lançar Resultado'!$G$3:$G$2002,"OK"))</f>
        <v/>
      </c>
      <c r="G25" s="39" t="str">
        <f aca="false">IF($A25="","",COUNTIFS('Lançar Resultado'!$A$3:$A$2002,$B25,'Lançar Resultado'!$B$3:$B$2002,$A25,'Lançar Resultado'!$G$3:$G$2002,"NOK"))</f>
        <v/>
      </c>
      <c r="H25" s="39" t="str">
        <f aca="false">IF($A25="","",COUNTIFS('Lançar Resultado'!$A$3:$A$2002,$B25,'Lançar Resultado'!$B$3:$B$2002,$A25,'Lançar Resultado'!$G$3:$G$2002,"N/A"))</f>
        <v/>
      </c>
      <c r="I25" s="39" t="str">
        <f aca="false">IF($A25="","",IF($E25=0,"",SUMPRODUCT(MAX(('Lançar Resultado'!$A$3:$A$2002=$B25)*('Lançar Resultado'!$B$3:$B$2002=$A25)*'Lançar Resultado'!$R$3:$R$2002))))</f>
        <v/>
      </c>
      <c r="J25" s="39" t="str">
        <f aca="false">IF($A25="","",COUNTIFS('Lançar Resultado'!$A$3:$A$2002,$B25,'Lançar Resultado'!$B$3:$B$2002,$A25,'Lançar Resultado'!$O$3:$O$2002,"Sim"))</f>
        <v/>
      </c>
      <c r="K25" s="76" t="str">
        <f aca="false">IF($A25="","",COUNTIFS('Lançar Resultado'!$A$3:$A$2002,$B25,'Lançar Resultado'!$B$3:$B$2002,$A25,'Lançar Resultado'!$N$3:$N$2002,"Alta"))</f>
        <v/>
      </c>
      <c r="L25" s="76" t="str">
        <f aca="false">IF($A25="","",COUNTIFS('Lançar Resultado'!$A$3:$A$2002,$B25,'Lançar Resultado'!$B$3:$B$2002,$A25,'Lançar Resultado'!$P$3:$P$2002,10))</f>
        <v/>
      </c>
      <c r="M25" s="77" t="str">
        <f aca="false">IF($A25="","",IF(($F25+$G25)=0,"",$F25/($F25+$G25)*100))</f>
        <v/>
      </c>
    </row>
    <row r="26" customFormat="false" ht="18" hidden="false" customHeight="true" outlineLevel="0" collapsed="false">
      <c r="A26" s="75" t="str">
        <f aca="false">IF(Inspeções!$B26="","",Inspeções!$A26)</f>
        <v/>
      </c>
      <c r="B26" s="39" t="str">
        <f aca="false">IF($A26="","",Inspeções!$B26)</f>
        <v/>
      </c>
      <c r="C26" s="40" t="str">
        <f aca="false">IF($A26="","",Inspeções!$E26)</f>
        <v/>
      </c>
      <c r="D26" s="40" t="str">
        <f aca="false">IF($A26="","",Inspeções!$F26)</f>
        <v/>
      </c>
      <c r="E26" s="39" t="str">
        <f aca="false">IF($A26="","",COUNTIFS('Lançar Resultado'!$A$3:$A$2002,$B26,'Lançar Resultado'!$B$3:$B$2002,$A26))</f>
        <v/>
      </c>
      <c r="F26" s="39" t="str">
        <f aca="false">IF($A26="","",COUNTIFS('Lançar Resultado'!$A$3:$A$2002,$B26,'Lançar Resultado'!$B$3:$B$2002,$A26,'Lançar Resultado'!$G$3:$G$2002,"OK"))</f>
        <v/>
      </c>
      <c r="G26" s="39" t="str">
        <f aca="false">IF($A26="","",COUNTIFS('Lançar Resultado'!$A$3:$A$2002,$B26,'Lançar Resultado'!$B$3:$B$2002,$A26,'Lançar Resultado'!$G$3:$G$2002,"NOK"))</f>
        <v/>
      </c>
      <c r="H26" s="39" t="str">
        <f aca="false">IF($A26="","",COUNTIFS('Lançar Resultado'!$A$3:$A$2002,$B26,'Lançar Resultado'!$B$3:$B$2002,$A26,'Lançar Resultado'!$G$3:$G$2002,"N/A"))</f>
        <v/>
      </c>
      <c r="I26" s="39" t="str">
        <f aca="false">IF($A26="","",IF($E26=0,"",SUMPRODUCT(MAX(('Lançar Resultado'!$A$3:$A$2002=$B26)*('Lançar Resultado'!$B$3:$B$2002=$A26)*'Lançar Resultado'!$R$3:$R$2002))))</f>
        <v/>
      </c>
      <c r="J26" s="39" t="str">
        <f aca="false">IF($A26="","",COUNTIFS('Lançar Resultado'!$A$3:$A$2002,$B26,'Lançar Resultado'!$B$3:$B$2002,$A26,'Lançar Resultado'!$O$3:$O$2002,"Sim"))</f>
        <v/>
      </c>
      <c r="K26" s="76" t="str">
        <f aca="false">IF($A26="","",COUNTIFS('Lançar Resultado'!$A$3:$A$2002,$B26,'Lançar Resultado'!$B$3:$B$2002,$A26,'Lançar Resultado'!$N$3:$N$2002,"Alta"))</f>
        <v/>
      </c>
      <c r="L26" s="76" t="str">
        <f aca="false">IF($A26="","",COUNTIFS('Lançar Resultado'!$A$3:$A$2002,$B26,'Lançar Resultado'!$B$3:$B$2002,$A26,'Lançar Resultado'!$P$3:$P$2002,10))</f>
        <v/>
      </c>
      <c r="M26" s="77" t="str">
        <f aca="false">IF($A26="","",IF(($F26+$G26)=0,"",$F26/($F26+$G26)*100))</f>
        <v/>
      </c>
    </row>
    <row r="27" customFormat="false" ht="18" hidden="false" customHeight="true" outlineLevel="0" collapsed="false">
      <c r="A27" s="75" t="str">
        <f aca="false">IF(Inspeções!$B27="","",Inspeções!$A27)</f>
        <v/>
      </c>
      <c r="B27" s="39" t="str">
        <f aca="false">IF($A27="","",Inspeções!$B27)</f>
        <v/>
      </c>
      <c r="C27" s="40" t="str">
        <f aca="false">IF($A27="","",Inspeções!$E27)</f>
        <v/>
      </c>
      <c r="D27" s="40" t="str">
        <f aca="false">IF($A27="","",Inspeções!$F27)</f>
        <v/>
      </c>
      <c r="E27" s="39" t="str">
        <f aca="false">IF($A27="","",COUNTIFS('Lançar Resultado'!$A$3:$A$2002,$B27,'Lançar Resultado'!$B$3:$B$2002,$A27))</f>
        <v/>
      </c>
      <c r="F27" s="39" t="str">
        <f aca="false">IF($A27="","",COUNTIFS('Lançar Resultado'!$A$3:$A$2002,$B27,'Lançar Resultado'!$B$3:$B$2002,$A27,'Lançar Resultado'!$G$3:$G$2002,"OK"))</f>
        <v/>
      </c>
      <c r="G27" s="39" t="str">
        <f aca="false">IF($A27="","",COUNTIFS('Lançar Resultado'!$A$3:$A$2002,$B27,'Lançar Resultado'!$B$3:$B$2002,$A27,'Lançar Resultado'!$G$3:$G$2002,"NOK"))</f>
        <v/>
      </c>
      <c r="H27" s="39" t="str">
        <f aca="false">IF($A27="","",COUNTIFS('Lançar Resultado'!$A$3:$A$2002,$B27,'Lançar Resultado'!$B$3:$B$2002,$A27,'Lançar Resultado'!$G$3:$G$2002,"N/A"))</f>
        <v/>
      </c>
      <c r="I27" s="39" t="str">
        <f aca="false">IF($A27="","",IF($E27=0,"",SUMPRODUCT(MAX(('Lançar Resultado'!$A$3:$A$2002=$B27)*('Lançar Resultado'!$B$3:$B$2002=$A27)*'Lançar Resultado'!$R$3:$R$2002))))</f>
        <v/>
      </c>
      <c r="J27" s="39" t="str">
        <f aca="false">IF($A27="","",COUNTIFS('Lançar Resultado'!$A$3:$A$2002,$B27,'Lançar Resultado'!$B$3:$B$2002,$A27,'Lançar Resultado'!$O$3:$O$2002,"Sim"))</f>
        <v/>
      </c>
      <c r="K27" s="76" t="str">
        <f aca="false">IF($A27="","",COUNTIFS('Lançar Resultado'!$A$3:$A$2002,$B27,'Lançar Resultado'!$B$3:$B$2002,$A27,'Lançar Resultado'!$N$3:$N$2002,"Alta"))</f>
        <v/>
      </c>
      <c r="L27" s="76" t="str">
        <f aca="false">IF($A27="","",COUNTIFS('Lançar Resultado'!$A$3:$A$2002,$B27,'Lançar Resultado'!$B$3:$B$2002,$A27,'Lançar Resultado'!$P$3:$P$2002,10))</f>
        <v/>
      </c>
      <c r="M27" s="77" t="str">
        <f aca="false">IF($A27="","",IF(($F27+$G27)=0,"",$F27/($F27+$G27)*100))</f>
        <v/>
      </c>
    </row>
    <row r="28" customFormat="false" ht="18" hidden="false" customHeight="true" outlineLevel="0" collapsed="false">
      <c r="A28" s="75" t="str">
        <f aca="false">IF(Inspeções!$B28="","",Inspeções!$A28)</f>
        <v/>
      </c>
      <c r="B28" s="39" t="str">
        <f aca="false">IF($A28="","",Inspeções!$B28)</f>
        <v/>
      </c>
      <c r="C28" s="40" t="str">
        <f aca="false">IF($A28="","",Inspeções!$E28)</f>
        <v/>
      </c>
      <c r="D28" s="40" t="str">
        <f aca="false">IF($A28="","",Inspeções!$F28)</f>
        <v/>
      </c>
      <c r="E28" s="39" t="str">
        <f aca="false">IF($A28="","",COUNTIFS('Lançar Resultado'!$A$3:$A$2002,$B28,'Lançar Resultado'!$B$3:$B$2002,$A28))</f>
        <v/>
      </c>
      <c r="F28" s="39" t="str">
        <f aca="false">IF($A28="","",COUNTIFS('Lançar Resultado'!$A$3:$A$2002,$B28,'Lançar Resultado'!$B$3:$B$2002,$A28,'Lançar Resultado'!$G$3:$G$2002,"OK"))</f>
        <v/>
      </c>
      <c r="G28" s="39" t="str">
        <f aca="false">IF($A28="","",COUNTIFS('Lançar Resultado'!$A$3:$A$2002,$B28,'Lançar Resultado'!$B$3:$B$2002,$A28,'Lançar Resultado'!$G$3:$G$2002,"NOK"))</f>
        <v/>
      </c>
      <c r="H28" s="39" t="str">
        <f aca="false">IF($A28="","",COUNTIFS('Lançar Resultado'!$A$3:$A$2002,$B28,'Lançar Resultado'!$B$3:$B$2002,$A28,'Lançar Resultado'!$G$3:$G$2002,"N/A"))</f>
        <v/>
      </c>
      <c r="I28" s="39" t="str">
        <f aca="false">IF($A28="","",IF($E28=0,"",SUMPRODUCT(MAX(('Lançar Resultado'!$A$3:$A$2002=$B28)*('Lançar Resultado'!$B$3:$B$2002=$A28)*'Lançar Resultado'!$R$3:$R$2002))))</f>
        <v/>
      </c>
      <c r="J28" s="39" t="str">
        <f aca="false">IF($A28="","",COUNTIFS('Lançar Resultado'!$A$3:$A$2002,$B28,'Lançar Resultado'!$B$3:$B$2002,$A28,'Lançar Resultado'!$O$3:$O$2002,"Sim"))</f>
        <v/>
      </c>
      <c r="K28" s="76" t="str">
        <f aca="false">IF($A28="","",COUNTIFS('Lançar Resultado'!$A$3:$A$2002,$B28,'Lançar Resultado'!$B$3:$B$2002,$A28,'Lançar Resultado'!$N$3:$N$2002,"Alta"))</f>
        <v/>
      </c>
      <c r="L28" s="76" t="str">
        <f aca="false">IF($A28="","",COUNTIFS('Lançar Resultado'!$A$3:$A$2002,$B28,'Lançar Resultado'!$B$3:$B$2002,$A28,'Lançar Resultado'!$P$3:$P$2002,10))</f>
        <v/>
      </c>
      <c r="M28" s="77" t="str">
        <f aca="false">IF($A28="","",IF(($F28+$G28)=0,"",$F28/($F28+$G28)*100))</f>
        <v/>
      </c>
    </row>
    <row r="29" customFormat="false" ht="18" hidden="false" customHeight="true" outlineLevel="0" collapsed="false">
      <c r="A29" s="75" t="str">
        <f aca="false">IF(Inspeções!$B29="","",Inspeções!$A29)</f>
        <v/>
      </c>
      <c r="B29" s="39" t="str">
        <f aca="false">IF($A29="","",Inspeções!$B29)</f>
        <v/>
      </c>
      <c r="C29" s="40" t="str">
        <f aca="false">IF($A29="","",Inspeções!$E29)</f>
        <v/>
      </c>
      <c r="D29" s="40" t="str">
        <f aca="false">IF($A29="","",Inspeções!$F29)</f>
        <v/>
      </c>
      <c r="E29" s="39" t="str">
        <f aca="false">IF($A29="","",COUNTIFS('Lançar Resultado'!$A$3:$A$2002,$B29,'Lançar Resultado'!$B$3:$B$2002,$A29))</f>
        <v/>
      </c>
      <c r="F29" s="39" t="str">
        <f aca="false">IF($A29="","",COUNTIFS('Lançar Resultado'!$A$3:$A$2002,$B29,'Lançar Resultado'!$B$3:$B$2002,$A29,'Lançar Resultado'!$G$3:$G$2002,"OK"))</f>
        <v/>
      </c>
      <c r="G29" s="39" t="str">
        <f aca="false">IF($A29="","",COUNTIFS('Lançar Resultado'!$A$3:$A$2002,$B29,'Lançar Resultado'!$B$3:$B$2002,$A29,'Lançar Resultado'!$G$3:$G$2002,"NOK"))</f>
        <v/>
      </c>
      <c r="H29" s="39" t="str">
        <f aca="false">IF($A29="","",COUNTIFS('Lançar Resultado'!$A$3:$A$2002,$B29,'Lançar Resultado'!$B$3:$B$2002,$A29,'Lançar Resultado'!$G$3:$G$2002,"N/A"))</f>
        <v/>
      </c>
      <c r="I29" s="39" t="str">
        <f aca="false">IF($A29="","",IF($E29=0,"",SUMPRODUCT(MAX(('Lançar Resultado'!$A$3:$A$2002=$B29)*('Lançar Resultado'!$B$3:$B$2002=$A29)*'Lançar Resultado'!$R$3:$R$2002))))</f>
        <v/>
      </c>
      <c r="J29" s="39" t="str">
        <f aca="false">IF($A29="","",COUNTIFS('Lançar Resultado'!$A$3:$A$2002,$B29,'Lançar Resultado'!$B$3:$B$2002,$A29,'Lançar Resultado'!$O$3:$O$2002,"Sim"))</f>
        <v/>
      </c>
      <c r="K29" s="76" t="str">
        <f aca="false">IF($A29="","",COUNTIFS('Lançar Resultado'!$A$3:$A$2002,$B29,'Lançar Resultado'!$B$3:$B$2002,$A29,'Lançar Resultado'!$N$3:$N$2002,"Alta"))</f>
        <v/>
      </c>
      <c r="L29" s="76" t="str">
        <f aca="false">IF($A29="","",COUNTIFS('Lançar Resultado'!$A$3:$A$2002,$B29,'Lançar Resultado'!$B$3:$B$2002,$A29,'Lançar Resultado'!$P$3:$P$2002,10))</f>
        <v/>
      </c>
      <c r="M29" s="77" t="str">
        <f aca="false">IF($A29="","",IF(($F29+$G29)=0,"",$F29/($F29+$G29)*100))</f>
        <v/>
      </c>
    </row>
    <row r="30" customFormat="false" ht="18" hidden="false" customHeight="true" outlineLevel="0" collapsed="false">
      <c r="A30" s="75" t="str">
        <f aca="false">IF(Inspeções!$B30="","",Inspeções!$A30)</f>
        <v/>
      </c>
      <c r="B30" s="39" t="str">
        <f aca="false">IF($A30="","",Inspeções!$B30)</f>
        <v/>
      </c>
      <c r="C30" s="40" t="str">
        <f aca="false">IF($A30="","",Inspeções!$E30)</f>
        <v/>
      </c>
      <c r="D30" s="40" t="str">
        <f aca="false">IF($A30="","",Inspeções!$F30)</f>
        <v/>
      </c>
      <c r="E30" s="39" t="str">
        <f aca="false">IF($A30="","",COUNTIFS('Lançar Resultado'!$A$3:$A$2002,$B30,'Lançar Resultado'!$B$3:$B$2002,$A30))</f>
        <v/>
      </c>
      <c r="F30" s="39" t="str">
        <f aca="false">IF($A30="","",COUNTIFS('Lançar Resultado'!$A$3:$A$2002,$B30,'Lançar Resultado'!$B$3:$B$2002,$A30,'Lançar Resultado'!$G$3:$G$2002,"OK"))</f>
        <v/>
      </c>
      <c r="G30" s="39" t="str">
        <f aca="false">IF($A30="","",COUNTIFS('Lançar Resultado'!$A$3:$A$2002,$B30,'Lançar Resultado'!$B$3:$B$2002,$A30,'Lançar Resultado'!$G$3:$G$2002,"NOK"))</f>
        <v/>
      </c>
      <c r="H30" s="39" t="str">
        <f aca="false">IF($A30="","",COUNTIFS('Lançar Resultado'!$A$3:$A$2002,$B30,'Lançar Resultado'!$B$3:$B$2002,$A30,'Lançar Resultado'!$G$3:$G$2002,"N/A"))</f>
        <v/>
      </c>
      <c r="I30" s="39" t="str">
        <f aca="false">IF($A30="","",IF($E30=0,"",SUMPRODUCT(MAX(('Lançar Resultado'!$A$3:$A$2002=$B30)*('Lançar Resultado'!$B$3:$B$2002=$A30)*'Lançar Resultado'!$R$3:$R$2002))))</f>
        <v/>
      </c>
      <c r="J30" s="39" t="str">
        <f aca="false">IF($A30="","",COUNTIFS('Lançar Resultado'!$A$3:$A$2002,$B30,'Lançar Resultado'!$B$3:$B$2002,$A30,'Lançar Resultado'!$O$3:$O$2002,"Sim"))</f>
        <v/>
      </c>
      <c r="K30" s="76" t="str">
        <f aca="false">IF($A30="","",COUNTIFS('Lançar Resultado'!$A$3:$A$2002,$B30,'Lançar Resultado'!$B$3:$B$2002,$A30,'Lançar Resultado'!$N$3:$N$2002,"Alta"))</f>
        <v/>
      </c>
      <c r="L30" s="76" t="str">
        <f aca="false">IF($A30="","",COUNTIFS('Lançar Resultado'!$A$3:$A$2002,$B30,'Lançar Resultado'!$B$3:$B$2002,$A30,'Lançar Resultado'!$P$3:$P$2002,10))</f>
        <v/>
      </c>
      <c r="M30" s="77" t="str">
        <f aca="false">IF($A30="","",IF(($F30+$G30)=0,"",$F30/($F30+$G30)*100))</f>
        <v/>
      </c>
    </row>
    <row r="31" customFormat="false" ht="18" hidden="false" customHeight="true" outlineLevel="0" collapsed="false">
      <c r="A31" s="75" t="str">
        <f aca="false">IF(Inspeções!$B31="","",Inspeções!$A31)</f>
        <v/>
      </c>
      <c r="B31" s="39" t="str">
        <f aca="false">IF($A31="","",Inspeções!$B31)</f>
        <v/>
      </c>
      <c r="C31" s="40" t="str">
        <f aca="false">IF($A31="","",Inspeções!$E31)</f>
        <v/>
      </c>
      <c r="D31" s="40" t="str">
        <f aca="false">IF($A31="","",Inspeções!$F31)</f>
        <v/>
      </c>
      <c r="E31" s="39" t="str">
        <f aca="false">IF($A31="","",COUNTIFS('Lançar Resultado'!$A$3:$A$2002,$B31,'Lançar Resultado'!$B$3:$B$2002,$A31))</f>
        <v/>
      </c>
      <c r="F31" s="39" t="str">
        <f aca="false">IF($A31="","",COUNTIFS('Lançar Resultado'!$A$3:$A$2002,$B31,'Lançar Resultado'!$B$3:$B$2002,$A31,'Lançar Resultado'!$G$3:$G$2002,"OK"))</f>
        <v/>
      </c>
      <c r="G31" s="39" t="str">
        <f aca="false">IF($A31="","",COUNTIFS('Lançar Resultado'!$A$3:$A$2002,$B31,'Lançar Resultado'!$B$3:$B$2002,$A31,'Lançar Resultado'!$G$3:$G$2002,"NOK"))</f>
        <v/>
      </c>
      <c r="H31" s="39" t="str">
        <f aca="false">IF($A31="","",COUNTIFS('Lançar Resultado'!$A$3:$A$2002,$B31,'Lançar Resultado'!$B$3:$B$2002,$A31,'Lançar Resultado'!$G$3:$G$2002,"N/A"))</f>
        <v/>
      </c>
      <c r="I31" s="39" t="str">
        <f aca="false">IF($A31="","",IF($E31=0,"",SUMPRODUCT(MAX(('Lançar Resultado'!$A$3:$A$2002=$B31)*('Lançar Resultado'!$B$3:$B$2002=$A31)*'Lançar Resultado'!$R$3:$R$2002))))</f>
        <v/>
      </c>
      <c r="J31" s="39" t="str">
        <f aca="false">IF($A31="","",COUNTIFS('Lançar Resultado'!$A$3:$A$2002,$B31,'Lançar Resultado'!$B$3:$B$2002,$A31,'Lançar Resultado'!$O$3:$O$2002,"Sim"))</f>
        <v/>
      </c>
      <c r="K31" s="76" t="str">
        <f aca="false">IF($A31="","",COUNTIFS('Lançar Resultado'!$A$3:$A$2002,$B31,'Lançar Resultado'!$B$3:$B$2002,$A31,'Lançar Resultado'!$N$3:$N$2002,"Alta"))</f>
        <v/>
      </c>
      <c r="L31" s="76" t="str">
        <f aca="false">IF($A31="","",COUNTIFS('Lançar Resultado'!$A$3:$A$2002,$B31,'Lançar Resultado'!$B$3:$B$2002,$A31,'Lançar Resultado'!$P$3:$P$2002,10))</f>
        <v/>
      </c>
      <c r="M31" s="77" t="str">
        <f aca="false">IF($A31="","",IF(($F31+$G31)=0,"",$F31/($F31+$G31)*100))</f>
        <v/>
      </c>
    </row>
    <row r="32" customFormat="false" ht="18" hidden="false" customHeight="true" outlineLevel="0" collapsed="false">
      <c r="A32" s="75" t="str">
        <f aca="false">IF(Inspeções!$B32="","",Inspeções!$A32)</f>
        <v/>
      </c>
      <c r="B32" s="39" t="str">
        <f aca="false">IF($A32="","",Inspeções!$B32)</f>
        <v/>
      </c>
      <c r="C32" s="40" t="str">
        <f aca="false">IF($A32="","",Inspeções!$E32)</f>
        <v/>
      </c>
      <c r="D32" s="40" t="str">
        <f aca="false">IF($A32="","",Inspeções!$F32)</f>
        <v/>
      </c>
      <c r="E32" s="39" t="str">
        <f aca="false">IF($A32="","",COUNTIFS('Lançar Resultado'!$A$3:$A$2002,$B32,'Lançar Resultado'!$B$3:$B$2002,$A32))</f>
        <v/>
      </c>
      <c r="F32" s="39" t="str">
        <f aca="false">IF($A32="","",COUNTIFS('Lançar Resultado'!$A$3:$A$2002,$B32,'Lançar Resultado'!$B$3:$B$2002,$A32,'Lançar Resultado'!$G$3:$G$2002,"OK"))</f>
        <v/>
      </c>
      <c r="G32" s="39" t="str">
        <f aca="false">IF($A32="","",COUNTIFS('Lançar Resultado'!$A$3:$A$2002,$B32,'Lançar Resultado'!$B$3:$B$2002,$A32,'Lançar Resultado'!$G$3:$G$2002,"NOK"))</f>
        <v/>
      </c>
      <c r="H32" s="39" t="str">
        <f aca="false">IF($A32="","",COUNTIFS('Lançar Resultado'!$A$3:$A$2002,$B32,'Lançar Resultado'!$B$3:$B$2002,$A32,'Lançar Resultado'!$G$3:$G$2002,"N/A"))</f>
        <v/>
      </c>
      <c r="I32" s="39" t="str">
        <f aca="false">IF($A32="","",IF($E32=0,"",SUMPRODUCT(MAX(('Lançar Resultado'!$A$3:$A$2002=$B32)*('Lançar Resultado'!$B$3:$B$2002=$A32)*'Lançar Resultado'!$R$3:$R$2002))))</f>
        <v/>
      </c>
      <c r="J32" s="39" t="str">
        <f aca="false">IF($A32="","",COUNTIFS('Lançar Resultado'!$A$3:$A$2002,$B32,'Lançar Resultado'!$B$3:$B$2002,$A32,'Lançar Resultado'!$O$3:$O$2002,"Sim"))</f>
        <v/>
      </c>
      <c r="K32" s="76" t="str">
        <f aca="false">IF($A32="","",COUNTIFS('Lançar Resultado'!$A$3:$A$2002,$B32,'Lançar Resultado'!$B$3:$B$2002,$A32,'Lançar Resultado'!$N$3:$N$2002,"Alta"))</f>
        <v/>
      </c>
      <c r="L32" s="76" t="str">
        <f aca="false">IF($A32="","",COUNTIFS('Lançar Resultado'!$A$3:$A$2002,$B32,'Lançar Resultado'!$B$3:$B$2002,$A32,'Lançar Resultado'!$P$3:$P$2002,10))</f>
        <v/>
      </c>
      <c r="M32" s="77" t="str">
        <f aca="false">IF($A32="","",IF(($F32+$G32)=0,"",$F32/($F32+$G32)*100))</f>
        <v/>
      </c>
    </row>
    <row r="33" customFormat="false" ht="18" hidden="false" customHeight="true" outlineLevel="0" collapsed="false">
      <c r="A33" s="75" t="str">
        <f aca="false">IF(Inspeções!$B33="","",Inspeções!$A33)</f>
        <v/>
      </c>
      <c r="B33" s="39" t="str">
        <f aca="false">IF($A33="","",Inspeções!$B33)</f>
        <v/>
      </c>
      <c r="C33" s="40" t="str">
        <f aca="false">IF($A33="","",Inspeções!$E33)</f>
        <v/>
      </c>
      <c r="D33" s="40" t="str">
        <f aca="false">IF($A33="","",Inspeções!$F33)</f>
        <v/>
      </c>
      <c r="E33" s="39" t="str">
        <f aca="false">IF($A33="","",COUNTIFS('Lançar Resultado'!$A$3:$A$2002,$B33,'Lançar Resultado'!$B$3:$B$2002,$A33))</f>
        <v/>
      </c>
      <c r="F33" s="39" t="str">
        <f aca="false">IF($A33="","",COUNTIFS('Lançar Resultado'!$A$3:$A$2002,$B33,'Lançar Resultado'!$B$3:$B$2002,$A33,'Lançar Resultado'!$G$3:$G$2002,"OK"))</f>
        <v/>
      </c>
      <c r="G33" s="39" t="str">
        <f aca="false">IF($A33="","",COUNTIFS('Lançar Resultado'!$A$3:$A$2002,$B33,'Lançar Resultado'!$B$3:$B$2002,$A33,'Lançar Resultado'!$G$3:$G$2002,"NOK"))</f>
        <v/>
      </c>
      <c r="H33" s="39" t="str">
        <f aca="false">IF($A33="","",COUNTIFS('Lançar Resultado'!$A$3:$A$2002,$B33,'Lançar Resultado'!$B$3:$B$2002,$A33,'Lançar Resultado'!$G$3:$G$2002,"N/A"))</f>
        <v/>
      </c>
      <c r="I33" s="39" t="str">
        <f aca="false">IF($A33="","",IF($E33=0,"",SUMPRODUCT(MAX(('Lançar Resultado'!$A$3:$A$2002=$B33)*('Lançar Resultado'!$B$3:$B$2002=$A33)*'Lançar Resultado'!$R$3:$R$2002))))</f>
        <v/>
      </c>
      <c r="J33" s="39" t="str">
        <f aca="false">IF($A33="","",COUNTIFS('Lançar Resultado'!$A$3:$A$2002,$B33,'Lançar Resultado'!$B$3:$B$2002,$A33,'Lançar Resultado'!$O$3:$O$2002,"Sim"))</f>
        <v/>
      </c>
      <c r="K33" s="76" t="str">
        <f aca="false">IF($A33="","",COUNTIFS('Lançar Resultado'!$A$3:$A$2002,$B33,'Lançar Resultado'!$B$3:$B$2002,$A33,'Lançar Resultado'!$N$3:$N$2002,"Alta"))</f>
        <v/>
      </c>
      <c r="L33" s="76" t="str">
        <f aca="false">IF($A33="","",COUNTIFS('Lançar Resultado'!$A$3:$A$2002,$B33,'Lançar Resultado'!$B$3:$B$2002,$A33,'Lançar Resultado'!$P$3:$P$2002,10))</f>
        <v/>
      </c>
      <c r="M33" s="77" t="str">
        <f aca="false">IF($A33="","",IF(($F33+$G33)=0,"",$F33/($F33+$G33)*100))</f>
        <v/>
      </c>
    </row>
    <row r="34" customFormat="false" ht="18" hidden="false" customHeight="true" outlineLevel="0" collapsed="false">
      <c r="A34" s="75" t="str">
        <f aca="false">IF(Inspeções!$B34="","",Inspeções!$A34)</f>
        <v/>
      </c>
      <c r="B34" s="39" t="str">
        <f aca="false">IF($A34="","",Inspeções!$B34)</f>
        <v/>
      </c>
      <c r="C34" s="40" t="str">
        <f aca="false">IF($A34="","",Inspeções!$E34)</f>
        <v/>
      </c>
      <c r="D34" s="40" t="str">
        <f aca="false">IF($A34="","",Inspeções!$F34)</f>
        <v/>
      </c>
      <c r="E34" s="39" t="str">
        <f aca="false">IF($A34="","",COUNTIFS('Lançar Resultado'!$A$3:$A$2002,$B34,'Lançar Resultado'!$B$3:$B$2002,$A34))</f>
        <v/>
      </c>
      <c r="F34" s="39" t="str">
        <f aca="false">IF($A34="","",COUNTIFS('Lançar Resultado'!$A$3:$A$2002,$B34,'Lançar Resultado'!$B$3:$B$2002,$A34,'Lançar Resultado'!$G$3:$G$2002,"OK"))</f>
        <v/>
      </c>
      <c r="G34" s="39" t="str">
        <f aca="false">IF($A34="","",COUNTIFS('Lançar Resultado'!$A$3:$A$2002,$B34,'Lançar Resultado'!$B$3:$B$2002,$A34,'Lançar Resultado'!$G$3:$G$2002,"NOK"))</f>
        <v/>
      </c>
      <c r="H34" s="39" t="str">
        <f aca="false">IF($A34="","",COUNTIFS('Lançar Resultado'!$A$3:$A$2002,$B34,'Lançar Resultado'!$B$3:$B$2002,$A34,'Lançar Resultado'!$G$3:$G$2002,"N/A"))</f>
        <v/>
      </c>
      <c r="I34" s="39" t="str">
        <f aca="false">IF($A34="","",IF($E34=0,"",SUMPRODUCT(MAX(('Lançar Resultado'!$A$3:$A$2002=$B34)*('Lançar Resultado'!$B$3:$B$2002=$A34)*'Lançar Resultado'!$R$3:$R$2002))))</f>
        <v/>
      </c>
      <c r="J34" s="39" t="str">
        <f aca="false">IF($A34="","",COUNTIFS('Lançar Resultado'!$A$3:$A$2002,$B34,'Lançar Resultado'!$B$3:$B$2002,$A34,'Lançar Resultado'!$O$3:$O$2002,"Sim"))</f>
        <v/>
      </c>
      <c r="K34" s="76" t="str">
        <f aca="false">IF($A34="","",COUNTIFS('Lançar Resultado'!$A$3:$A$2002,$B34,'Lançar Resultado'!$B$3:$B$2002,$A34,'Lançar Resultado'!$N$3:$N$2002,"Alta"))</f>
        <v/>
      </c>
      <c r="L34" s="76" t="str">
        <f aca="false">IF($A34="","",COUNTIFS('Lançar Resultado'!$A$3:$A$2002,$B34,'Lançar Resultado'!$B$3:$B$2002,$A34,'Lançar Resultado'!$P$3:$P$2002,10))</f>
        <v/>
      </c>
      <c r="M34" s="77" t="str">
        <f aca="false">IF($A34="","",IF(($F34+$G34)=0,"",$F34/($F34+$G34)*100))</f>
        <v/>
      </c>
    </row>
    <row r="35" customFormat="false" ht="18" hidden="false" customHeight="true" outlineLevel="0" collapsed="false">
      <c r="A35" s="75" t="str">
        <f aca="false">IF(Inspeções!$B35="","",Inspeções!$A35)</f>
        <v/>
      </c>
      <c r="B35" s="39" t="str">
        <f aca="false">IF($A35="","",Inspeções!$B35)</f>
        <v/>
      </c>
      <c r="C35" s="40" t="str">
        <f aca="false">IF($A35="","",Inspeções!$E35)</f>
        <v/>
      </c>
      <c r="D35" s="40" t="str">
        <f aca="false">IF($A35="","",Inspeções!$F35)</f>
        <v/>
      </c>
      <c r="E35" s="39" t="str">
        <f aca="false">IF($A35="","",COUNTIFS('Lançar Resultado'!$A$3:$A$2002,$B35,'Lançar Resultado'!$B$3:$B$2002,$A35))</f>
        <v/>
      </c>
      <c r="F35" s="39" t="str">
        <f aca="false">IF($A35="","",COUNTIFS('Lançar Resultado'!$A$3:$A$2002,$B35,'Lançar Resultado'!$B$3:$B$2002,$A35,'Lançar Resultado'!$G$3:$G$2002,"OK"))</f>
        <v/>
      </c>
      <c r="G35" s="39" t="str">
        <f aca="false">IF($A35="","",COUNTIFS('Lançar Resultado'!$A$3:$A$2002,$B35,'Lançar Resultado'!$B$3:$B$2002,$A35,'Lançar Resultado'!$G$3:$G$2002,"NOK"))</f>
        <v/>
      </c>
      <c r="H35" s="39" t="str">
        <f aca="false">IF($A35="","",COUNTIFS('Lançar Resultado'!$A$3:$A$2002,$B35,'Lançar Resultado'!$B$3:$B$2002,$A35,'Lançar Resultado'!$G$3:$G$2002,"N/A"))</f>
        <v/>
      </c>
      <c r="I35" s="39" t="str">
        <f aca="false">IF($A35="","",IF($E35=0,"",SUMPRODUCT(MAX(('Lançar Resultado'!$A$3:$A$2002=$B35)*('Lançar Resultado'!$B$3:$B$2002=$A35)*'Lançar Resultado'!$R$3:$R$2002))))</f>
        <v/>
      </c>
      <c r="J35" s="39" t="str">
        <f aca="false">IF($A35="","",COUNTIFS('Lançar Resultado'!$A$3:$A$2002,$B35,'Lançar Resultado'!$B$3:$B$2002,$A35,'Lançar Resultado'!$O$3:$O$2002,"Sim"))</f>
        <v/>
      </c>
      <c r="K35" s="76" t="str">
        <f aca="false">IF($A35="","",COUNTIFS('Lançar Resultado'!$A$3:$A$2002,$B35,'Lançar Resultado'!$B$3:$B$2002,$A35,'Lançar Resultado'!$N$3:$N$2002,"Alta"))</f>
        <v/>
      </c>
      <c r="L35" s="76" t="str">
        <f aca="false">IF($A35="","",COUNTIFS('Lançar Resultado'!$A$3:$A$2002,$B35,'Lançar Resultado'!$B$3:$B$2002,$A35,'Lançar Resultado'!$P$3:$P$2002,10))</f>
        <v/>
      </c>
      <c r="M35" s="77" t="str">
        <f aca="false">IF($A35="","",IF(($F35+$G35)=0,"",$F35/($F35+$G35)*100))</f>
        <v/>
      </c>
    </row>
    <row r="36" customFormat="false" ht="18" hidden="false" customHeight="true" outlineLevel="0" collapsed="false">
      <c r="A36" s="75" t="str">
        <f aca="false">IF(Inspeções!$B36="","",Inspeções!$A36)</f>
        <v/>
      </c>
      <c r="B36" s="39" t="str">
        <f aca="false">IF($A36="","",Inspeções!$B36)</f>
        <v/>
      </c>
      <c r="C36" s="40" t="str">
        <f aca="false">IF($A36="","",Inspeções!$E36)</f>
        <v/>
      </c>
      <c r="D36" s="40" t="str">
        <f aca="false">IF($A36="","",Inspeções!$F36)</f>
        <v/>
      </c>
      <c r="E36" s="39" t="str">
        <f aca="false">IF($A36="","",COUNTIFS('Lançar Resultado'!$A$3:$A$2002,$B36,'Lançar Resultado'!$B$3:$B$2002,$A36))</f>
        <v/>
      </c>
      <c r="F36" s="39" t="str">
        <f aca="false">IF($A36="","",COUNTIFS('Lançar Resultado'!$A$3:$A$2002,$B36,'Lançar Resultado'!$B$3:$B$2002,$A36,'Lançar Resultado'!$G$3:$G$2002,"OK"))</f>
        <v/>
      </c>
      <c r="G36" s="39" t="str">
        <f aca="false">IF($A36="","",COUNTIFS('Lançar Resultado'!$A$3:$A$2002,$B36,'Lançar Resultado'!$B$3:$B$2002,$A36,'Lançar Resultado'!$G$3:$G$2002,"NOK"))</f>
        <v/>
      </c>
      <c r="H36" s="39" t="str">
        <f aca="false">IF($A36="","",COUNTIFS('Lançar Resultado'!$A$3:$A$2002,$B36,'Lançar Resultado'!$B$3:$B$2002,$A36,'Lançar Resultado'!$G$3:$G$2002,"N/A"))</f>
        <v/>
      </c>
      <c r="I36" s="39" t="str">
        <f aca="false">IF($A36="","",IF($E36=0,"",SUMPRODUCT(MAX(('Lançar Resultado'!$A$3:$A$2002=$B36)*('Lançar Resultado'!$B$3:$B$2002=$A36)*'Lançar Resultado'!$R$3:$R$2002))))</f>
        <v/>
      </c>
      <c r="J36" s="39" t="str">
        <f aca="false">IF($A36="","",COUNTIFS('Lançar Resultado'!$A$3:$A$2002,$B36,'Lançar Resultado'!$B$3:$B$2002,$A36,'Lançar Resultado'!$O$3:$O$2002,"Sim"))</f>
        <v/>
      </c>
      <c r="K36" s="76" t="str">
        <f aca="false">IF($A36="","",COUNTIFS('Lançar Resultado'!$A$3:$A$2002,$B36,'Lançar Resultado'!$B$3:$B$2002,$A36,'Lançar Resultado'!$N$3:$N$2002,"Alta"))</f>
        <v/>
      </c>
      <c r="L36" s="76" t="str">
        <f aca="false">IF($A36="","",COUNTIFS('Lançar Resultado'!$A$3:$A$2002,$B36,'Lançar Resultado'!$B$3:$B$2002,$A36,'Lançar Resultado'!$P$3:$P$2002,10))</f>
        <v/>
      </c>
      <c r="M36" s="77" t="str">
        <f aca="false">IF($A36="","",IF(($F36+$G36)=0,"",$F36/($F36+$G36)*100))</f>
        <v/>
      </c>
    </row>
    <row r="37" customFormat="false" ht="18" hidden="false" customHeight="true" outlineLevel="0" collapsed="false">
      <c r="A37" s="75" t="str">
        <f aca="false">IF(Inspeções!$B37="","",Inspeções!$A37)</f>
        <v/>
      </c>
      <c r="B37" s="39" t="str">
        <f aca="false">IF($A37="","",Inspeções!$B37)</f>
        <v/>
      </c>
      <c r="C37" s="40" t="str">
        <f aca="false">IF($A37="","",Inspeções!$E37)</f>
        <v/>
      </c>
      <c r="D37" s="40" t="str">
        <f aca="false">IF($A37="","",Inspeções!$F37)</f>
        <v/>
      </c>
      <c r="E37" s="39" t="str">
        <f aca="false">IF($A37="","",COUNTIFS('Lançar Resultado'!$A$3:$A$2002,$B37,'Lançar Resultado'!$B$3:$B$2002,$A37))</f>
        <v/>
      </c>
      <c r="F37" s="39" t="str">
        <f aca="false">IF($A37="","",COUNTIFS('Lançar Resultado'!$A$3:$A$2002,$B37,'Lançar Resultado'!$B$3:$B$2002,$A37,'Lançar Resultado'!$G$3:$G$2002,"OK"))</f>
        <v/>
      </c>
      <c r="G37" s="39" t="str">
        <f aca="false">IF($A37="","",COUNTIFS('Lançar Resultado'!$A$3:$A$2002,$B37,'Lançar Resultado'!$B$3:$B$2002,$A37,'Lançar Resultado'!$G$3:$G$2002,"NOK"))</f>
        <v/>
      </c>
      <c r="H37" s="39" t="str">
        <f aca="false">IF($A37="","",COUNTIFS('Lançar Resultado'!$A$3:$A$2002,$B37,'Lançar Resultado'!$B$3:$B$2002,$A37,'Lançar Resultado'!$G$3:$G$2002,"N/A"))</f>
        <v/>
      </c>
      <c r="I37" s="39" t="str">
        <f aca="false">IF($A37="","",IF($E37=0,"",SUMPRODUCT(MAX(('Lançar Resultado'!$A$3:$A$2002=$B37)*('Lançar Resultado'!$B$3:$B$2002=$A37)*'Lançar Resultado'!$R$3:$R$2002))))</f>
        <v/>
      </c>
      <c r="J37" s="39" t="str">
        <f aca="false">IF($A37="","",COUNTIFS('Lançar Resultado'!$A$3:$A$2002,$B37,'Lançar Resultado'!$B$3:$B$2002,$A37,'Lançar Resultado'!$O$3:$O$2002,"Sim"))</f>
        <v/>
      </c>
      <c r="K37" s="76" t="str">
        <f aca="false">IF($A37="","",COUNTIFS('Lançar Resultado'!$A$3:$A$2002,$B37,'Lançar Resultado'!$B$3:$B$2002,$A37,'Lançar Resultado'!$N$3:$N$2002,"Alta"))</f>
        <v/>
      </c>
      <c r="L37" s="76" t="str">
        <f aca="false">IF($A37="","",COUNTIFS('Lançar Resultado'!$A$3:$A$2002,$B37,'Lançar Resultado'!$B$3:$B$2002,$A37,'Lançar Resultado'!$P$3:$P$2002,10))</f>
        <v/>
      </c>
      <c r="M37" s="77" t="str">
        <f aca="false">IF($A37="","",IF(($F37+$G37)=0,"",$F37/($F37+$G37)*100))</f>
        <v/>
      </c>
    </row>
    <row r="38" customFormat="false" ht="18" hidden="false" customHeight="true" outlineLevel="0" collapsed="false">
      <c r="A38" s="75" t="str">
        <f aca="false">IF(Inspeções!$B38="","",Inspeções!$A38)</f>
        <v/>
      </c>
      <c r="B38" s="39" t="str">
        <f aca="false">IF($A38="","",Inspeções!$B38)</f>
        <v/>
      </c>
      <c r="C38" s="40" t="str">
        <f aca="false">IF($A38="","",Inspeções!$E38)</f>
        <v/>
      </c>
      <c r="D38" s="40" t="str">
        <f aca="false">IF($A38="","",Inspeções!$F38)</f>
        <v/>
      </c>
      <c r="E38" s="39" t="str">
        <f aca="false">IF($A38="","",COUNTIFS('Lançar Resultado'!$A$3:$A$2002,$B38,'Lançar Resultado'!$B$3:$B$2002,$A38))</f>
        <v/>
      </c>
      <c r="F38" s="39" t="str">
        <f aca="false">IF($A38="","",COUNTIFS('Lançar Resultado'!$A$3:$A$2002,$B38,'Lançar Resultado'!$B$3:$B$2002,$A38,'Lançar Resultado'!$G$3:$G$2002,"OK"))</f>
        <v/>
      </c>
      <c r="G38" s="39" t="str">
        <f aca="false">IF($A38="","",COUNTIFS('Lançar Resultado'!$A$3:$A$2002,$B38,'Lançar Resultado'!$B$3:$B$2002,$A38,'Lançar Resultado'!$G$3:$G$2002,"NOK"))</f>
        <v/>
      </c>
      <c r="H38" s="39" t="str">
        <f aca="false">IF($A38="","",COUNTIFS('Lançar Resultado'!$A$3:$A$2002,$B38,'Lançar Resultado'!$B$3:$B$2002,$A38,'Lançar Resultado'!$G$3:$G$2002,"N/A"))</f>
        <v/>
      </c>
      <c r="I38" s="39" t="str">
        <f aca="false">IF($A38="","",IF($E38=0,"",SUMPRODUCT(MAX(('Lançar Resultado'!$A$3:$A$2002=$B38)*('Lançar Resultado'!$B$3:$B$2002=$A38)*'Lançar Resultado'!$R$3:$R$2002))))</f>
        <v/>
      </c>
      <c r="J38" s="39" t="str">
        <f aca="false">IF($A38="","",COUNTIFS('Lançar Resultado'!$A$3:$A$2002,$B38,'Lançar Resultado'!$B$3:$B$2002,$A38,'Lançar Resultado'!$O$3:$O$2002,"Sim"))</f>
        <v/>
      </c>
      <c r="K38" s="76" t="str">
        <f aca="false">IF($A38="","",COUNTIFS('Lançar Resultado'!$A$3:$A$2002,$B38,'Lançar Resultado'!$B$3:$B$2002,$A38,'Lançar Resultado'!$N$3:$N$2002,"Alta"))</f>
        <v/>
      </c>
      <c r="L38" s="76" t="str">
        <f aca="false">IF($A38="","",COUNTIFS('Lançar Resultado'!$A$3:$A$2002,$B38,'Lançar Resultado'!$B$3:$B$2002,$A38,'Lançar Resultado'!$P$3:$P$2002,10))</f>
        <v/>
      </c>
      <c r="M38" s="77" t="str">
        <f aca="false">IF($A38="","",IF(($F38+$G38)=0,"",$F38/($F38+$G38)*100))</f>
        <v/>
      </c>
    </row>
    <row r="39" customFormat="false" ht="18" hidden="false" customHeight="true" outlineLevel="0" collapsed="false">
      <c r="A39" s="75" t="str">
        <f aca="false">IF(Inspeções!$B39="","",Inspeções!$A39)</f>
        <v/>
      </c>
      <c r="B39" s="39" t="str">
        <f aca="false">IF($A39="","",Inspeções!$B39)</f>
        <v/>
      </c>
      <c r="C39" s="40" t="str">
        <f aca="false">IF($A39="","",Inspeções!$E39)</f>
        <v/>
      </c>
      <c r="D39" s="40" t="str">
        <f aca="false">IF($A39="","",Inspeções!$F39)</f>
        <v/>
      </c>
      <c r="E39" s="39" t="str">
        <f aca="false">IF($A39="","",COUNTIFS('Lançar Resultado'!$A$3:$A$2002,$B39,'Lançar Resultado'!$B$3:$B$2002,$A39))</f>
        <v/>
      </c>
      <c r="F39" s="39" t="str">
        <f aca="false">IF($A39="","",COUNTIFS('Lançar Resultado'!$A$3:$A$2002,$B39,'Lançar Resultado'!$B$3:$B$2002,$A39,'Lançar Resultado'!$G$3:$G$2002,"OK"))</f>
        <v/>
      </c>
      <c r="G39" s="39" t="str">
        <f aca="false">IF($A39="","",COUNTIFS('Lançar Resultado'!$A$3:$A$2002,$B39,'Lançar Resultado'!$B$3:$B$2002,$A39,'Lançar Resultado'!$G$3:$G$2002,"NOK"))</f>
        <v/>
      </c>
      <c r="H39" s="39" t="str">
        <f aca="false">IF($A39="","",COUNTIFS('Lançar Resultado'!$A$3:$A$2002,$B39,'Lançar Resultado'!$B$3:$B$2002,$A39,'Lançar Resultado'!$G$3:$G$2002,"N/A"))</f>
        <v/>
      </c>
      <c r="I39" s="39" t="str">
        <f aca="false">IF($A39="","",IF($E39=0,"",SUMPRODUCT(MAX(('Lançar Resultado'!$A$3:$A$2002=$B39)*('Lançar Resultado'!$B$3:$B$2002=$A39)*'Lançar Resultado'!$R$3:$R$2002))))</f>
        <v/>
      </c>
      <c r="J39" s="39" t="str">
        <f aca="false">IF($A39="","",COUNTIFS('Lançar Resultado'!$A$3:$A$2002,$B39,'Lançar Resultado'!$B$3:$B$2002,$A39,'Lançar Resultado'!$O$3:$O$2002,"Sim"))</f>
        <v/>
      </c>
      <c r="K39" s="76" t="str">
        <f aca="false">IF($A39="","",COUNTIFS('Lançar Resultado'!$A$3:$A$2002,$B39,'Lançar Resultado'!$B$3:$B$2002,$A39,'Lançar Resultado'!$N$3:$N$2002,"Alta"))</f>
        <v/>
      </c>
      <c r="L39" s="76" t="str">
        <f aca="false">IF($A39="","",COUNTIFS('Lançar Resultado'!$A$3:$A$2002,$B39,'Lançar Resultado'!$B$3:$B$2002,$A39,'Lançar Resultado'!$P$3:$P$2002,10))</f>
        <v/>
      </c>
      <c r="M39" s="77" t="str">
        <f aca="false">IF($A39="","",IF(($F39+$G39)=0,"",$F39/($F39+$G39)*100))</f>
        <v/>
      </c>
    </row>
    <row r="40" customFormat="false" ht="18" hidden="false" customHeight="true" outlineLevel="0" collapsed="false">
      <c r="A40" s="75" t="str">
        <f aca="false">IF(Inspeções!$B40="","",Inspeções!$A40)</f>
        <v/>
      </c>
      <c r="B40" s="39" t="str">
        <f aca="false">IF($A40="","",Inspeções!$B40)</f>
        <v/>
      </c>
      <c r="C40" s="40" t="str">
        <f aca="false">IF($A40="","",Inspeções!$E40)</f>
        <v/>
      </c>
      <c r="D40" s="40" t="str">
        <f aca="false">IF($A40="","",Inspeções!$F40)</f>
        <v/>
      </c>
      <c r="E40" s="39" t="str">
        <f aca="false">IF($A40="","",COUNTIFS('Lançar Resultado'!$A$3:$A$2002,$B40,'Lançar Resultado'!$B$3:$B$2002,$A40))</f>
        <v/>
      </c>
      <c r="F40" s="39" t="str">
        <f aca="false">IF($A40="","",COUNTIFS('Lançar Resultado'!$A$3:$A$2002,$B40,'Lançar Resultado'!$B$3:$B$2002,$A40,'Lançar Resultado'!$G$3:$G$2002,"OK"))</f>
        <v/>
      </c>
      <c r="G40" s="39" t="str">
        <f aca="false">IF($A40="","",COUNTIFS('Lançar Resultado'!$A$3:$A$2002,$B40,'Lançar Resultado'!$B$3:$B$2002,$A40,'Lançar Resultado'!$G$3:$G$2002,"NOK"))</f>
        <v/>
      </c>
      <c r="H40" s="39" t="str">
        <f aca="false">IF($A40="","",COUNTIFS('Lançar Resultado'!$A$3:$A$2002,$B40,'Lançar Resultado'!$B$3:$B$2002,$A40,'Lançar Resultado'!$G$3:$G$2002,"N/A"))</f>
        <v/>
      </c>
      <c r="I40" s="39" t="str">
        <f aca="false">IF($A40="","",IF($E40=0,"",SUMPRODUCT(MAX(('Lançar Resultado'!$A$3:$A$2002=$B40)*('Lançar Resultado'!$B$3:$B$2002=$A40)*'Lançar Resultado'!$R$3:$R$2002))))</f>
        <v/>
      </c>
      <c r="J40" s="39" t="str">
        <f aca="false">IF($A40="","",COUNTIFS('Lançar Resultado'!$A$3:$A$2002,$B40,'Lançar Resultado'!$B$3:$B$2002,$A40,'Lançar Resultado'!$O$3:$O$2002,"Sim"))</f>
        <v/>
      </c>
      <c r="K40" s="76" t="str">
        <f aca="false">IF($A40="","",COUNTIFS('Lançar Resultado'!$A$3:$A$2002,$B40,'Lançar Resultado'!$B$3:$B$2002,$A40,'Lançar Resultado'!$N$3:$N$2002,"Alta"))</f>
        <v/>
      </c>
      <c r="L40" s="76" t="str">
        <f aca="false">IF($A40="","",COUNTIFS('Lançar Resultado'!$A$3:$A$2002,$B40,'Lançar Resultado'!$B$3:$B$2002,$A40,'Lançar Resultado'!$P$3:$P$2002,10))</f>
        <v/>
      </c>
      <c r="M40" s="77" t="str">
        <f aca="false">IF($A40="","",IF(($F40+$G40)=0,"",$F40/($F40+$G40)*100))</f>
        <v/>
      </c>
    </row>
    <row r="41" customFormat="false" ht="18" hidden="false" customHeight="true" outlineLevel="0" collapsed="false">
      <c r="A41" s="75" t="str">
        <f aca="false">IF(Inspeções!$B41="","",Inspeções!$A41)</f>
        <v/>
      </c>
      <c r="B41" s="39" t="str">
        <f aca="false">IF($A41="","",Inspeções!$B41)</f>
        <v/>
      </c>
      <c r="C41" s="40" t="str">
        <f aca="false">IF($A41="","",Inspeções!$E41)</f>
        <v/>
      </c>
      <c r="D41" s="40" t="str">
        <f aca="false">IF($A41="","",Inspeções!$F41)</f>
        <v/>
      </c>
      <c r="E41" s="39" t="str">
        <f aca="false">IF($A41="","",COUNTIFS('Lançar Resultado'!$A$3:$A$2002,$B41,'Lançar Resultado'!$B$3:$B$2002,$A41))</f>
        <v/>
      </c>
      <c r="F41" s="39" t="str">
        <f aca="false">IF($A41="","",COUNTIFS('Lançar Resultado'!$A$3:$A$2002,$B41,'Lançar Resultado'!$B$3:$B$2002,$A41,'Lançar Resultado'!$G$3:$G$2002,"OK"))</f>
        <v/>
      </c>
      <c r="G41" s="39" t="str">
        <f aca="false">IF($A41="","",COUNTIFS('Lançar Resultado'!$A$3:$A$2002,$B41,'Lançar Resultado'!$B$3:$B$2002,$A41,'Lançar Resultado'!$G$3:$G$2002,"NOK"))</f>
        <v/>
      </c>
      <c r="H41" s="39" t="str">
        <f aca="false">IF($A41="","",COUNTIFS('Lançar Resultado'!$A$3:$A$2002,$B41,'Lançar Resultado'!$B$3:$B$2002,$A41,'Lançar Resultado'!$G$3:$G$2002,"N/A"))</f>
        <v/>
      </c>
      <c r="I41" s="39" t="str">
        <f aca="false">IF($A41="","",IF($E41=0,"",SUMPRODUCT(MAX(('Lançar Resultado'!$A$3:$A$2002=$B41)*('Lançar Resultado'!$B$3:$B$2002=$A41)*'Lançar Resultado'!$R$3:$R$2002))))</f>
        <v/>
      </c>
      <c r="J41" s="39" t="str">
        <f aca="false">IF($A41="","",COUNTIFS('Lançar Resultado'!$A$3:$A$2002,$B41,'Lançar Resultado'!$B$3:$B$2002,$A41,'Lançar Resultado'!$O$3:$O$2002,"Sim"))</f>
        <v/>
      </c>
      <c r="K41" s="76" t="str">
        <f aca="false">IF($A41="","",COUNTIFS('Lançar Resultado'!$A$3:$A$2002,$B41,'Lançar Resultado'!$B$3:$B$2002,$A41,'Lançar Resultado'!$N$3:$N$2002,"Alta"))</f>
        <v/>
      </c>
      <c r="L41" s="76" t="str">
        <f aca="false">IF($A41="","",COUNTIFS('Lançar Resultado'!$A$3:$A$2002,$B41,'Lançar Resultado'!$B$3:$B$2002,$A41,'Lançar Resultado'!$P$3:$P$2002,10))</f>
        <v/>
      </c>
      <c r="M41" s="77" t="str">
        <f aca="false">IF($A41="","",IF(($F41+$G41)=0,"",$F41/($F41+$G41)*100))</f>
        <v/>
      </c>
    </row>
    <row r="42" customFormat="false" ht="18" hidden="false" customHeight="true" outlineLevel="0" collapsed="false">
      <c r="A42" s="75" t="str">
        <f aca="false">IF(Inspeções!$B42="","",Inspeções!$A42)</f>
        <v/>
      </c>
      <c r="B42" s="39" t="str">
        <f aca="false">IF($A42="","",Inspeções!$B42)</f>
        <v/>
      </c>
      <c r="C42" s="40" t="str">
        <f aca="false">IF($A42="","",Inspeções!$E42)</f>
        <v/>
      </c>
      <c r="D42" s="40" t="str">
        <f aca="false">IF($A42="","",Inspeções!$F42)</f>
        <v/>
      </c>
      <c r="E42" s="39" t="str">
        <f aca="false">IF($A42="","",COUNTIFS('Lançar Resultado'!$A$3:$A$2002,$B42,'Lançar Resultado'!$B$3:$B$2002,$A42))</f>
        <v/>
      </c>
      <c r="F42" s="39" t="str">
        <f aca="false">IF($A42="","",COUNTIFS('Lançar Resultado'!$A$3:$A$2002,$B42,'Lançar Resultado'!$B$3:$B$2002,$A42,'Lançar Resultado'!$G$3:$G$2002,"OK"))</f>
        <v/>
      </c>
      <c r="G42" s="39" t="str">
        <f aca="false">IF($A42="","",COUNTIFS('Lançar Resultado'!$A$3:$A$2002,$B42,'Lançar Resultado'!$B$3:$B$2002,$A42,'Lançar Resultado'!$G$3:$G$2002,"NOK"))</f>
        <v/>
      </c>
      <c r="H42" s="39" t="str">
        <f aca="false">IF($A42="","",COUNTIFS('Lançar Resultado'!$A$3:$A$2002,$B42,'Lançar Resultado'!$B$3:$B$2002,$A42,'Lançar Resultado'!$G$3:$G$2002,"N/A"))</f>
        <v/>
      </c>
      <c r="I42" s="39" t="str">
        <f aca="false">IF($A42="","",IF($E42=0,"",SUMPRODUCT(MAX(('Lançar Resultado'!$A$3:$A$2002=$B42)*('Lançar Resultado'!$B$3:$B$2002=$A42)*'Lançar Resultado'!$R$3:$R$2002))))</f>
        <v/>
      </c>
      <c r="J42" s="39" t="str">
        <f aca="false">IF($A42="","",COUNTIFS('Lançar Resultado'!$A$3:$A$2002,$B42,'Lançar Resultado'!$B$3:$B$2002,$A42,'Lançar Resultado'!$O$3:$O$2002,"Sim"))</f>
        <v/>
      </c>
      <c r="K42" s="76" t="str">
        <f aca="false">IF($A42="","",COUNTIFS('Lançar Resultado'!$A$3:$A$2002,$B42,'Lançar Resultado'!$B$3:$B$2002,$A42,'Lançar Resultado'!$N$3:$N$2002,"Alta"))</f>
        <v/>
      </c>
      <c r="L42" s="76" t="str">
        <f aca="false">IF($A42="","",COUNTIFS('Lançar Resultado'!$A$3:$A$2002,$B42,'Lançar Resultado'!$B$3:$B$2002,$A42,'Lançar Resultado'!$P$3:$P$2002,10))</f>
        <v/>
      </c>
      <c r="M42" s="77" t="str">
        <f aca="false">IF($A42="","",IF(($F42+$G42)=0,"",$F42/($F42+$G42)*100))</f>
        <v/>
      </c>
    </row>
    <row r="43" customFormat="false" ht="18" hidden="false" customHeight="true" outlineLevel="0" collapsed="false">
      <c r="A43" s="75" t="str">
        <f aca="false">IF(Inspeções!$B43="","",Inspeções!$A43)</f>
        <v/>
      </c>
      <c r="B43" s="39" t="str">
        <f aca="false">IF($A43="","",Inspeções!$B43)</f>
        <v/>
      </c>
      <c r="C43" s="40" t="str">
        <f aca="false">IF($A43="","",Inspeções!$E43)</f>
        <v/>
      </c>
      <c r="D43" s="40" t="str">
        <f aca="false">IF($A43="","",Inspeções!$F43)</f>
        <v/>
      </c>
      <c r="E43" s="39" t="str">
        <f aca="false">IF($A43="","",COUNTIFS('Lançar Resultado'!$A$3:$A$2002,$B43,'Lançar Resultado'!$B$3:$B$2002,$A43))</f>
        <v/>
      </c>
      <c r="F43" s="39" t="str">
        <f aca="false">IF($A43="","",COUNTIFS('Lançar Resultado'!$A$3:$A$2002,$B43,'Lançar Resultado'!$B$3:$B$2002,$A43,'Lançar Resultado'!$G$3:$G$2002,"OK"))</f>
        <v/>
      </c>
      <c r="G43" s="39" t="str">
        <f aca="false">IF($A43="","",COUNTIFS('Lançar Resultado'!$A$3:$A$2002,$B43,'Lançar Resultado'!$B$3:$B$2002,$A43,'Lançar Resultado'!$G$3:$G$2002,"NOK"))</f>
        <v/>
      </c>
      <c r="H43" s="39" t="str">
        <f aca="false">IF($A43="","",COUNTIFS('Lançar Resultado'!$A$3:$A$2002,$B43,'Lançar Resultado'!$B$3:$B$2002,$A43,'Lançar Resultado'!$G$3:$G$2002,"N/A"))</f>
        <v/>
      </c>
      <c r="I43" s="39" t="str">
        <f aca="false">IF($A43="","",IF($E43=0,"",SUMPRODUCT(MAX(('Lançar Resultado'!$A$3:$A$2002=$B43)*('Lançar Resultado'!$B$3:$B$2002=$A43)*'Lançar Resultado'!$R$3:$R$2002))))</f>
        <v/>
      </c>
      <c r="J43" s="39" t="str">
        <f aca="false">IF($A43="","",COUNTIFS('Lançar Resultado'!$A$3:$A$2002,$B43,'Lançar Resultado'!$B$3:$B$2002,$A43,'Lançar Resultado'!$O$3:$O$2002,"Sim"))</f>
        <v/>
      </c>
      <c r="K43" s="76" t="str">
        <f aca="false">IF($A43="","",COUNTIFS('Lançar Resultado'!$A$3:$A$2002,$B43,'Lançar Resultado'!$B$3:$B$2002,$A43,'Lançar Resultado'!$N$3:$N$2002,"Alta"))</f>
        <v/>
      </c>
      <c r="L43" s="76" t="str">
        <f aca="false">IF($A43="","",COUNTIFS('Lançar Resultado'!$A$3:$A$2002,$B43,'Lançar Resultado'!$B$3:$B$2002,$A43,'Lançar Resultado'!$P$3:$P$2002,10))</f>
        <v/>
      </c>
      <c r="M43" s="77" t="str">
        <f aca="false">IF($A43="","",IF(($F43+$G43)=0,"",$F43/($F43+$G43)*100))</f>
        <v/>
      </c>
    </row>
    <row r="44" customFormat="false" ht="18" hidden="false" customHeight="true" outlineLevel="0" collapsed="false">
      <c r="A44" s="75" t="str">
        <f aca="false">IF(Inspeções!$B44="","",Inspeções!$A44)</f>
        <v/>
      </c>
      <c r="B44" s="39" t="str">
        <f aca="false">IF($A44="","",Inspeções!$B44)</f>
        <v/>
      </c>
      <c r="C44" s="40" t="str">
        <f aca="false">IF($A44="","",Inspeções!$E44)</f>
        <v/>
      </c>
      <c r="D44" s="40" t="str">
        <f aca="false">IF($A44="","",Inspeções!$F44)</f>
        <v/>
      </c>
      <c r="E44" s="39" t="str">
        <f aca="false">IF($A44="","",COUNTIFS('Lançar Resultado'!$A$3:$A$2002,$B44,'Lançar Resultado'!$B$3:$B$2002,$A44))</f>
        <v/>
      </c>
      <c r="F44" s="39" t="str">
        <f aca="false">IF($A44="","",COUNTIFS('Lançar Resultado'!$A$3:$A$2002,$B44,'Lançar Resultado'!$B$3:$B$2002,$A44,'Lançar Resultado'!$G$3:$G$2002,"OK"))</f>
        <v/>
      </c>
      <c r="G44" s="39" t="str">
        <f aca="false">IF($A44="","",COUNTIFS('Lançar Resultado'!$A$3:$A$2002,$B44,'Lançar Resultado'!$B$3:$B$2002,$A44,'Lançar Resultado'!$G$3:$G$2002,"NOK"))</f>
        <v/>
      </c>
      <c r="H44" s="39" t="str">
        <f aca="false">IF($A44="","",COUNTIFS('Lançar Resultado'!$A$3:$A$2002,$B44,'Lançar Resultado'!$B$3:$B$2002,$A44,'Lançar Resultado'!$G$3:$G$2002,"N/A"))</f>
        <v/>
      </c>
      <c r="I44" s="39" t="str">
        <f aca="false">IF($A44="","",IF($E44=0,"",SUMPRODUCT(MAX(('Lançar Resultado'!$A$3:$A$2002=$B44)*('Lançar Resultado'!$B$3:$B$2002=$A44)*'Lançar Resultado'!$R$3:$R$2002))))</f>
        <v/>
      </c>
      <c r="J44" s="39" t="str">
        <f aca="false">IF($A44="","",COUNTIFS('Lançar Resultado'!$A$3:$A$2002,$B44,'Lançar Resultado'!$B$3:$B$2002,$A44,'Lançar Resultado'!$O$3:$O$2002,"Sim"))</f>
        <v/>
      </c>
      <c r="K44" s="76" t="str">
        <f aca="false">IF($A44="","",COUNTIFS('Lançar Resultado'!$A$3:$A$2002,$B44,'Lançar Resultado'!$B$3:$B$2002,$A44,'Lançar Resultado'!$N$3:$N$2002,"Alta"))</f>
        <v/>
      </c>
      <c r="L44" s="76" t="str">
        <f aca="false">IF($A44="","",COUNTIFS('Lançar Resultado'!$A$3:$A$2002,$B44,'Lançar Resultado'!$B$3:$B$2002,$A44,'Lançar Resultado'!$P$3:$P$2002,10))</f>
        <v/>
      </c>
      <c r="M44" s="77" t="str">
        <f aca="false">IF($A44="","",IF(($F44+$G44)=0,"",$F44/($F44+$G44)*100))</f>
        <v/>
      </c>
    </row>
    <row r="45" customFormat="false" ht="18" hidden="false" customHeight="true" outlineLevel="0" collapsed="false">
      <c r="A45" s="75" t="str">
        <f aca="false">IF(Inspeções!$B45="","",Inspeções!$A45)</f>
        <v/>
      </c>
      <c r="B45" s="39" t="str">
        <f aca="false">IF($A45="","",Inspeções!$B45)</f>
        <v/>
      </c>
      <c r="C45" s="40" t="str">
        <f aca="false">IF($A45="","",Inspeções!$E45)</f>
        <v/>
      </c>
      <c r="D45" s="40" t="str">
        <f aca="false">IF($A45="","",Inspeções!$F45)</f>
        <v/>
      </c>
      <c r="E45" s="39" t="str">
        <f aca="false">IF($A45="","",COUNTIFS('Lançar Resultado'!$A$3:$A$2002,$B45,'Lançar Resultado'!$B$3:$B$2002,$A45))</f>
        <v/>
      </c>
      <c r="F45" s="39" t="str">
        <f aca="false">IF($A45="","",COUNTIFS('Lançar Resultado'!$A$3:$A$2002,$B45,'Lançar Resultado'!$B$3:$B$2002,$A45,'Lançar Resultado'!$G$3:$G$2002,"OK"))</f>
        <v/>
      </c>
      <c r="G45" s="39" t="str">
        <f aca="false">IF($A45="","",COUNTIFS('Lançar Resultado'!$A$3:$A$2002,$B45,'Lançar Resultado'!$B$3:$B$2002,$A45,'Lançar Resultado'!$G$3:$G$2002,"NOK"))</f>
        <v/>
      </c>
      <c r="H45" s="39" t="str">
        <f aca="false">IF($A45="","",COUNTIFS('Lançar Resultado'!$A$3:$A$2002,$B45,'Lançar Resultado'!$B$3:$B$2002,$A45,'Lançar Resultado'!$G$3:$G$2002,"N/A"))</f>
        <v/>
      </c>
      <c r="I45" s="39" t="str">
        <f aca="false">IF($A45="","",IF($E45=0,"",SUMPRODUCT(MAX(('Lançar Resultado'!$A$3:$A$2002=$B45)*('Lançar Resultado'!$B$3:$B$2002=$A45)*'Lançar Resultado'!$R$3:$R$2002))))</f>
        <v/>
      </c>
      <c r="J45" s="39" t="str">
        <f aca="false">IF($A45="","",COUNTIFS('Lançar Resultado'!$A$3:$A$2002,$B45,'Lançar Resultado'!$B$3:$B$2002,$A45,'Lançar Resultado'!$O$3:$O$2002,"Sim"))</f>
        <v/>
      </c>
      <c r="K45" s="76" t="str">
        <f aca="false">IF($A45="","",COUNTIFS('Lançar Resultado'!$A$3:$A$2002,$B45,'Lançar Resultado'!$B$3:$B$2002,$A45,'Lançar Resultado'!$N$3:$N$2002,"Alta"))</f>
        <v/>
      </c>
      <c r="L45" s="76" t="str">
        <f aca="false">IF($A45="","",COUNTIFS('Lançar Resultado'!$A$3:$A$2002,$B45,'Lançar Resultado'!$B$3:$B$2002,$A45,'Lançar Resultado'!$P$3:$P$2002,10))</f>
        <v/>
      </c>
      <c r="M45" s="77" t="str">
        <f aca="false">IF($A45="","",IF(($F45+$G45)=0,"",$F45/($F45+$G45)*100))</f>
        <v/>
      </c>
    </row>
    <row r="46" customFormat="false" ht="18" hidden="false" customHeight="true" outlineLevel="0" collapsed="false">
      <c r="A46" s="75" t="str">
        <f aca="false">IF(Inspeções!$B46="","",Inspeções!$A46)</f>
        <v/>
      </c>
      <c r="B46" s="39" t="str">
        <f aca="false">IF($A46="","",Inspeções!$B46)</f>
        <v/>
      </c>
      <c r="C46" s="40" t="str">
        <f aca="false">IF($A46="","",Inspeções!$E46)</f>
        <v/>
      </c>
      <c r="D46" s="40" t="str">
        <f aca="false">IF($A46="","",Inspeções!$F46)</f>
        <v/>
      </c>
      <c r="E46" s="39" t="str">
        <f aca="false">IF($A46="","",COUNTIFS('Lançar Resultado'!$A$3:$A$2002,$B46,'Lançar Resultado'!$B$3:$B$2002,$A46))</f>
        <v/>
      </c>
      <c r="F46" s="39" t="str">
        <f aca="false">IF($A46="","",COUNTIFS('Lançar Resultado'!$A$3:$A$2002,$B46,'Lançar Resultado'!$B$3:$B$2002,$A46,'Lançar Resultado'!$G$3:$G$2002,"OK"))</f>
        <v/>
      </c>
      <c r="G46" s="39" t="str">
        <f aca="false">IF($A46="","",COUNTIFS('Lançar Resultado'!$A$3:$A$2002,$B46,'Lançar Resultado'!$B$3:$B$2002,$A46,'Lançar Resultado'!$G$3:$G$2002,"NOK"))</f>
        <v/>
      </c>
      <c r="H46" s="39" t="str">
        <f aca="false">IF($A46="","",COUNTIFS('Lançar Resultado'!$A$3:$A$2002,$B46,'Lançar Resultado'!$B$3:$B$2002,$A46,'Lançar Resultado'!$G$3:$G$2002,"N/A"))</f>
        <v/>
      </c>
      <c r="I46" s="39" t="str">
        <f aca="false">IF($A46="","",IF($E46=0,"",SUMPRODUCT(MAX(('Lançar Resultado'!$A$3:$A$2002=$B46)*('Lançar Resultado'!$B$3:$B$2002=$A46)*'Lançar Resultado'!$R$3:$R$2002))))</f>
        <v/>
      </c>
      <c r="J46" s="39" t="str">
        <f aca="false">IF($A46="","",COUNTIFS('Lançar Resultado'!$A$3:$A$2002,$B46,'Lançar Resultado'!$B$3:$B$2002,$A46,'Lançar Resultado'!$O$3:$O$2002,"Sim"))</f>
        <v/>
      </c>
      <c r="K46" s="76" t="str">
        <f aca="false">IF($A46="","",COUNTIFS('Lançar Resultado'!$A$3:$A$2002,$B46,'Lançar Resultado'!$B$3:$B$2002,$A46,'Lançar Resultado'!$N$3:$N$2002,"Alta"))</f>
        <v/>
      </c>
      <c r="L46" s="76" t="str">
        <f aca="false">IF($A46="","",COUNTIFS('Lançar Resultado'!$A$3:$A$2002,$B46,'Lançar Resultado'!$B$3:$B$2002,$A46,'Lançar Resultado'!$P$3:$P$2002,10))</f>
        <v/>
      </c>
      <c r="M46" s="77" t="str">
        <f aca="false">IF($A46="","",IF(($F46+$G46)=0,"",$F46/($F46+$G46)*100))</f>
        <v/>
      </c>
    </row>
    <row r="47" customFormat="false" ht="18" hidden="false" customHeight="true" outlineLevel="0" collapsed="false">
      <c r="A47" s="75" t="str">
        <f aca="false">IF(Inspeções!$B47="","",Inspeções!$A47)</f>
        <v/>
      </c>
      <c r="B47" s="39" t="str">
        <f aca="false">IF($A47="","",Inspeções!$B47)</f>
        <v/>
      </c>
      <c r="C47" s="40" t="str">
        <f aca="false">IF($A47="","",Inspeções!$E47)</f>
        <v/>
      </c>
      <c r="D47" s="40" t="str">
        <f aca="false">IF($A47="","",Inspeções!$F47)</f>
        <v/>
      </c>
      <c r="E47" s="39" t="str">
        <f aca="false">IF($A47="","",COUNTIFS('Lançar Resultado'!$A$3:$A$2002,$B47,'Lançar Resultado'!$B$3:$B$2002,$A47))</f>
        <v/>
      </c>
      <c r="F47" s="39" t="str">
        <f aca="false">IF($A47="","",COUNTIFS('Lançar Resultado'!$A$3:$A$2002,$B47,'Lançar Resultado'!$B$3:$B$2002,$A47,'Lançar Resultado'!$G$3:$G$2002,"OK"))</f>
        <v/>
      </c>
      <c r="G47" s="39" t="str">
        <f aca="false">IF($A47="","",COUNTIFS('Lançar Resultado'!$A$3:$A$2002,$B47,'Lançar Resultado'!$B$3:$B$2002,$A47,'Lançar Resultado'!$G$3:$G$2002,"NOK"))</f>
        <v/>
      </c>
      <c r="H47" s="39" t="str">
        <f aca="false">IF($A47="","",COUNTIFS('Lançar Resultado'!$A$3:$A$2002,$B47,'Lançar Resultado'!$B$3:$B$2002,$A47,'Lançar Resultado'!$G$3:$G$2002,"N/A"))</f>
        <v/>
      </c>
      <c r="I47" s="39" t="str">
        <f aca="false">IF($A47="","",IF($E47=0,"",SUMPRODUCT(MAX(('Lançar Resultado'!$A$3:$A$2002=$B47)*('Lançar Resultado'!$B$3:$B$2002=$A47)*'Lançar Resultado'!$R$3:$R$2002))))</f>
        <v/>
      </c>
      <c r="J47" s="39" t="str">
        <f aca="false">IF($A47="","",COUNTIFS('Lançar Resultado'!$A$3:$A$2002,$B47,'Lançar Resultado'!$B$3:$B$2002,$A47,'Lançar Resultado'!$O$3:$O$2002,"Sim"))</f>
        <v/>
      </c>
      <c r="K47" s="76" t="str">
        <f aca="false">IF($A47="","",COUNTIFS('Lançar Resultado'!$A$3:$A$2002,$B47,'Lançar Resultado'!$B$3:$B$2002,$A47,'Lançar Resultado'!$N$3:$N$2002,"Alta"))</f>
        <v/>
      </c>
      <c r="L47" s="76" t="str">
        <f aca="false">IF($A47="","",COUNTIFS('Lançar Resultado'!$A$3:$A$2002,$B47,'Lançar Resultado'!$B$3:$B$2002,$A47,'Lançar Resultado'!$P$3:$P$2002,10))</f>
        <v/>
      </c>
      <c r="M47" s="77" t="str">
        <f aca="false">IF($A47="","",IF(($F47+$G47)=0,"",$F47/($F47+$G47)*100))</f>
        <v/>
      </c>
    </row>
    <row r="48" customFormat="false" ht="18" hidden="false" customHeight="true" outlineLevel="0" collapsed="false">
      <c r="A48" s="75" t="str">
        <f aca="false">IF(Inspeções!$B48="","",Inspeções!$A48)</f>
        <v/>
      </c>
      <c r="B48" s="39" t="str">
        <f aca="false">IF($A48="","",Inspeções!$B48)</f>
        <v/>
      </c>
      <c r="C48" s="40" t="str">
        <f aca="false">IF($A48="","",Inspeções!$E48)</f>
        <v/>
      </c>
      <c r="D48" s="40" t="str">
        <f aca="false">IF($A48="","",Inspeções!$F48)</f>
        <v/>
      </c>
      <c r="E48" s="39" t="str">
        <f aca="false">IF($A48="","",COUNTIFS('Lançar Resultado'!$A$3:$A$2002,$B48,'Lançar Resultado'!$B$3:$B$2002,$A48))</f>
        <v/>
      </c>
      <c r="F48" s="39" t="str">
        <f aca="false">IF($A48="","",COUNTIFS('Lançar Resultado'!$A$3:$A$2002,$B48,'Lançar Resultado'!$B$3:$B$2002,$A48,'Lançar Resultado'!$G$3:$G$2002,"OK"))</f>
        <v/>
      </c>
      <c r="G48" s="39" t="str">
        <f aca="false">IF($A48="","",COUNTIFS('Lançar Resultado'!$A$3:$A$2002,$B48,'Lançar Resultado'!$B$3:$B$2002,$A48,'Lançar Resultado'!$G$3:$G$2002,"NOK"))</f>
        <v/>
      </c>
      <c r="H48" s="39" t="str">
        <f aca="false">IF($A48="","",COUNTIFS('Lançar Resultado'!$A$3:$A$2002,$B48,'Lançar Resultado'!$B$3:$B$2002,$A48,'Lançar Resultado'!$G$3:$G$2002,"N/A"))</f>
        <v/>
      </c>
      <c r="I48" s="39" t="str">
        <f aca="false">IF($A48="","",IF($E48=0,"",SUMPRODUCT(MAX(('Lançar Resultado'!$A$3:$A$2002=$B48)*('Lançar Resultado'!$B$3:$B$2002=$A48)*'Lançar Resultado'!$R$3:$R$2002))))</f>
        <v/>
      </c>
      <c r="J48" s="39" t="str">
        <f aca="false">IF($A48="","",COUNTIFS('Lançar Resultado'!$A$3:$A$2002,$B48,'Lançar Resultado'!$B$3:$B$2002,$A48,'Lançar Resultado'!$O$3:$O$2002,"Sim"))</f>
        <v/>
      </c>
      <c r="K48" s="76" t="str">
        <f aca="false">IF($A48="","",COUNTIFS('Lançar Resultado'!$A$3:$A$2002,$B48,'Lançar Resultado'!$B$3:$B$2002,$A48,'Lançar Resultado'!$N$3:$N$2002,"Alta"))</f>
        <v/>
      </c>
      <c r="L48" s="76" t="str">
        <f aca="false">IF($A48="","",COUNTIFS('Lançar Resultado'!$A$3:$A$2002,$B48,'Lançar Resultado'!$B$3:$B$2002,$A48,'Lançar Resultado'!$P$3:$P$2002,10))</f>
        <v/>
      </c>
      <c r="M48" s="77" t="str">
        <f aca="false">IF($A48="","",IF(($F48+$G48)=0,"",$F48/($F48+$G48)*100))</f>
        <v/>
      </c>
    </row>
    <row r="49" customFormat="false" ht="18" hidden="false" customHeight="true" outlineLevel="0" collapsed="false">
      <c r="A49" s="75" t="str">
        <f aca="false">IF(Inspeções!$B49="","",Inspeções!$A49)</f>
        <v/>
      </c>
      <c r="B49" s="39" t="str">
        <f aca="false">IF($A49="","",Inspeções!$B49)</f>
        <v/>
      </c>
      <c r="C49" s="40" t="str">
        <f aca="false">IF($A49="","",Inspeções!$E49)</f>
        <v/>
      </c>
      <c r="D49" s="40" t="str">
        <f aca="false">IF($A49="","",Inspeções!$F49)</f>
        <v/>
      </c>
      <c r="E49" s="39" t="str">
        <f aca="false">IF($A49="","",COUNTIFS('Lançar Resultado'!$A$3:$A$2002,$B49,'Lançar Resultado'!$B$3:$B$2002,$A49))</f>
        <v/>
      </c>
      <c r="F49" s="39" t="str">
        <f aca="false">IF($A49="","",COUNTIFS('Lançar Resultado'!$A$3:$A$2002,$B49,'Lançar Resultado'!$B$3:$B$2002,$A49,'Lançar Resultado'!$G$3:$G$2002,"OK"))</f>
        <v/>
      </c>
      <c r="G49" s="39" t="str">
        <f aca="false">IF($A49="","",COUNTIFS('Lançar Resultado'!$A$3:$A$2002,$B49,'Lançar Resultado'!$B$3:$B$2002,$A49,'Lançar Resultado'!$G$3:$G$2002,"NOK"))</f>
        <v/>
      </c>
      <c r="H49" s="39" t="str">
        <f aca="false">IF($A49="","",COUNTIFS('Lançar Resultado'!$A$3:$A$2002,$B49,'Lançar Resultado'!$B$3:$B$2002,$A49,'Lançar Resultado'!$G$3:$G$2002,"N/A"))</f>
        <v/>
      </c>
      <c r="I49" s="39" t="str">
        <f aca="false">IF($A49="","",IF($E49=0,"",SUMPRODUCT(MAX(('Lançar Resultado'!$A$3:$A$2002=$B49)*('Lançar Resultado'!$B$3:$B$2002=$A49)*'Lançar Resultado'!$R$3:$R$2002))))</f>
        <v/>
      </c>
      <c r="J49" s="39" t="str">
        <f aca="false">IF($A49="","",COUNTIFS('Lançar Resultado'!$A$3:$A$2002,$B49,'Lançar Resultado'!$B$3:$B$2002,$A49,'Lançar Resultado'!$O$3:$O$2002,"Sim"))</f>
        <v/>
      </c>
      <c r="K49" s="76" t="str">
        <f aca="false">IF($A49="","",COUNTIFS('Lançar Resultado'!$A$3:$A$2002,$B49,'Lançar Resultado'!$B$3:$B$2002,$A49,'Lançar Resultado'!$N$3:$N$2002,"Alta"))</f>
        <v/>
      </c>
      <c r="L49" s="76" t="str">
        <f aca="false">IF($A49="","",COUNTIFS('Lançar Resultado'!$A$3:$A$2002,$B49,'Lançar Resultado'!$B$3:$B$2002,$A49,'Lançar Resultado'!$P$3:$P$2002,10))</f>
        <v/>
      </c>
      <c r="M49" s="77" t="str">
        <f aca="false">IF($A49="","",IF(($F49+$G49)=0,"",$F49/($F49+$G49)*100))</f>
        <v/>
      </c>
    </row>
    <row r="50" customFormat="false" ht="18" hidden="false" customHeight="true" outlineLevel="0" collapsed="false">
      <c r="A50" s="75" t="str">
        <f aca="false">IF(Inspeções!$B50="","",Inspeções!$A50)</f>
        <v/>
      </c>
      <c r="B50" s="39" t="str">
        <f aca="false">IF($A50="","",Inspeções!$B50)</f>
        <v/>
      </c>
      <c r="C50" s="40" t="str">
        <f aca="false">IF($A50="","",Inspeções!$E50)</f>
        <v/>
      </c>
      <c r="D50" s="40" t="str">
        <f aca="false">IF($A50="","",Inspeções!$F50)</f>
        <v/>
      </c>
      <c r="E50" s="39" t="str">
        <f aca="false">IF($A50="","",COUNTIFS('Lançar Resultado'!$A$3:$A$2002,$B50,'Lançar Resultado'!$B$3:$B$2002,$A50))</f>
        <v/>
      </c>
      <c r="F50" s="39" t="str">
        <f aca="false">IF($A50="","",COUNTIFS('Lançar Resultado'!$A$3:$A$2002,$B50,'Lançar Resultado'!$B$3:$B$2002,$A50,'Lançar Resultado'!$G$3:$G$2002,"OK"))</f>
        <v/>
      </c>
      <c r="G50" s="39" t="str">
        <f aca="false">IF($A50="","",COUNTIFS('Lançar Resultado'!$A$3:$A$2002,$B50,'Lançar Resultado'!$B$3:$B$2002,$A50,'Lançar Resultado'!$G$3:$G$2002,"NOK"))</f>
        <v/>
      </c>
      <c r="H50" s="39" t="str">
        <f aca="false">IF($A50="","",COUNTIFS('Lançar Resultado'!$A$3:$A$2002,$B50,'Lançar Resultado'!$B$3:$B$2002,$A50,'Lançar Resultado'!$G$3:$G$2002,"N/A"))</f>
        <v/>
      </c>
      <c r="I50" s="39" t="str">
        <f aca="false">IF($A50="","",IF($E50=0,"",SUMPRODUCT(MAX(('Lançar Resultado'!$A$3:$A$2002=$B50)*('Lançar Resultado'!$B$3:$B$2002=$A50)*'Lançar Resultado'!$R$3:$R$2002))))</f>
        <v/>
      </c>
      <c r="J50" s="39" t="str">
        <f aca="false">IF($A50="","",COUNTIFS('Lançar Resultado'!$A$3:$A$2002,$B50,'Lançar Resultado'!$B$3:$B$2002,$A50,'Lançar Resultado'!$O$3:$O$2002,"Sim"))</f>
        <v/>
      </c>
      <c r="K50" s="76" t="str">
        <f aca="false">IF($A50="","",COUNTIFS('Lançar Resultado'!$A$3:$A$2002,$B50,'Lançar Resultado'!$B$3:$B$2002,$A50,'Lançar Resultado'!$N$3:$N$2002,"Alta"))</f>
        <v/>
      </c>
      <c r="L50" s="76" t="str">
        <f aca="false">IF($A50="","",COUNTIFS('Lançar Resultado'!$A$3:$A$2002,$B50,'Lançar Resultado'!$B$3:$B$2002,$A50,'Lançar Resultado'!$P$3:$P$2002,10))</f>
        <v/>
      </c>
      <c r="M50" s="77" t="str">
        <f aca="false">IF($A50="","",IF(($F50+$G50)=0,"",$F50/($F50+$G50)*100))</f>
        <v/>
      </c>
    </row>
    <row r="51" customFormat="false" ht="18" hidden="false" customHeight="true" outlineLevel="0" collapsed="false">
      <c r="A51" s="75" t="str">
        <f aca="false">IF(Inspeções!$B51="","",Inspeções!$A51)</f>
        <v/>
      </c>
      <c r="B51" s="39" t="str">
        <f aca="false">IF($A51="","",Inspeções!$B51)</f>
        <v/>
      </c>
      <c r="C51" s="40" t="str">
        <f aca="false">IF($A51="","",Inspeções!$E51)</f>
        <v/>
      </c>
      <c r="D51" s="40" t="str">
        <f aca="false">IF($A51="","",Inspeções!$F51)</f>
        <v/>
      </c>
      <c r="E51" s="39" t="str">
        <f aca="false">IF($A51="","",COUNTIFS('Lançar Resultado'!$A$3:$A$2002,$B51,'Lançar Resultado'!$B$3:$B$2002,$A51))</f>
        <v/>
      </c>
      <c r="F51" s="39" t="str">
        <f aca="false">IF($A51="","",COUNTIFS('Lançar Resultado'!$A$3:$A$2002,$B51,'Lançar Resultado'!$B$3:$B$2002,$A51,'Lançar Resultado'!$G$3:$G$2002,"OK"))</f>
        <v/>
      </c>
      <c r="G51" s="39" t="str">
        <f aca="false">IF($A51="","",COUNTIFS('Lançar Resultado'!$A$3:$A$2002,$B51,'Lançar Resultado'!$B$3:$B$2002,$A51,'Lançar Resultado'!$G$3:$G$2002,"NOK"))</f>
        <v/>
      </c>
      <c r="H51" s="39" t="str">
        <f aca="false">IF($A51="","",COUNTIFS('Lançar Resultado'!$A$3:$A$2002,$B51,'Lançar Resultado'!$B$3:$B$2002,$A51,'Lançar Resultado'!$G$3:$G$2002,"N/A"))</f>
        <v/>
      </c>
      <c r="I51" s="39" t="str">
        <f aca="false">IF($A51="","",IF($E51=0,"",SUMPRODUCT(MAX(('Lançar Resultado'!$A$3:$A$2002=$B51)*('Lançar Resultado'!$B$3:$B$2002=$A51)*'Lançar Resultado'!$R$3:$R$2002))))</f>
        <v/>
      </c>
      <c r="J51" s="39" t="str">
        <f aca="false">IF($A51="","",COUNTIFS('Lançar Resultado'!$A$3:$A$2002,$B51,'Lançar Resultado'!$B$3:$B$2002,$A51,'Lançar Resultado'!$O$3:$O$2002,"Sim"))</f>
        <v/>
      </c>
      <c r="K51" s="76" t="str">
        <f aca="false">IF($A51="","",COUNTIFS('Lançar Resultado'!$A$3:$A$2002,$B51,'Lançar Resultado'!$B$3:$B$2002,$A51,'Lançar Resultado'!$N$3:$N$2002,"Alta"))</f>
        <v/>
      </c>
      <c r="L51" s="76" t="str">
        <f aca="false">IF($A51="","",COUNTIFS('Lançar Resultado'!$A$3:$A$2002,$B51,'Lançar Resultado'!$B$3:$B$2002,$A51,'Lançar Resultado'!$P$3:$P$2002,10))</f>
        <v/>
      </c>
      <c r="M51" s="77" t="str">
        <f aca="false">IF($A51="","",IF(($F51+$G51)=0,"",$F51/($F51+$G51)*100))</f>
        <v/>
      </c>
    </row>
    <row r="52" customFormat="false" ht="18" hidden="false" customHeight="true" outlineLevel="0" collapsed="false">
      <c r="A52" s="75" t="str">
        <f aca="false">IF(Inspeções!$B52="","",Inspeções!$A52)</f>
        <v/>
      </c>
      <c r="B52" s="39" t="str">
        <f aca="false">IF($A52="","",Inspeções!$B52)</f>
        <v/>
      </c>
      <c r="C52" s="40" t="str">
        <f aca="false">IF($A52="","",Inspeções!$E52)</f>
        <v/>
      </c>
      <c r="D52" s="40" t="str">
        <f aca="false">IF($A52="","",Inspeções!$F52)</f>
        <v/>
      </c>
      <c r="E52" s="39" t="str">
        <f aca="false">IF($A52="","",COUNTIFS('Lançar Resultado'!$A$3:$A$2002,$B52,'Lançar Resultado'!$B$3:$B$2002,$A52))</f>
        <v/>
      </c>
      <c r="F52" s="39" t="str">
        <f aca="false">IF($A52="","",COUNTIFS('Lançar Resultado'!$A$3:$A$2002,$B52,'Lançar Resultado'!$B$3:$B$2002,$A52,'Lançar Resultado'!$G$3:$G$2002,"OK"))</f>
        <v/>
      </c>
      <c r="G52" s="39" t="str">
        <f aca="false">IF($A52="","",COUNTIFS('Lançar Resultado'!$A$3:$A$2002,$B52,'Lançar Resultado'!$B$3:$B$2002,$A52,'Lançar Resultado'!$G$3:$G$2002,"NOK"))</f>
        <v/>
      </c>
      <c r="H52" s="39" t="str">
        <f aca="false">IF($A52="","",COUNTIFS('Lançar Resultado'!$A$3:$A$2002,$B52,'Lançar Resultado'!$B$3:$B$2002,$A52,'Lançar Resultado'!$G$3:$G$2002,"N/A"))</f>
        <v/>
      </c>
      <c r="I52" s="39" t="str">
        <f aca="false">IF($A52="","",IF($E52=0,"",SUMPRODUCT(MAX(('Lançar Resultado'!$A$3:$A$2002=$B52)*('Lançar Resultado'!$B$3:$B$2002=$A52)*'Lançar Resultado'!$R$3:$R$2002))))</f>
        <v/>
      </c>
      <c r="J52" s="39" t="str">
        <f aca="false">IF($A52="","",COUNTIFS('Lançar Resultado'!$A$3:$A$2002,$B52,'Lançar Resultado'!$B$3:$B$2002,$A52,'Lançar Resultado'!$O$3:$O$2002,"Sim"))</f>
        <v/>
      </c>
      <c r="K52" s="76" t="str">
        <f aca="false">IF($A52="","",COUNTIFS('Lançar Resultado'!$A$3:$A$2002,$B52,'Lançar Resultado'!$B$3:$B$2002,$A52,'Lançar Resultado'!$N$3:$N$2002,"Alta"))</f>
        <v/>
      </c>
      <c r="L52" s="76" t="str">
        <f aca="false">IF($A52="","",COUNTIFS('Lançar Resultado'!$A$3:$A$2002,$B52,'Lançar Resultado'!$B$3:$B$2002,$A52,'Lançar Resultado'!$P$3:$P$2002,10))</f>
        <v/>
      </c>
      <c r="M52" s="77" t="str">
        <f aca="false">IF($A52="","",IF(($F52+$G52)=0,"",$F52/($F52+$G52)*100))</f>
        <v/>
      </c>
    </row>
    <row r="53" customFormat="false" ht="18" hidden="false" customHeight="true" outlineLevel="0" collapsed="false">
      <c r="A53" s="75" t="str">
        <f aca="false">IF(Inspeções!$B53="","",Inspeções!$A53)</f>
        <v/>
      </c>
      <c r="B53" s="39" t="str">
        <f aca="false">IF($A53="","",Inspeções!$B53)</f>
        <v/>
      </c>
      <c r="C53" s="40" t="str">
        <f aca="false">IF($A53="","",Inspeções!$E53)</f>
        <v/>
      </c>
      <c r="D53" s="40" t="str">
        <f aca="false">IF($A53="","",Inspeções!$F53)</f>
        <v/>
      </c>
      <c r="E53" s="39" t="str">
        <f aca="false">IF($A53="","",COUNTIFS('Lançar Resultado'!$A$3:$A$2002,$B53,'Lançar Resultado'!$B$3:$B$2002,$A53))</f>
        <v/>
      </c>
      <c r="F53" s="39" t="str">
        <f aca="false">IF($A53="","",COUNTIFS('Lançar Resultado'!$A$3:$A$2002,$B53,'Lançar Resultado'!$B$3:$B$2002,$A53,'Lançar Resultado'!$G$3:$G$2002,"OK"))</f>
        <v/>
      </c>
      <c r="G53" s="39" t="str">
        <f aca="false">IF($A53="","",COUNTIFS('Lançar Resultado'!$A$3:$A$2002,$B53,'Lançar Resultado'!$B$3:$B$2002,$A53,'Lançar Resultado'!$G$3:$G$2002,"NOK"))</f>
        <v/>
      </c>
      <c r="H53" s="39" t="str">
        <f aca="false">IF($A53="","",COUNTIFS('Lançar Resultado'!$A$3:$A$2002,$B53,'Lançar Resultado'!$B$3:$B$2002,$A53,'Lançar Resultado'!$G$3:$G$2002,"N/A"))</f>
        <v/>
      </c>
      <c r="I53" s="39" t="str">
        <f aca="false">IF($A53="","",IF($E53=0,"",SUMPRODUCT(MAX(('Lançar Resultado'!$A$3:$A$2002=$B53)*('Lançar Resultado'!$B$3:$B$2002=$A53)*'Lançar Resultado'!$R$3:$R$2002))))</f>
        <v/>
      </c>
      <c r="J53" s="39" t="str">
        <f aca="false">IF($A53="","",COUNTIFS('Lançar Resultado'!$A$3:$A$2002,$B53,'Lançar Resultado'!$B$3:$B$2002,$A53,'Lançar Resultado'!$O$3:$O$2002,"Sim"))</f>
        <v/>
      </c>
      <c r="K53" s="76" t="str">
        <f aca="false">IF($A53="","",COUNTIFS('Lançar Resultado'!$A$3:$A$2002,$B53,'Lançar Resultado'!$B$3:$B$2002,$A53,'Lançar Resultado'!$N$3:$N$2002,"Alta"))</f>
        <v/>
      </c>
      <c r="L53" s="76" t="str">
        <f aca="false">IF($A53="","",COUNTIFS('Lançar Resultado'!$A$3:$A$2002,$B53,'Lançar Resultado'!$B$3:$B$2002,$A53,'Lançar Resultado'!$P$3:$P$2002,10))</f>
        <v/>
      </c>
      <c r="M53" s="77" t="str">
        <f aca="false">IF($A53="","",IF(($F53+$G53)=0,"",$F53/($F53+$G53)*100))</f>
        <v/>
      </c>
    </row>
    <row r="54" customFormat="false" ht="18" hidden="false" customHeight="true" outlineLevel="0" collapsed="false">
      <c r="A54" s="75" t="str">
        <f aca="false">IF(Inspeções!$B54="","",Inspeções!$A54)</f>
        <v/>
      </c>
      <c r="B54" s="39" t="str">
        <f aca="false">IF($A54="","",Inspeções!$B54)</f>
        <v/>
      </c>
      <c r="C54" s="40" t="str">
        <f aca="false">IF($A54="","",Inspeções!$E54)</f>
        <v/>
      </c>
      <c r="D54" s="40" t="str">
        <f aca="false">IF($A54="","",Inspeções!$F54)</f>
        <v/>
      </c>
      <c r="E54" s="39" t="str">
        <f aca="false">IF($A54="","",COUNTIFS('Lançar Resultado'!$A$3:$A$2002,$B54,'Lançar Resultado'!$B$3:$B$2002,$A54))</f>
        <v/>
      </c>
      <c r="F54" s="39" t="str">
        <f aca="false">IF($A54="","",COUNTIFS('Lançar Resultado'!$A$3:$A$2002,$B54,'Lançar Resultado'!$B$3:$B$2002,$A54,'Lançar Resultado'!$G$3:$G$2002,"OK"))</f>
        <v/>
      </c>
      <c r="G54" s="39" t="str">
        <f aca="false">IF($A54="","",COUNTIFS('Lançar Resultado'!$A$3:$A$2002,$B54,'Lançar Resultado'!$B$3:$B$2002,$A54,'Lançar Resultado'!$G$3:$G$2002,"NOK"))</f>
        <v/>
      </c>
      <c r="H54" s="39" t="str">
        <f aca="false">IF($A54="","",COUNTIFS('Lançar Resultado'!$A$3:$A$2002,$B54,'Lançar Resultado'!$B$3:$B$2002,$A54,'Lançar Resultado'!$G$3:$G$2002,"N/A"))</f>
        <v/>
      </c>
      <c r="I54" s="39" t="str">
        <f aca="false">IF($A54="","",IF($E54=0,"",SUMPRODUCT(MAX(('Lançar Resultado'!$A$3:$A$2002=$B54)*('Lançar Resultado'!$B$3:$B$2002=$A54)*'Lançar Resultado'!$R$3:$R$2002))))</f>
        <v/>
      </c>
      <c r="J54" s="39" t="str">
        <f aca="false">IF($A54="","",COUNTIFS('Lançar Resultado'!$A$3:$A$2002,$B54,'Lançar Resultado'!$B$3:$B$2002,$A54,'Lançar Resultado'!$O$3:$O$2002,"Sim"))</f>
        <v/>
      </c>
      <c r="K54" s="76" t="str">
        <f aca="false">IF($A54="","",COUNTIFS('Lançar Resultado'!$A$3:$A$2002,$B54,'Lançar Resultado'!$B$3:$B$2002,$A54,'Lançar Resultado'!$N$3:$N$2002,"Alta"))</f>
        <v/>
      </c>
      <c r="L54" s="76" t="str">
        <f aca="false">IF($A54="","",COUNTIFS('Lançar Resultado'!$A$3:$A$2002,$B54,'Lançar Resultado'!$B$3:$B$2002,$A54,'Lançar Resultado'!$P$3:$P$2002,10))</f>
        <v/>
      </c>
      <c r="M54" s="77" t="str">
        <f aca="false">IF($A54="","",IF(($F54+$G54)=0,"",$F54/($F54+$G54)*100))</f>
        <v/>
      </c>
    </row>
    <row r="55" customFormat="false" ht="18" hidden="false" customHeight="true" outlineLevel="0" collapsed="false">
      <c r="A55" s="75" t="str">
        <f aca="false">IF(Inspeções!$B55="","",Inspeções!$A55)</f>
        <v/>
      </c>
      <c r="B55" s="39" t="str">
        <f aca="false">IF($A55="","",Inspeções!$B55)</f>
        <v/>
      </c>
      <c r="C55" s="40" t="str">
        <f aca="false">IF($A55="","",Inspeções!$E55)</f>
        <v/>
      </c>
      <c r="D55" s="40" t="str">
        <f aca="false">IF($A55="","",Inspeções!$F55)</f>
        <v/>
      </c>
      <c r="E55" s="39" t="str">
        <f aca="false">IF($A55="","",COUNTIFS('Lançar Resultado'!$A$3:$A$2002,$B55,'Lançar Resultado'!$B$3:$B$2002,$A55))</f>
        <v/>
      </c>
      <c r="F55" s="39" t="str">
        <f aca="false">IF($A55="","",COUNTIFS('Lançar Resultado'!$A$3:$A$2002,$B55,'Lançar Resultado'!$B$3:$B$2002,$A55,'Lançar Resultado'!$G$3:$G$2002,"OK"))</f>
        <v/>
      </c>
      <c r="G55" s="39" t="str">
        <f aca="false">IF($A55="","",COUNTIFS('Lançar Resultado'!$A$3:$A$2002,$B55,'Lançar Resultado'!$B$3:$B$2002,$A55,'Lançar Resultado'!$G$3:$G$2002,"NOK"))</f>
        <v/>
      </c>
      <c r="H55" s="39" t="str">
        <f aca="false">IF($A55="","",COUNTIFS('Lançar Resultado'!$A$3:$A$2002,$B55,'Lançar Resultado'!$B$3:$B$2002,$A55,'Lançar Resultado'!$G$3:$G$2002,"N/A"))</f>
        <v/>
      </c>
      <c r="I55" s="39" t="str">
        <f aca="false">IF($A55="","",IF($E55=0,"",SUMPRODUCT(MAX(('Lançar Resultado'!$A$3:$A$2002=$B55)*('Lançar Resultado'!$B$3:$B$2002=$A55)*'Lançar Resultado'!$R$3:$R$2002))))</f>
        <v/>
      </c>
      <c r="J55" s="39" t="str">
        <f aca="false">IF($A55="","",COUNTIFS('Lançar Resultado'!$A$3:$A$2002,$B55,'Lançar Resultado'!$B$3:$B$2002,$A55,'Lançar Resultado'!$O$3:$O$2002,"Sim"))</f>
        <v/>
      </c>
      <c r="K55" s="76" t="str">
        <f aca="false">IF($A55="","",COUNTIFS('Lançar Resultado'!$A$3:$A$2002,$B55,'Lançar Resultado'!$B$3:$B$2002,$A55,'Lançar Resultado'!$N$3:$N$2002,"Alta"))</f>
        <v/>
      </c>
      <c r="L55" s="76" t="str">
        <f aca="false">IF($A55="","",COUNTIFS('Lançar Resultado'!$A$3:$A$2002,$B55,'Lançar Resultado'!$B$3:$B$2002,$A55,'Lançar Resultado'!$P$3:$P$2002,10))</f>
        <v/>
      </c>
      <c r="M55" s="77" t="str">
        <f aca="false">IF($A55="","",IF(($F55+$G55)=0,"",$F55/($F55+$G55)*100))</f>
        <v/>
      </c>
    </row>
    <row r="56" customFormat="false" ht="18" hidden="false" customHeight="true" outlineLevel="0" collapsed="false">
      <c r="A56" s="75" t="str">
        <f aca="false">IF(Inspeções!$B56="","",Inspeções!$A56)</f>
        <v/>
      </c>
      <c r="B56" s="39" t="str">
        <f aca="false">IF($A56="","",Inspeções!$B56)</f>
        <v/>
      </c>
      <c r="C56" s="40" t="str">
        <f aca="false">IF($A56="","",Inspeções!$E56)</f>
        <v/>
      </c>
      <c r="D56" s="40" t="str">
        <f aca="false">IF($A56="","",Inspeções!$F56)</f>
        <v/>
      </c>
      <c r="E56" s="39" t="str">
        <f aca="false">IF($A56="","",COUNTIFS('Lançar Resultado'!$A$3:$A$2002,$B56,'Lançar Resultado'!$B$3:$B$2002,$A56))</f>
        <v/>
      </c>
      <c r="F56" s="39" t="str">
        <f aca="false">IF($A56="","",COUNTIFS('Lançar Resultado'!$A$3:$A$2002,$B56,'Lançar Resultado'!$B$3:$B$2002,$A56,'Lançar Resultado'!$G$3:$G$2002,"OK"))</f>
        <v/>
      </c>
      <c r="G56" s="39" t="str">
        <f aca="false">IF($A56="","",COUNTIFS('Lançar Resultado'!$A$3:$A$2002,$B56,'Lançar Resultado'!$B$3:$B$2002,$A56,'Lançar Resultado'!$G$3:$G$2002,"NOK"))</f>
        <v/>
      </c>
      <c r="H56" s="39" t="str">
        <f aca="false">IF($A56="","",COUNTIFS('Lançar Resultado'!$A$3:$A$2002,$B56,'Lançar Resultado'!$B$3:$B$2002,$A56,'Lançar Resultado'!$G$3:$G$2002,"N/A"))</f>
        <v/>
      </c>
      <c r="I56" s="39" t="str">
        <f aca="false">IF($A56="","",IF($E56=0,"",SUMPRODUCT(MAX(('Lançar Resultado'!$A$3:$A$2002=$B56)*('Lançar Resultado'!$B$3:$B$2002=$A56)*'Lançar Resultado'!$R$3:$R$2002))))</f>
        <v/>
      </c>
      <c r="J56" s="39" t="str">
        <f aca="false">IF($A56="","",COUNTIFS('Lançar Resultado'!$A$3:$A$2002,$B56,'Lançar Resultado'!$B$3:$B$2002,$A56,'Lançar Resultado'!$O$3:$O$2002,"Sim"))</f>
        <v/>
      </c>
      <c r="K56" s="76" t="str">
        <f aca="false">IF($A56="","",COUNTIFS('Lançar Resultado'!$A$3:$A$2002,$B56,'Lançar Resultado'!$B$3:$B$2002,$A56,'Lançar Resultado'!$N$3:$N$2002,"Alta"))</f>
        <v/>
      </c>
      <c r="L56" s="76" t="str">
        <f aca="false">IF($A56="","",COUNTIFS('Lançar Resultado'!$A$3:$A$2002,$B56,'Lançar Resultado'!$B$3:$B$2002,$A56,'Lançar Resultado'!$P$3:$P$2002,10))</f>
        <v/>
      </c>
      <c r="M56" s="77" t="str">
        <f aca="false">IF($A56="","",IF(($F56+$G56)=0,"",$F56/($F56+$G56)*100))</f>
        <v/>
      </c>
    </row>
    <row r="57" customFormat="false" ht="18" hidden="false" customHeight="true" outlineLevel="0" collapsed="false">
      <c r="A57" s="75" t="str">
        <f aca="false">IF(Inspeções!$B57="","",Inspeções!$A57)</f>
        <v/>
      </c>
      <c r="B57" s="39" t="str">
        <f aca="false">IF($A57="","",Inspeções!$B57)</f>
        <v/>
      </c>
      <c r="C57" s="40" t="str">
        <f aca="false">IF($A57="","",Inspeções!$E57)</f>
        <v/>
      </c>
      <c r="D57" s="40" t="str">
        <f aca="false">IF($A57="","",Inspeções!$F57)</f>
        <v/>
      </c>
      <c r="E57" s="39" t="str">
        <f aca="false">IF($A57="","",COUNTIFS('Lançar Resultado'!$A$3:$A$2002,$B57,'Lançar Resultado'!$B$3:$B$2002,$A57))</f>
        <v/>
      </c>
      <c r="F57" s="39" t="str">
        <f aca="false">IF($A57="","",COUNTIFS('Lançar Resultado'!$A$3:$A$2002,$B57,'Lançar Resultado'!$B$3:$B$2002,$A57,'Lançar Resultado'!$G$3:$G$2002,"OK"))</f>
        <v/>
      </c>
      <c r="G57" s="39" t="str">
        <f aca="false">IF($A57="","",COUNTIFS('Lançar Resultado'!$A$3:$A$2002,$B57,'Lançar Resultado'!$B$3:$B$2002,$A57,'Lançar Resultado'!$G$3:$G$2002,"NOK"))</f>
        <v/>
      </c>
      <c r="H57" s="39" t="str">
        <f aca="false">IF($A57="","",COUNTIFS('Lançar Resultado'!$A$3:$A$2002,$B57,'Lançar Resultado'!$B$3:$B$2002,$A57,'Lançar Resultado'!$G$3:$G$2002,"N/A"))</f>
        <v/>
      </c>
      <c r="I57" s="39" t="str">
        <f aca="false">IF($A57="","",IF($E57=0,"",SUMPRODUCT(MAX(('Lançar Resultado'!$A$3:$A$2002=$B57)*('Lançar Resultado'!$B$3:$B$2002=$A57)*'Lançar Resultado'!$R$3:$R$2002))))</f>
        <v/>
      </c>
      <c r="J57" s="39" t="str">
        <f aca="false">IF($A57="","",COUNTIFS('Lançar Resultado'!$A$3:$A$2002,$B57,'Lançar Resultado'!$B$3:$B$2002,$A57,'Lançar Resultado'!$O$3:$O$2002,"Sim"))</f>
        <v/>
      </c>
      <c r="K57" s="76" t="str">
        <f aca="false">IF($A57="","",COUNTIFS('Lançar Resultado'!$A$3:$A$2002,$B57,'Lançar Resultado'!$B$3:$B$2002,$A57,'Lançar Resultado'!$N$3:$N$2002,"Alta"))</f>
        <v/>
      </c>
      <c r="L57" s="76" t="str">
        <f aca="false">IF($A57="","",COUNTIFS('Lançar Resultado'!$A$3:$A$2002,$B57,'Lançar Resultado'!$B$3:$B$2002,$A57,'Lançar Resultado'!$P$3:$P$2002,10))</f>
        <v/>
      </c>
      <c r="M57" s="77" t="str">
        <f aca="false">IF($A57="","",IF(($F57+$G57)=0,"",$F57/($F57+$G57)*100))</f>
        <v/>
      </c>
    </row>
    <row r="58" customFormat="false" ht="18" hidden="false" customHeight="true" outlineLevel="0" collapsed="false">
      <c r="A58" s="75" t="str">
        <f aca="false">IF(Inspeções!$B58="","",Inspeções!$A58)</f>
        <v/>
      </c>
      <c r="B58" s="39" t="str">
        <f aca="false">IF($A58="","",Inspeções!$B58)</f>
        <v/>
      </c>
      <c r="C58" s="40" t="str">
        <f aca="false">IF($A58="","",Inspeções!$E58)</f>
        <v/>
      </c>
      <c r="D58" s="40" t="str">
        <f aca="false">IF($A58="","",Inspeções!$F58)</f>
        <v/>
      </c>
      <c r="E58" s="39" t="str">
        <f aca="false">IF($A58="","",COUNTIFS('Lançar Resultado'!$A$3:$A$2002,$B58,'Lançar Resultado'!$B$3:$B$2002,$A58))</f>
        <v/>
      </c>
      <c r="F58" s="39" t="str">
        <f aca="false">IF($A58="","",COUNTIFS('Lançar Resultado'!$A$3:$A$2002,$B58,'Lançar Resultado'!$B$3:$B$2002,$A58,'Lançar Resultado'!$G$3:$G$2002,"OK"))</f>
        <v/>
      </c>
      <c r="G58" s="39" t="str">
        <f aca="false">IF($A58="","",COUNTIFS('Lançar Resultado'!$A$3:$A$2002,$B58,'Lançar Resultado'!$B$3:$B$2002,$A58,'Lançar Resultado'!$G$3:$G$2002,"NOK"))</f>
        <v/>
      </c>
      <c r="H58" s="39" t="str">
        <f aca="false">IF($A58="","",COUNTIFS('Lançar Resultado'!$A$3:$A$2002,$B58,'Lançar Resultado'!$B$3:$B$2002,$A58,'Lançar Resultado'!$G$3:$G$2002,"N/A"))</f>
        <v/>
      </c>
      <c r="I58" s="39" t="str">
        <f aca="false">IF($A58="","",IF($E58=0,"",SUMPRODUCT(MAX(('Lançar Resultado'!$A$3:$A$2002=$B58)*('Lançar Resultado'!$B$3:$B$2002=$A58)*'Lançar Resultado'!$R$3:$R$2002))))</f>
        <v/>
      </c>
      <c r="J58" s="39" t="str">
        <f aca="false">IF($A58="","",COUNTIFS('Lançar Resultado'!$A$3:$A$2002,$B58,'Lançar Resultado'!$B$3:$B$2002,$A58,'Lançar Resultado'!$O$3:$O$2002,"Sim"))</f>
        <v/>
      </c>
      <c r="K58" s="76" t="str">
        <f aca="false">IF($A58="","",COUNTIFS('Lançar Resultado'!$A$3:$A$2002,$B58,'Lançar Resultado'!$B$3:$B$2002,$A58,'Lançar Resultado'!$N$3:$N$2002,"Alta"))</f>
        <v/>
      </c>
      <c r="L58" s="76" t="str">
        <f aca="false">IF($A58="","",COUNTIFS('Lançar Resultado'!$A$3:$A$2002,$B58,'Lançar Resultado'!$B$3:$B$2002,$A58,'Lançar Resultado'!$P$3:$P$2002,10))</f>
        <v/>
      </c>
      <c r="M58" s="77" t="str">
        <f aca="false">IF($A58="","",IF(($F58+$G58)=0,"",$F58/($F58+$G58)*100))</f>
        <v/>
      </c>
    </row>
    <row r="59" customFormat="false" ht="18" hidden="false" customHeight="true" outlineLevel="0" collapsed="false">
      <c r="A59" s="75" t="str">
        <f aca="false">IF(Inspeções!$B59="","",Inspeções!$A59)</f>
        <v/>
      </c>
      <c r="B59" s="39" t="str">
        <f aca="false">IF($A59="","",Inspeções!$B59)</f>
        <v/>
      </c>
      <c r="C59" s="40" t="str">
        <f aca="false">IF($A59="","",Inspeções!$E59)</f>
        <v/>
      </c>
      <c r="D59" s="40" t="str">
        <f aca="false">IF($A59="","",Inspeções!$F59)</f>
        <v/>
      </c>
      <c r="E59" s="39" t="str">
        <f aca="false">IF($A59="","",COUNTIFS('Lançar Resultado'!$A$3:$A$2002,$B59,'Lançar Resultado'!$B$3:$B$2002,$A59))</f>
        <v/>
      </c>
      <c r="F59" s="39" t="str">
        <f aca="false">IF($A59="","",COUNTIFS('Lançar Resultado'!$A$3:$A$2002,$B59,'Lançar Resultado'!$B$3:$B$2002,$A59,'Lançar Resultado'!$G$3:$G$2002,"OK"))</f>
        <v/>
      </c>
      <c r="G59" s="39" t="str">
        <f aca="false">IF($A59="","",COUNTIFS('Lançar Resultado'!$A$3:$A$2002,$B59,'Lançar Resultado'!$B$3:$B$2002,$A59,'Lançar Resultado'!$G$3:$G$2002,"NOK"))</f>
        <v/>
      </c>
      <c r="H59" s="39" t="str">
        <f aca="false">IF($A59="","",COUNTIFS('Lançar Resultado'!$A$3:$A$2002,$B59,'Lançar Resultado'!$B$3:$B$2002,$A59,'Lançar Resultado'!$G$3:$G$2002,"N/A"))</f>
        <v/>
      </c>
      <c r="I59" s="39" t="str">
        <f aca="false">IF($A59="","",IF($E59=0,"",SUMPRODUCT(MAX(('Lançar Resultado'!$A$3:$A$2002=$B59)*('Lançar Resultado'!$B$3:$B$2002=$A59)*'Lançar Resultado'!$R$3:$R$2002))))</f>
        <v/>
      </c>
      <c r="J59" s="39" t="str">
        <f aca="false">IF($A59="","",COUNTIFS('Lançar Resultado'!$A$3:$A$2002,$B59,'Lançar Resultado'!$B$3:$B$2002,$A59,'Lançar Resultado'!$O$3:$O$2002,"Sim"))</f>
        <v/>
      </c>
      <c r="K59" s="76" t="str">
        <f aca="false">IF($A59="","",COUNTIFS('Lançar Resultado'!$A$3:$A$2002,$B59,'Lançar Resultado'!$B$3:$B$2002,$A59,'Lançar Resultado'!$N$3:$N$2002,"Alta"))</f>
        <v/>
      </c>
      <c r="L59" s="76" t="str">
        <f aca="false">IF($A59="","",COUNTIFS('Lançar Resultado'!$A$3:$A$2002,$B59,'Lançar Resultado'!$B$3:$B$2002,$A59,'Lançar Resultado'!$P$3:$P$2002,10))</f>
        <v/>
      </c>
      <c r="M59" s="77" t="str">
        <f aca="false">IF($A59="","",IF(($F59+$G59)=0,"",$F59/($F59+$G59)*100))</f>
        <v/>
      </c>
    </row>
    <row r="60" customFormat="false" ht="18" hidden="false" customHeight="true" outlineLevel="0" collapsed="false">
      <c r="A60" s="75" t="str">
        <f aca="false">IF(Inspeções!$B60="","",Inspeções!$A60)</f>
        <v/>
      </c>
      <c r="B60" s="39" t="str">
        <f aca="false">IF($A60="","",Inspeções!$B60)</f>
        <v/>
      </c>
      <c r="C60" s="40" t="str">
        <f aca="false">IF($A60="","",Inspeções!$E60)</f>
        <v/>
      </c>
      <c r="D60" s="40" t="str">
        <f aca="false">IF($A60="","",Inspeções!$F60)</f>
        <v/>
      </c>
      <c r="E60" s="39" t="str">
        <f aca="false">IF($A60="","",COUNTIFS('Lançar Resultado'!$A$3:$A$2002,$B60,'Lançar Resultado'!$B$3:$B$2002,$A60))</f>
        <v/>
      </c>
      <c r="F60" s="39" t="str">
        <f aca="false">IF($A60="","",COUNTIFS('Lançar Resultado'!$A$3:$A$2002,$B60,'Lançar Resultado'!$B$3:$B$2002,$A60,'Lançar Resultado'!$G$3:$G$2002,"OK"))</f>
        <v/>
      </c>
      <c r="G60" s="39" t="str">
        <f aca="false">IF($A60="","",COUNTIFS('Lançar Resultado'!$A$3:$A$2002,$B60,'Lançar Resultado'!$B$3:$B$2002,$A60,'Lançar Resultado'!$G$3:$G$2002,"NOK"))</f>
        <v/>
      </c>
      <c r="H60" s="39" t="str">
        <f aca="false">IF($A60="","",COUNTIFS('Lançar Resultado'!$A$3:$A$2002,$B60,'Lançar Resultado'!$B$3:$B$2002,$A60,'Lançar Resultado'!$G$3:$G$2002,"N/A"))</f>
        <v/>
      </c>
      <c r="I60" s="39" t="str">
        <f aca="false">IF($A60="","",IF($E60=0,"",SUMPRODUCT(MAX(('Lançar Resultado'!$A$3:$A$2002=$B60)*('Lançar Resultado'!$B$3:$B$2002=$A60)*'Lançar Resultado'!$R$3:$R$2002))))</f>
        <v/>
      </c>
      <c r="J60" s="39" t="str">
        <f aca="false">IF($A60="","",COUNTIFS('Lançar Resultado'!$A$3:$A$2002,$B60,'Lançar Resultado'!$B$3:$B$2002,$A60,'Lançar Resultado'!$O$3:$O$2002,"Sim"))</f>
        <v/>
      </c>
      <c r="K60" s="76" t="str">
        <f aca="false">IF($A60="","",COUNTIFS('Lançar Resultado'!$A$3:$A$2002,$B60,'Lançar Resultado'!$B$3:$B$2002,$A60,'Lançar Resultado'!$N$3:$N$2002,"Alta"))</f>
        <v/>
      </c>
      <c r="L60" s="76" t="str">
        <f aca="false">IF($A60="","",COUNTIFS('Lançar Resultado'!$A$3:$A$2002,$B60,'Lançar Resultado'!$B$3:$B$2002,$A60,'Lançar Resultado'!$P$3:$P$2002,10))</f>
        <v/>
      </c>
      <c r="M60" s="77" t="str">
        <f aca="false">IF($A60="","",IF(($F60+$G60)=0,"",$F60/($F60+$G60)*100))</f>
        <v/>
      </c>
    </row>
    <row r="61" customFormat="false" ht="18" hidden="false" customHeight="true" outlineLevel="0" collapsed="false">
      <c r="A61" s="75" t="str">
        <f aca="false">IF(Inspeções!$B61="","",Inspeções!$A61)</f>
        <v/>
      </c>
      <c r="B61" s="39" t="str">
        <f aca="false">IF($A61="","",Inspeções!$B61)</f>
        <v/>
      </c>
      <c r="C61" s="40" t="str">
        <f aca="false">IF($A61="","",Inspeções!$E61)</f>
        <v/>
      </c>
      <c r="D61" s="40" t="str">
        <f aca="false">IF($A61="","",Inspeções!$F61)</f>
        <v/>
      </c>
      <c r="E61" s="39" t="str">
        <f aca="false">IF($A61="","",COUNTIFS('Lançar Resultado'!$A$3:$A$2002,$B61,'Lançar Resultado'!$B$3:$B$2002,$A61))</f>
        <v/>
      </c>
      <c r="F61" s="39" t="str">
        <f aca="false">IF($A61="","",COUNTIFS('Lançar Resultado'!$A$3:$A$2002,$B61,'Lançar Resultado'!$B$3:$B$2002,$A61,'Lançar Resultado'!$G$3:$G$2002,"OK"))</f>
        <v/>
      </c>
      <c r="G61" s="39" t="str">
        <f aca="false">IF($A61="","",COUNTIFS('Lançar Resultado'!$A$3:$A$2002,$B61,'Lançar Resultado'!$B$3:$B$2002,$A61,'Lançar Resultado'!$G$3:$G$2002,"NOK"))</f>
        <v/>
      </c>
      <c r="H61" s="39" t="str">
        <f aca="false">IF($A61="","",COUNTIFS('Lançar Resultado'!$A$3:$A$2002,$B61,'Lançar Resultado'!$B$3:$B$2002,$A61,'Lançar Resultado'!$G$3:$G$2002,"N/A"))</f>
        <v/>
      </c>
      <c r="I61" s="39" t="str">
        <f aca="false">IF($A61="","",IF($E61=0,"",SUMPRODUCT(MAX(('Lançar Resultado'!$A$3:$A$2002=$B61)*('Lançar Resultado'!$B$3:$B$2002=$A61)*'Lançar Resultado'!$R$3:$R$2002))))</f>
        <v/>
      </c>
      <c r="J61" s="39" t="str">
        <f aca="false">IF($A61="","",COUNTIFS('Lançar Resultado'!$A$3:$A$2002,$B61,'Lançar Resultado'!$B$3:$B$2002,$A61,'Lançar Resultado'!$O$3:$O$2002,"Sim"))</f>
        <v/>
      </c>
      <c r="K61" s="76" t="str">
        <f aca="false">IF($A61="","",COUNTIFS('Lançar Resultado'!$A$3:$A$2002,$B61,'Lançar Resultado'!$B$3:$B$2002,$A61,'Lançar Resultado'!$N$3:$N$2002,"Alta"))</f>
        <v/>
      </c>
      <c r="L61" s="76" t="str">
        <f aca="false">IF($A61="","",COUNTIFS('Lançar Resultado'!$A$3:$A$2002,$B61,'Lançar Resultado'!$B$3:$B$2002,$A61,'Lançar Resultado'!$P$3:$P$2002,10))</f>
        <v/>
      </c>
      <c r="M61" s="77" t="str">
        <f aca="false">IF($A61="","",IF(($F61+$G61)=0,"",$F61/($F61+$G61)*100))</f>
        <v/>
      </c>
    </row>
    <row r="62" customFormat="false" ht="18" hidden="false" customHeight="true" outlineLevel="0" collapsed="false">
      <c r="A62" s="75" t="str">
        <f aca="false">IF(Inspeções!$B62="","",Inspeções!$A62)</f>
        <v/>
      </c>
      <c r="B62" s="39" t="str">
        <f aca="false">IF($A62="","",Inspeções!$B62)</f>
        <v/>
      </c>
      <c r="C62" s="40" t="str">
        <f aca="false">IF($A62="","",Inspeções!$E62)</f>
        <v/>
      </c>
      <c r="D62" s="40" t="str">
        <f aca="false">IF($A62="","",Inspeções!$F62)</f>
        <v/>
      </c>
      <c r="E62" s="39" t="str">
        <f aca="false">IF($A62="","",COUNTIFS('Lançar Resultado'!$A$3:$A$2002,$B62,'Lançar Resultado'!$B$3:$B$2002,$A62))</f>
        <v/>
      </c>
      <c r="F62" s="39" t="str">
        <f aca="false">IF($A62="","",COUNTIFS('Lançar Resultado'!$A$3:$A$2002,$B62,'Lançar Resultado'!$B$3:$B$2002,$A62,'Lançar Resultado'!$G$3:$G$2002,"OK"))</f>
        <v/>
      </c>
      <c r="G62" s="39" t="str">
        <f aca="false">IF($A62="","",COUNTIFS('Lançar Resultado'!$A$3:$A$2002,$B62,'Lançar Resultado'!$B$3:$B$2002,$A62,'Lançar Resultado'!$G$3:$G$2002,"NOK"))</f>
        <v/>
      </c>
      <c r="H62" s="39" t="str">
        <f aca="false">IF($A62="","",COUNTIFS('Lançar Resultado'!$A$3:$A$2002,$B62,'Lançar Resultado'!$B$3:$B$2002,$A62,'Lançar Resultado'!$G$3:$G$2002,"N/A"))</f>
        <v/>
      </c>
      <c r="I62" s="39" t="str">
        <f aca="false">IF($A62="","",IF($E62=0,"",SUMPRODUCT(MAX(('Lançar Resultado'!$A$3:$A$2002=$B62)*('Lançar Resultado'!$B$3:$B$2002=$A62)*'Lançar Resultado'!$R$3:$R$2002))))</f>
        <v/>
      </c>
      <c r="J62" s="39" t="str">
        <f aca="false">IF($A62="","",COUNTIFS('Lançar Resultado'!$A$3:$A$2002,$B62,'Lançar Resultado'!$B$3:$B$2002,$A62,'Lançar Resultado'!$O$3:$O$2002,"Sim"))</f>
        <v/>
      </c>
      <c r="K62" s="76" t="str">
        <f aca="false">IF($A62="","",COUNTIFS('Lançar Resultado'!$A$3:$A$2002,$B62,'Lançar Resultado'!$B$3:$B$2002,$A62,'Lançar Resultado'!$N$3:$N$2002,"Alta"))</f>
        <v/>
      </c>
      <c r="L62" s="76" t="str">
        <f aca="false">IF($A62="","",COUNTIFS('Lançar Resultado'!$A$3:$A$2002,$B62,'Lançar Resultado'!$B$3:$B$2002,$A62,'Lançar Resultado'!$P$3:$P$2002,10))</f>
        <v/>
      </c>
      <c r="M62" s="77" t="str">
        <f aca="false">IF($A62="","",IF(($F62+$G62)=0,"",$F62/($F62+$G62)*100))</f>
        <v/>
      </c>
    </row>
    <row r="63" customFormat="false" ht="18" hidden="false" customHeight="true" outlineLevel="0" collapsed="false">
      <c r="A63" s="75" t="str">
        <f aca="false">IF(Inspeções!$B63="","",Inspeções!$A63)</f>
        <v/>
      </c>
      <c r="B63" s="39" t="str">
        <f aca="false">IF($A63="","",Inspeções!$B63)</f>
        <v/>
      </c>
      <c r="C63" s="40" t="str">
        <f aca="false">IF($A63="","",Inspeções!$E63)</f>
        <v/>
      </c>
      <c r="D63" s="40" t="str">
        <f aca="false">IF($A63="","",Inspeções!$F63)</f>
        <v/>
      </c>
      <c r="E63" s="39" t="str">
        <f aca="false">IF($A63="","",COUNTIFS('Lançar Resultado'!$A$3:$A$2002,$B63,'Lançar Resultado'!$B$3:$B$2002,$A63))</f>
        <v/>
      </c>
      <c r="F63" s="39" t="str">
        <f aca="false">IF($A63="","",COUNTIFS('Lançar Resultado'!$A$3:$A$2002,$B63,'Lançar Resultado'!$B$3:$B$2002,$A63,'Lançar Resultado'!$G$3:$G$2002,"OK"))</f>
        <v/>
      </c>
      <c r="G63" s="39" t="str">
        <f aca="false">IF($A63="","",COUNTIFS('Lançar Resultado'!$A$3:$A$2002,$B63,'Lançar Resultado'!$B$3:$B$2002,$A63,'Lançar Resultado'!$G$3:$G$2002,"NOK"))</f>
        <v/>
      </c>
      <c r="H63" s="39" t="str">
        <f aca="false">IF($A63="","",COUNTIFS('Lançar Resultado'!$A$3:$A$2002,$B63,'Lançar Resultado'!$B$3:$B$2002,$A63,'Lançar Resultado'!$G$3:$G$2002,"N/A"))</f>
        <v/>
      </c>
      <c r="I63" s="39" t="str">
        <f aca="false">IF($A63="","",IF($E63=0,"",SUMPRODUCT(MAX(('Lançar Resultado'!$A$3:$A$2002=$B63)*('Lançar Resultado'!$B$3:$B$2002=$A63)*'Lançar Resultado'!$R$3:$R$2002))))</f>
        <v/>
      </c>
      <c r="J63" s="39" t="str">
        <f aca="false">IF($A63="","",COUNTIFS('Lançar Resultado'!$A$3:$A$2002,$B63,'Lançar Resultado'!$B$3:$B$2002,$A63,'Lançar Resultado'!$O$3:$O$2002,"Sim"))</f>
        <v/>
      </c>
      <c r="K63" s="76" t="str">
        <f aca="false">IF($A63="","",COUNTIFS('Lançar Resultado'!$A$3:$A$2002,$B63,'Lançar Resultado'!$B$3:$B$2002,$A63,'Lançar Resultado'!$N$3:$N$2002,"Alta"))</f>
        <v/>
      </c>
      <c r="L63" s="76" t="str">
        <f aca="false">IF($A63="","",COUNTIFS('Lançar Resultado'!$A$3:$A$2002,$B63,'Lançar Resultado'!$B$3:$B$2002,$A63,'Lançar Resultado'!$P$3:$P$2002,10))</f>
        <v/>
      </c>
      <c r="M63" s="77" t="str">
        <f aca="false">IF($A63="","",IF(($F63+$G63)=0,"",$F63/($F63+$G63)*100))</f>
        <v/>
      </c>
    </row>
    <row r="64" customFormat="false" ht="18" hidden="false" customHeight="true" outlineLevel="0" collapsed="false">
      <c r="A64" s="75" t="str">
        <f aca="false">IF(Inspeções!$B64="","",Inspeções!$A64)</f>
        <v/>
      </c>
      <c r="B64" s="39" t="str">
        <f aca="false">IF($A64="","",Inspeções!$B64)</f>
        <v/>
      </c>
      <c r="C64" s="40" t="str">
        <f aca="false">IF($A64="","",Inspeções!$E64)</f>
        <v/>
      </c>
      <c r="D64" s="40" t="str">
        <f aca="false">IF($A64="","",Inspeções!$F64)</f>
        <v/>
      </c>
      <c r="E64" s="39" t="str">
        <f aca="false">IF($A64="","",COUNTIFS('Lançar Resultado'!$A$3:$A$2002,$B64,'Lançar Resultado'!$B$3:$B$2002,$A64))</f>
        <v/>
      </c>
      <c r="F64" s="39" t="str">
        <f aca="false">IF($A64="","",COUNTIFS('Lançar Resultado'!$A$3:$A$2002,$B64,'Lançar Resultado'!$B$3:$B$2002,$A64,'Lançar Resultado'!$G$3:$G$2002,"OK"))</f>
        <v/>
      </c>
      <c r="G64" s="39" t="str">
        <f aca="false">IF($A64="","",COUNTIFS('Lançar Resultado'!$A$3:$A$2002,$B64,'Lançar Resultado'!$B$3:$B$2002,$A64,'Lançar Resultado'!$G$3:$G$2002,"NOK"))</f>
        <v/>
      </c>
      <c r="H64" s="39" t="str">
        <f aca="false">IF($A64="","",COUNTIFS('Lançar Resultado'!$A$3:$A$2002,$B64,'Lançar Resultado'!$B$3:$B$2002,$A64,'Lançar Resultado'!$G$3:$G$2002,"N/A"))</f>
        <v/>
      </c>
      <c r="I64" s="39" t="str">
        <f aca="false">IF($A64="","",IF($E64=0,"",SUMPRODUCT(MAX(('Lançar Resultado'!$A$3:$A$2002=$B64)*('Lançar Resultado'!$B$3:$B$2002=$A64)*'Lançar Resultado'!$R$3:$R$2002))))</f>
        <v/>
      </c>
      <c r="J64" s="39" t="str">
        <f aca="false">IF($A64="","",COUNTIFS('Lançar Resultado'!$A$3:$A$2002,$B64,'Lançar Resultado'!$B$3:$B$2002,$A64,'Lançar Resultado'!$O$3:$O$2002,"Sim"))</f>
        <v/>
      </c>
      <c r="K64" s="76" t="str">
        <f aca="false">IF($A64="","",COUNTIFS('Lançar Resultado'!$A$3:$A$2002,$B64,'Lançar Resultado'!$B$3:$B$2002,$A64,'Lançar Resultado'!$N$3:$N$2002,"Alta"))</f>
        <v/>
      </c>
      <c r="L64" s="76" t="str">
        <f aca="false">IF($A64="","",COUNTIFS('Lançar Resultado'!$A$3:$A$2002,$B64,'Lançar Resultado'!$B$3:$B$2002,$A64,'Lançar Resultado'!$P$3:$P$2002,10))</f>
        <v/>
      </c>
      <c r="M64" s="77" t="str">
        <f aca="false">IF($A64="","",IF(($F64+$G64)=0,"",$F64/($F64+$G64)*100))</f>
        <v/>
      </c>
    </row>
    <row r="65" customFormat="false" ht="18" hidden="false" customHeight="true" outlineLevel="0" collapsed="false">
      <c r="A65" s="75" t="str">
        <f aca="false">IF(Inspeções!$B65="","",Inspeções!$A65)</f>
        <v/>
      </c>
      <c r="B65" s="39" t="str">
        <f aca="false">IF($A65="","",Inspeções!$B65)</f>
        <v/>
      </c>
      <c r="C65" s="40" t="str">
        <f aca="false">IF($A65="","",Inspeções!$E65)</f>
        <v/>
      </c>
      <c r="D65" s="40" t="str">
        <f aca="false">IF($A65="","",Inspeções!$F65)</f>
        <v/>
      </c>
      <c r="E65" s="39" t="str">
        <f aca="false">IF($A65="","",COUNTIFS('Lançar Resultado'!$A$3:$A$2002,$B65,'Lançar Resultado'!$B$3:$B$2002,$A65))</f>
        <v/>
      </c>
      <c r="F65" s="39" t="str">
        <f aca="false">IF($A65="","",COUNTIFS('Lançar Resultado'!$A$3:$A$2002,$B65,'Lançar Resultado'!$B$3:$B$2002,$A65,'Lançar Resultado'!$G$3:$G$2002,"OK"))</f>
        <v/>
      </c>
      <c r="G65" s="39" t="str">
        <f aca="false">IF($A65="","",COUNTIFS('Lançar Resultado'!$A$3:$A$2002,$B65,'Lançar Resultado'!$B$3:$B$2002,$A65,'Lançar Resultado'!$G$3:$G$2002,"NOK"))</f>
        <v/>
      </c>
      <c r="H65" s="39" t="str">
        <f aca="false">IF($A65="","",COUNTIFS('Lançar Resultado'!$A$3:$A$2002,$B65,'Lançar Resultado'!$B$3:$B$2002,$A65,'Lançar Resultado'!$G$3:$G$2002,"N/A"))</f>
        <v/>
      </c>
      <c r="I65" s="39" t="str">
        <f aca="false">IF($A65="","",IF($E65=0,"",SUMPRODUCT(MAX(('Lançar Resultado'!$A$3:$A$2002=$B65)*('Lançar Resultado'!$B$3:$B$2002=$A65)*'Lançar Resultado'!$R$3:$R$2002))))</f>
        <v/>
      </c>
      <c r="J65" s="39" t="str">
        <f aca="false">IF($A65="","",COUNTIFS('Lançar Resultado'!$A$3:$A$2002,$B65,'Lançar Resultado'!$B$3:$B$2002,$A65,'Lançar Resultado'!$O$3:$O$2002,"Sim"))</f>
        <v/>
      </c>
      <c r="K65" s="76" t="str">
        <f aca="false">IF($A65="","",COUNTIFS('Lançar Resultado'!$A$3:$A$2002,$B65,'Lançar Resultado'!$B$3:$B$2002,$A65,'Lançar Resultado'!$N$3:$N$2002,"Alta"))</f>
        <v/>
      </c>
      <c r="L65" s="76" t="str">
        <f aca="false">IF($A65="","",COUNTIFS('Lançar Resultado'!$A$3:$A$2002,$B65,'Lançar Resultado'!$B$3:$B$2002,$A65,'Lançar Resultado'!$P$3:$P$2002,10))</f>
        <v/>
      </c>
      <c r="M65" s="77" t="str">
        <f aca="false">IF($A65="","",IF(($F65+$G65)=0,"",$F65/($F65+$G65)*100))</f>
        <v/>
      </c>
    </row>
    <row r="66" customFormat="false" ht="18" hidden="false" customHeight="true" outlineLevel="0" collapsed="false">
      <c r="A66" s="75" t="str">
        <f aca="false">IF(Inspeções!$B66="","",Inspeções!$A66)</f>
        <v/>
      </c>
      <c r="B66" s="39" t="str">
        <f aca="false">IF($A66="","",Inspeções!$B66)</f>
        <v/>
      </c>
      <c r="C66" s="40" t="str">
        <f aca="false">IF($A66="","",Inspeções!$E66)</f>
        <v/>
      </c>
      <c r="D66" s="40" t="str">
        <f aca="false">IF($A66="","",Inspeções!$F66)</f>
        <v/>
      </c>
      <c r="E66" s="39" t="str">
        <f aca="false">IF($A66="","",COUNTIFS('Lançar Resultado'!$A$3:$A$2002,$B66,'Lançar Resultado'!$B$3:$B$2002,$A66))</f>
        <v/>
      </c>
      <c r="F66" s="39" t="str">
        <f aca="false">IF($A66="","",COUNTIFS('Lançar Resultado'!$A$3:$A$2002,$B66,'Lançar Resultado'!$B$3:$B$2002,$A66,'Lançar Resultado'!$G$3:$G$2002,"OK"))</f>
        <v/>
      </c>
      <c r="G66" s="39" t="str">
        <f aca="false">IF($A66="","",COUNTIFS('Lançar Resultado'!$A$3:$A$2002,$B66,'Lançar Resultado'!$B$3:$B$2002,$A66,'Lançar Resultado'!$G$3:$G$2002,"NOK"))</f>
        <v/>
      </c>
      <c r="H66" s="39" t="str">
        <f aca="false">IF($A66="","",COUNTIFS('Lançar Resultado'!$A$3:$A$2002,$B66,'Lançar Resultado'!$B$3:$B$2002,$A66,'Lançar Resultado'!$G$3:$G$2002,"N/A"))</f>
        <v/>
      </c>
      <c r="I66" s="39" t="str">
        <f aca="false">IF($A66="","",IF($E66=0,"",SUMPRODUCT(MAX(('Lançar Resultado'!$A$3:$A$2002=$B66)*('Lançar Resultado'!$B$3:$B$2002=$A66)*'Lançar Resultado'!$R$3:$R$2002))))</f>
        <v/>
      </c>
      <c r="J66" s="39" t="str">
        <f aca="false">IF($A66="","",COUNTIFS('Lançar Resultado'!$A$3:$A$2002,$B66,'Lançar Resultado'!$B$3:$B$2002,$A66,'Lançar Resultado'!$O$3:$O$2002,"Sim"))</f>
        <v/>
      </c>
      <c r="K66" s="76" t="str">
        <f aca="false">IF($A66="","",COUNTIFS('Lançar Resultado'!$A$3:$A$2002,$B66,'Lançar Resultado'!$B$3:$B$2002,$A66,'Lançar Resultado'!$N$3:$N$2002,"Alta"))</f>
        <v/>
      </c>
      <c r="L66" s="76" t="str">
        <f aca="false">IF($A66="","",COUNTIFS('Lançar Resultado'!$A$3:$A$2002,$B66,'Lançar Resultado'!$B$3:$B$2002,$A66,'Lançar Resultado'!$P$3:$P$2002,10))</f>
        <v/>
      </c>
      <c r="M66" s="77" t="str">
        <f aca="false">IF($A66="","",IF(($F66+$G66)=0,"",$F66/($F66+$G66)*100))</f>
        <v/>
      </c>
    </row>
    <row r="67" customFormat="false" ht="18" hidden="false" customHeight="true" outlineLevel="0" collapsed="false">
      <c r="A67" s="75" t="str">
        <f aca="false">IF(Inspeções!$B67="","",Inspeções!$A67)</f>
        <v/>
      </c>
      <c r="B67" s="39" t="str">
        <f aca="false">IF($A67="","",Inspeções!$B67)</f>
        <v/>
      </c>
      <c r="C67" s="40" t="str">
        <f aca="false">IF($A67="","",Inspeções!$E67)</f>
        <v/>
      </c>
      <c r="D67" s="40" t="str">
        <f aca="false">IF($A67="","",Inspeções!$F67)</f>
        <v/>
      </c>
      <c r="E67" s="39" t="str">
        <f aca="false">IF($A67="","",COUNTIFS('Lançar Resultado'!$A$3:$A$2002,$B67,'Lançar Resultado'!$B$3:$B$2002,$A67))</f>
        <v/>
      </c>
      <c r="F67" s="39" t="str">
        <f aca="false">IF($A67="","",COUNTIFS('Lançar Resultado'!$A$3:$A$2002,$B67,'Lançar Resultado'!$B$3:$B$2002,$A67,'Lançar Resultado'!$G$3:$G$2002,"OK"))</f>
        <v/>
      </c>
      <c r="G67" s="39" t="str">
        <f aca="false">IF($A67="","",COUNTIFS('Lançar Resultado'!$A$3:$A$2002,$B67,'Lançar Resultado'!$B$3:$B$2002,$A67,'Lançar Resultado'!$G$3:$G$2002,"NOK"))</f>
        <v/>
      </c>
      <c r="H67" s="39" t="str">
        <f aca="false">IF($A67="","",COUNTIFS('Lançar Resultado'!$A$3:$A$2002,$B67,'Lançar Resultado'!$B$3:$B$2002,$A67,'Lançar Resultado'!$G$3:$G$2002,"N/A"))</f>
        <v/>
      </c>
      <c r="I67" s="39" t="str">
        <f aca="false">IF($A67="","",IF($E67=0,"",SUMPRODUCT(MAX(('Lançar Resultado'!$A$3:$A$2002=$B67)*('Lançar Resultado'!$B$3:$B$2002=$A67)*'Lançar Resultado'!$R$3:$R$2002))))</f>
        <v/>
      </c>
      <c r="J67" s="39" t="str">
        <f aca="false">IF($A67="","",COUNTIFS('Lançar Resultado'!$A$3:$A$2002,$B67,'Lançar Resultado'!$B$3:$B$2002,$A67,'Lançar Resultado'!$O$3:$O$2002,"Sim"))</f>
        <v/>
      </c>
      <c r="K67" s="76" t="str">
        <f aca="false">IF($A67="","",COUNTIFS('Lançar Resultado'!$A$3:$A$2002,$B67,'Lançar Resultado'!$B$3:$B$2002,$A67,'Lançar Resultado'!$N$3:$N$2002,"Alta"))</f>
        <v/>
      </c>
      <c r="L67" s="76" t="str">
        <f aca="false">IF($A67="","",COUNTIFS('Lançar Resultado'!$A$3:$A$2002,$B67,'Lançar Resultado'!$B$3:$B$2002,$A67,'Lançar Resultado'!$P$3:$P$2002,10))</f>
        <v/>
      </c>
      <c r="M67" s="77" t="str">
        <f aca="false">IF($A67="","",IF(($F67+$G67)=0,"",$F67/($F67+$G67)*100))</f>
        <v/>
      </c>
    </row>
    <row r="68" customFormat="false" ht="18" hidden="false" customHeight="true" outlineLevel="0" collapsed="false">
      <c r="A68" s="75" t="str">
        <f aca="false">IF(Inspeções!$B68="","",Inspeções!$A68)</f>
        <v/>
      </c>
      <c r="B68" s="39" t="str">
        <f aca="false">IF($A68="","",Inspeções!$B68)</f>
        <v/>
      </c>
      <c r="C68" s="40" t="str">
        <f aca="false">IF($A68="","",Inspeções!$E68)</f>
        <v/>
      </c>
      <c r="D68" s="40" t="str">
        <f aca="false">IF($A68="","",Inspeções!$F68)</f>
        <v/>
      </c>
      <c r="E68" s="39" t="str">
        <f aca="false">IF($A68="","",COUNTIFS('Lançar Resultado'!$A$3:$A$2002,$B68,'Lançar Resultado'!$B$3:$B$2002,$A68))</f>
        <v/>
      </c>
      <c r="F68" s="39" t="str">
        <f aca="false">IF($A68="","",COUNTIFS('Lançar Resultado'!$A$3:$A$2002,$B68,'Lançar Resultado'!$B$3:$B$2002,$A68,'Lançar Resultado'!$G$3:$G$2002,"OK"))</f>
        <v/>
      </c>
      <c r="G68" s="39" t="str">
        <f aca="false">IF($A68="","",COUNTIFS('Lançar Resultado'!$A$3:$A$2002,$B68,'Lançar Resultado'!$B$3:$B$2002,$A68,'Lançar Resultado'!$G$3:$G$2002,"NOK"))</f>
        <v/>
      </c>
      <c r="H68" s="39" t="str">
        <f aca="false">IF($A68="","",COUNTIFS('Lançar Resultado'!$A$3:$A$2002,$B68,'Lançar Resultado'!$B$3:$B$2002,$A68,'Lançar Resultado'!$G$3:$G$2002,"N/A"))</f>
        <v/>
      </c>
      <c r="I68" s="39" t="str">
        <f aca="false">IF($A68="","",IF($E68=0,"",SUMPRODUCT(MAX(('Lançar Resultado'!$A$3:$A$2002=$B68)*('Lançar Resultado'!$B$3:$B$2002=$A68)*'Lançar Resultado'!$R$3:$R$2002))))</f>
        <v/>
      </c>
      <c r="J68" s="39" t="str">
        <f aca="false">IF($A68="","",COUNTIFS('Lançar Resultado'!$A$3:$A$2002,$B68,'Lançar Resultado'!$B$3:$B$2002,$A68,'Lançar Resultado'!$O$3:$O$2002,"Sim"))</f>
        <v/>
      </c>
      <c r="K68" s="76" t="str">
        <f aca="false">IF($A68="","",COUNTIFS('Lançar Resultado'!$A$3:$A$2002,$B68,'Lançar Resultado'!$B$3:$B$2002,$A68,'Lançar Resultado'!$N$3:$N$2002,"Alta"))</f>
        <v/>
      </c>
      <c r="L68" s="76" t="str">
        <f aca="false">IF($A68="","",COUNTIFS('Lançar Resultado'!$A$3:$A$2002,$B68,'Lançar Resultado'!$B$3:$B$2002,$A68,'Lançar Resultado'!$P$3:$P$2002,10))</f>
        <v/>
      </c>
      <c r="M68" s="77" t="str">
        <f aca="false">IF($A68="","",IF(($F68+$G68)=0,"",$F68/($F68+$G68)*100))</f>
        <v/>
      </c>
    </row>
    <row r="69" customFormat="false" ht="18" hidden="false" customHeight="true" outlineLevel="0" collapsed="false">
      <c r="A69" s="75" t="str">
        <f aca="false">IF(Inspeções!$B69="","",Inspeções!$A69)</f>
        <v/>
      </c>
      <c r="B69" s="39" t="str">
        <f aca="false">IF($A69="","",Inspeções!$B69)</f>
        <v/>
      </c>
      <c r="C69" s="40" t="str">
        <f aca="false">IF($A69="","",Inspeções!$E69)</f>
        <v/>
      </c>
      <c r="D69" s="40" t="str">
        <f aca="false">IF($A69="","",Inspeções!$F69)</f>
        <v/>
      </c>
      <c r="E69" s="39" t="str">
        <f aca="false">IF($A69="","",COUNTIFS('Lançar Resultado'!$A$3:$A$2002,$B69,'Lançar Resultado'!$B$3:$B$2002,$A69))</f>
        <v/>
      </c>
      <c r="F69" s="39" t="str">
        <f aca="false">IF($A69="","",COUNTIFS('Lançar Resultado'!$A$3:$A$2002,$B69,'Lançar Resultado'!$B$3:$B$2002,$A69,'Lançar Resultado'!$G$3:$G$2002,"OK"))</f>
        <v/>
      </c>
      <c r="G69" s="39" t="str">
        <f aca="false">IF($A69="","",COUNTIFS('Lançar Resultado'!$A$3:$A$2002,$B69,'Lançar Resultado'!$B$3:$B$2002,$A69,'Lançar Resultado'!$G$3:$G$2002,"NOK"))</f>
        <v/>
      </c>
      <c r="H69" s="39" t="str">
        <f aca="false">IF($A69="","",COUNTIFS('Lançar Resultado'!$A$3:$A$2002,$B69,'Lançar Resultado'!$B$3:$B$2002,$A69,'Lançar Resultado'!$G$3:$G$2002,"N/A"))</f>
        <v/>
      </c>
      <c r="I69" s="39" t="str">
        <f aca="false">IF($A69="","",IF($E69=0,"",SUMPRODUCT(MAX(('Lançar Resultado'!$A$3:$A$2002=$B69)*('Lançar Resultado'!$B$3:$B$2002=$A69)*'Lançar Resultado'!$R$3:$R$2002))))</f>
        <v/>
      </c>
      <c r="J69" s="39" t="str">
        <f aca="false">IF($A69="","",COUNTIFS('Lançar Resultado'!$A$3:$A$2002,$B69,'Lançar Resultado'!$B$3:$B$2002,$A69,'Lançar Resultado'!$O$3:$O$2002,"Sim"))</f>
        <v/>
      </c>
      <c r="K69" s="76" t="str">
        <f aca="false">IF($A69="","",COUNTIFS('Lançar Resultado'!$A$3:$A$2002,$B69,'Lançar Resultado'!$B$3:$B$2002,$A69,'Lançar Resultado'!$N$3:$N$2002,"Alta"))</f>
        <v/>
      </c>
      <c r="L69" s="76" t="str">
        <f aca="false">IF($A69="","",COUNTIFS('Lançar Resultado'!$A$3:$A$2002,$B69,'Lançar Resultado'!$B$3:$B$2002,$A69,'Lançar Resultado'!$P$3:$P$2002,10))</f>
        <v/>
      </c>
      <c r="M69" s="77" t="str">
        <f aca="false">IF($A69="","",IF(($F69+$G69)=0,"",$F69/($F69+$G69)*100))</f>
        <v/>
      </c>
    </row>
    <row r="70" customFormat="false" ht="18" hidden="false" customHeight="true" outlineLevel="0" collapsed="false">
      <c r="A70" s="75" t="str">
        <f aca="false">IF(Inspeções!$B70="","",Inspeções!$A70)</f>
        <v/>
      </c>
      <c r="B70" s="39" t="str">
        <f aca="false">IF($A70="","",Inspeções!$B70)</f>
        <v/>
      </c>
      <c r="C70" s="40" t="str">
        <f aca="false">IF($A70="","",Inspeções!$E70)</f>
        <v/>
      </c>
      <c r="D70" s="40" t="str">
        <f aca="false">IF($A70="","",Inspeções!$F70)</f>
        <v/>
      </c>
      <c r="E70" s="39" t="str">
        <f aca="false">IF($A70="","",COUNTIFS('Lançar Resultado'!$A$3:$A$2002,$B70,'Lançar Resultado'!$B$3:$B$2002,$A70))</f>
        <v/>
      </c>
      <c r="F70" s="39" t="str">
        <f aca="false">IF($A70="","",COUNTIFS('Lançar Resultado'!$A$3:$A$2002,$B70,'Lançar Resultado'!$B$3:$B$2002,$A70,'Lançar Resultado'!$G$3:$G$2002,"OK"))</f>
        <v/>
      </c>
      <c r="G70" s="39" t="str">
        <f aca="false">IF($A70="","",COUNTIFS('Lançar Resultado'!$A$3:$A$2002,$B70,'Lançar Resultado'!$B$3:$B$2002,$A70,'Lançar Resultado'!$G$3:$G$2002,"NOK"))</f>
        <v/>
      </c>
      <c r="H70" s="39" t="str">
        <f aca="false">IF($A70="","",COUNTIFS('Lançar Resultado'!$A$3:$A$2002,$B70,'Lançar Resultado'!$B$3:$B$2002,$A70,'Lançar Resultado'!$G$3:$G$2002,"N/A"))</f>
        <v/>
      </c>
      <c r="I70" s="39" t="str">
        <f aca="false">IF($A70="","",IF($E70=0,"",SUMPRODUCT(MAX(('Lançar Resultado'!$A$3:$A$2002=$B70)*('Lançar Resultado'!$B$3:$B$2002=$A70)*'Lançar Resultado'!$R$3:$R$2002))))</f>
        <v/>
      </c>
      <c r="J70" s="39" t="str">
        <f aca="false">IF($A70="","",COUNTIFS('Lançar Resultado'!$A$3:$A$2002,$B70,'Lançar Resultado'!$B$3:$B$2002,$A70,'Lançar Resultado'!$O$3:$O$2002,"Sim"))</f>
        <v/>
      </c>
      <c r="K70" s="76" t="str">
        <f aca="false">IF($A70="","",COUNTIFS('Lançar Resultado'!$A$3:$A$2002,$B70,'Lançar Resultado'!$B$3:$B$2002,$A70,'Lançar Resultado'!$N$3:$N$2002,"Alta"))</f>
        <v/>
      </c>
      <c r="L70" s="76" t="str">
        <f aca="false">IF($A70="","",COUNTIFS('Lançar Resultado'!$A$3:$A$2002,$B70,'Lançar Resultado'!$B$3:$B$2002,$A70,'Lançar Resultado'!$P$3:$P$2002,10))</f>
        <v/>
      </c>
      <c r="M70" s="77" t="str">
        <f aca="false">IF($A70="","",IF(($F70+$G70)=0,"",$F70/($F70+$G70)*100))</f>
        <v/>
      </c>
    </row>
    <row r="71" customFormat="false" ht="18" hidden="false" customHeight="true" outlineLevel="0" collapsed="false">
      <c r="A71" s="75" t="str">
        <f aca="false">IF(Inspeções!$B71="","",Inspeções!$A71)</f>
        <v/>
      </c>
      <c r="B71" s="39" t="str">
        <f aca="false">IF($A71="","",Inspeções!$B71)</f>
        <v/>
      </c>
      <c r="C71" s="40" t="str">
        <f aca="false">IF($A71="","",Inspeções!$E71)</f>
        <v/>
      </c>
      <c r="D71" s="40" t="str">
        <f aca="false">IF($A71="","",Inspeções!$F71)</f>
        <v/>
      </c>
      <c r="E71" s="39" t="str">
        <f aca="false">IF($A71="","",COUNTIFS('Lançar Resultado'!$A$3:$A$2002,$B71,'Lançar Resultado'!$B$3:$B$2002,$A71))</f>
        <v/>
      </c>
      <c r="F71" s="39" t="str">
        <f aca="false">IF($A71="","",COUNTIFS('Lançar Resultado'!$A$3:$A$2002,$B71,'Lançar Resultado'!$B$3:$B$2002,$A71,'Lançar Resultado'!$G$3:$G$2002,"OK"))</f>
        <v/>
      </c>
      <c r="G71" s="39" t="str">
        <f aca="false">IF($A71="","",COUNTIFS('Lançar Resultado'!$A$3:$A$2002,$B71,'Lançar Resultado'!$B$3:$B$2002,$A71,'Lançar Resultado'!$G$3:$G$2002,"NOK"))</f>
        <v/>
      </c>
      <c r="H71" s="39" t="str">
        <f aca="false">IF($A71="","",COUNTIFS('Lançar Resultado'!$A$3:$A$2002,$B71,'Lançar Resultado'!$B$3:$B$2002,$A71,'Lançar Resultado'!$G$3:$G$2002,"N/A"))</f>
        <v/>
      </c>
      <c r="I71" s="39" t="str">
        <f aca="false">IF($A71="","",IF($E71=0,"",SUMPRODUCT(MAX(('Lançar Resultado'!$A$3:$A$2002=$B71)*('Lançar Resultado'!$B$3:$B$2002=$A71)*'Lançar Resultado'!$R$3:$R$2002))))</f>
        <v/>
      </c>
      <c r="J71" s="39" t="str">
        <f aca="false">IF($A71="","",COUNTIFS('Lançar Resultado'!$A$3:$A$2002,$B71,'Lançar Resultado'!$B$3:$B$2002,$A71,'Lançar Resultado'!$O$3:$O$2002,"Sim"))</f>
        <v/>
      </c>
      <c r="K71" s="76" t="str">
        <f aca="false">IF($A71="","",COUNTIFS('Lançar Resultado'!$A$3:$A$2002,$B71,'Lançar Resultado'!$B$3:$B$2002,$A71,'Lançar Resultado'!$N$3:$N$2002,"Alta"))</f>
        <v/>
      </c>
      <c r="L71" s="76" t="str">
        <f aca="false">IF($A71="","",COUNTIFS('Lançar Resultado'!$A$3:$A$2002,$B71,'Lançar Resultado'!$B$3:$B$2002,$A71,'Lançar Resultado'!$P$3:$P$2002,10))</f>
        <v/>
      </c>
      <c r="M71" s="77" t="str">
        <f aca="false">IF($A71="","",IF(($F71+$G71)=0,"",$F71/($F71+$G71)*100))</f>
        <v/>
      </c>
    </row>
    <row r="72" customFormat="false" ht="18" hidden="false" customHeight="true" outlineLevel="0" collapsed="false">
      <c r="A72" s="75" t="str">
        <f aca="false">IF(Inspeções!$B72="","",Inspeções!$A72)</f>
        <v/>
      </c>
      <c r="B72" s="39" t="str">
        <f aca="false">IF($A72="","",Inspeções!$B72)</f>
        <v/>
      </c>
      <c r="C72" s="40" t="str">
        <f aca="false">IF($A72="","",Inspeções!$E72)</f>
        <v/>
      </c>
      <c r="D72" s="40" t="str">
        <f aca="false">IF($A72="","",Inspeções!$F72)</f>
        <v/>
      </c>
      <c r="E72" s="39" t="str">
        <f aca="false">IF($A72="","",COUNTIFS('Lançar Resultado'!$A$3:$A$2002,$B72,'Lançar Resultado'!$B$3:$B$2002,$A72))</f>
        <v/>
      </c>
      <c r="F72" s="39" t="str">
        <f aca="false">IF($A72="","",COUNTIFS('Lançar Resultado'!$A$3:$A$2002,$B72,'Lançar Resultado'!$B$3:$B$2002,$A72,'Lançar Resultado'!$G$3:$G$2002,"OK"))</f>
        <v/>
      </c>
      <c r="G72" s="39" t="str">
        <f aca="false">IF($A72="","",COUNTIFS('Lançar Resultado'!$A$3:$A$2002,$B72,'Lançar Resultado'!$B$3:$B$2002,$A72,'Lançar Resultado'!$G$3:$G$2002,"NOK"))</f>
        <v/>
      </c>
      <c r="H72" s="39" t="str">
        <f aca="false">IF($A72="","",COUNTIFS('Lançar Resultado'!$A$3:$A$2002,$B72,'Lançar Resultado'!$B$3:$B$2002,$A72,'Lançar Resultado'!$G$3:$G$2002,"N/A"))</f>
        <v/>
      </c>
      <c r="I72" s="39" t="str">
        <f aca="false">IF($A72="","",IF($E72=0,"",SUMPRODUCT(MAX(('Lançar Resultado'!$A$3:$A$2002=$B72)*('Lançar Resultado'!$B$3:$B$2002=$A72)*'Lançar Resultado'!$R$3:$R$2002))))</f>
        <v/>
      </c>
      <c r="J72" s="39" t="str">
        <f aca="false">IF($A72="","",COUNTIFS('Lançar Resultado'!$A$3:$A$2002,$B72,'Lançar Resultado'!$B$3:$B$2002,$A72,'Lançar Resultado'!$O$3:$O$2002,"Sim"))</f>
        <v/>
      </c>
      <c r="K72" s="76" t="str">
        <f aca="false">IF($A72="","",COUNTIFS('Lançar Resultado'!$A$3:$A$2002,$B72,'Lançar Resultado'!$B$3:$B$2002,$A72,'Lançar Resultado'!$N$3:$N$2002,"Alta"))</f>
        <v/>
      </c>
      <c r="L72" s="76" t="str">
        <f aca="false">IF($A72="","",COUNTIFS('Lançar Resultado'!$A$3:$A$2002,$B72,'Lançar Resultado'!$B$3:$B$2002,$A72,'Lançar Resultado'!$P$3:$P$2002,10))</f>
        <v/>
      </c>
      <c r="M72" s="77" t="str">
        <f aca="false">IF($A72="","",IF(($F72+$G72)=0,"",$F72/($F72+$G72)*100))</f>
        <v/>
      </c>
    </row>
    <row r="73" customFormat="false" ht="18" hidden="false" customHeight="true" outlineLevel="0" collapsed="false">
      <c r="A73" s="75" t="str">
        <f aca="false">IF(Inspeções!$B73="","",Inspeções!$A73)</f>
        <v/>
      </c>
      <c r="B73" s="39" t="str">
        <f aca="false">IF($A73="","",Inspeções!$B73)</f>
        <v/>
      </c>
      <c r="C73" s="40" t="str">
        <f aca="false">IF($A73="","",Inspeções!$E73)</f>
        <v/>
      </c>
      <c r="D73" s="40" t="str">
        <f aca="false">IF($A73="","",Inspeções!$F73)</f>
        <v/>
      </c>
      <c r="E73" s="39" t="str">
        <f aca="false">IF($A73="","",COUNTIFS('Lançar Resultado'!$A$3:$A$2002,$B73,'Lançar Resultado'!$B$3:$B$2002,$A73))</f>
        <v/>
      </c>
      <c r="F73" s="39" t="str">
        <f aca="false">IF($A73="","",COUNTIFS('Lançar Resultado'!$A$3:$A$2002,$B73,'Lançar Resultado'!$B$3:$B$2002,$A73,'Lançar Resultado'!$G$3:$G$2002,"OK"))</f>
        <v/>
      </c>
      <c r="G73" s="39" t="str">
        <f aca="false">IF($A73="","",COUNTIFS('Lançar Resultado'!$A$3:$A$2002,$B73,'Lançar Resultado'!$B$3:$B$2002,$A73,'Lançar Resultado'!$G$3:$G$2002,"NOK"))</f>
        <v/>
      </c>
      <c r="H73" s="39" t="str">
        <f aca="false">IF($A73="","",COUNTIFS('Lançar Resultado'!$A$3:$A$2002,$B73,'Lançar Resultado'!$B$3:$B$2002,$A73,'Lançar Resultado'!$G$3:$G$2002,"N/A"))</f>
        <v/>
      </c>
      <c r="I73" s="39" t="str">
        <f aca="false">IF($A73="","",IF($E73=0,"",SUMPRODUCT(MAX(('Lançar Resultado'!$A$3:$A$2002=$B73)*('Lançar Resultado'!$B$3:$B$2002=$A73)*'Lançar Resultado'!$R$3:$R$2002))))</f>
        <v/>
      </c>
      <c r="J73" s="39" t="str">
        <f aca="false">IF($A73="","",COUNTIFS('Lançar Resultado'!$A$3:$A$2002,$B73,'Lançar Resultado'!$B$3:$B$2002,$A73,'Lançar Resultado'!$O$3:$O$2002,"Sim"))</f>
        <v/>
      </c>
      <c r="K73" s="76" t="str">
        <f aca="false">IF($A73="","",COUNTIFS('Lançar Resultado'!$A$3:$A$2002,$B73,'Lançar Resultado'!$B$3:$B$2002,$A73,'Lançar Resultado'!$N$3:$N$2002,"Alta"))</f>
        <v/>
      </c>
      <c r="L73" s="76" t="str">
        <f aca="false">IF($A73="","",COUNTIFS('Lançar Resultado'!$A$3:$A$2002,$B73,'Lançar Resultado'!$B$3:$B$2002,$A73,'Lançar Resultado'!$P$3:$P$2002,10))</f>
        <v/>
      </c>
      <c r="M73" s="77" t="str">
        <f aca="false">IF($A73="","",IF(($F73+$G73)=0,"",$F73/($F73+$G73)*100))</f>
        <v/>
      </c>
    </row>
    <row r="74" customFormat="false" ht="18" hidden="false" customHeight="true" outlineLevel="0" collapsed="false">
      <c r="A74" s="75" t="str">
        <f aca="false">IF(Inspeções!$B74="","",Inspeções!$A74)</f>
        <v/>
      </c>
      <c r="B74" s="39" t="str">
        <f aca="false">IF($A74="","",Inspeções!$B74)</f>
        <v/>
      </c>
      <c r="C74" s="40" t="str">
        <f aca="false">IF($A74="","",Inspeções!$E74)</f>
        <v/>
      </c>
      <c r="D74" s="40" t="str">
        <f aca="false">IF($A74="","",Inspeções!$F74)</f>
        <v/>
      </c>
      <c r="E74" s="39" t="str">
        <f aca="false">IF($A74="","",COUNTIFS('Lançar Resultado'!$A$3:$A$2002,$B74,'Lançar Resultado'!$B$3:$B$2002,$A74))</f>
        <v/>
      </c>
      <c r="F74" s="39" t="str">
        <f aca="false">IF($A74="","",COUNTIFS('Lançar Resultado'!$A$3:$A$2002,$B74,'Lançar Resultado'!$B$3:$B$2002,$A74,'Lançar Resultado'!$G$3:$G$2002,"OK"))</f>
        <v/>
      </c>
      <c r="G74" s="39" t="str">
        <f aca="false">IF($A74="","",COUNTIFS('Lançar Resultado'!$A$3:$A$2002,$B74,'Lançar Resultado'!$B$3:$B$2002,$A74,'Lançar Resultado'!$G$3:$G$2002,"NOK"))</f>
        <v/>
      </c>
      <c r="H74" s="39" t="str">
        <f aca="false">IF($A74="","",COUNTIFS('Lançar Resultado'!$A$3:$A$2002,$B74,'Lançar Resultado'!$B$3:$B$2002,$A74,'Lançar Resultado'!$G$3:$G$2002,"N/A"))</f>
        <v/>
      </c>
      <c r="I74" s="39" t="str">
        <f aca="false">IF($A74="","",IF($E74=0,"",SUMPRODUCT(MAX(('Lançar Resultado'!$A$3:$A$2002=$B74)*('Lançar Resultado'!$B$3:$B$2002=$A74)*'Lançar Resultado'!$R$3:$R$2002))))</f>
        <v/>
      </c>
      <c r="J74" s="39" t="str">
        <f aca="false">IF($A74="","",COUNTIFS('Lançar Resultado'!$A$3:$A$2002,$B74,'Lançar Resultado'!$B$3:$B$2002,$A74,'Lançar Resultado'!$O$3:$O$2002,"Sim"))</f>
        <v/>
      </c>
      <c r="K74" s="76" t="str">
        <f aca="false">IF($A74="","",COUNTIFS('Lançar Resultado'!$A$3:$A$2002,$B74,'Lançar Resultado'!$B$3:$B$2002,$A74,'Lançar Resultado'!$N$3:$N$2002,"Alta"))</f>
        <v/>
      </c>
      <c r="L74" s="76" t="str">
        <f aca="false">IF($A74="","",COUNTIFS('Lançar Resultado'!$A$3:$A$2002,$B74,'Lançar Resultado'!$B$3:$B$2002,$A74,'Lançar Resultado'!$P$3:$P$2002,10))</f>
        <v/>
      </c>
      <c r="M74" s="77" t="str">
        <f aca="false">IF($A74="","",IF(($F74+$G74)=0,"",$F74/($F74+$G74)*100))</f>
        <v/>
      </c>
    </row>
    <row r="75" customFormat="false" ht="18" hidden="false" customHeight="true" outlineLevel="0" collapsed="false">
      <c r="A75" s="75" t="str">
        <f aca="false">IF(Inspeções!$B75="","",Inspeções!$A75)</f>
        <v/>
      </c>
      <c r="B75" s="39" t="str">
        <f aca="false">IF($A75="","",Inspeções!$B75)</f>
        <v/>
      </c>
      <c r="C75" s="40" t="str">
        <f aca="false">IF($A75="","",Inspeções!$E75)</f>
        <v/>
      </c>
      <c r="D75" s="40" t="str">
        <f aca="false">IF($A75="","",Inspeções!$F75)</f>
        <v/>
      </c>
      <c r="E75" s="39" t="str">
        <f aca="false">IF($A75="","",COUNTIFS('Lançar Resultado'!$A$3:$A$2002,$B75,'Lançar Resultado'!$B$3:$B$2002,$A75))</f>
        <v/>
      </c>
      <c r="F75" s="39" t="str">
        <f aca="false">IF($A75="","",COUNTIFS('Lançar Resultado'!$A$3:$A$2002,$B75,'Lançar Resultado'!$B$3:$B$2002,$A75,'Lançar Resultado'!$G$3:$G$2002,"OK"))</f>
        <v/>
      </c>
      <c r="G75" s="39" t="str">
        <f aca="false">IF($A75="","",COUNTIFS('Lançar Resultado'!$A$3:$A$2002,$B75,'Lançar Resultado'!$B$3:$B$2002,$A75,'Lançar Resultado'!$G$3:$G$2002,"NOK"))</f>
        <v/>
      </c>
      <c r="H75" s="39" t="str">
        <f aca="false">IF($A75="","",COUNTIFS('Lançar Resultado'!$A$3:$A$2002,$B75,'Lançar Resultado'!$B$3:$B$2002,$A75,'Lançar Resultado'!$G$3:$G$2002,"N/A"))</f>
        <v/>
      </c>
      <c r="I75" s="39" t="str">
        <f aca="false">IF($A75="","",IF($E75=0,"",SUMPRODUCT(MAX(('Lançar Resultado'!$A$3:$A$2002=$B75)*('Lançar Resultado'!$B$3:$B$2002=$A75)*'Lançar Resultado'!$R$3:$R$2002))))</f>
        <v/>
      </c>
      <c r="J75" s="39" t="str">
        <f aca="false">IF($A75="","",COUNTIFS('Lançar Resultado'!$A$3:$A$2002,$B75,'Lançar Resultado'!$B$3:$B$2002,$A75,'Lançar Resultado'!$O$3:$O$2002,"Sim"))</f>
        <v/>
      </c>
      <c r="K75" s="76" t="str">
        <f aca="false">IF($A75="","",COUNTIFS('Lançar Resultado'!$A$3:$A$2002,$B75,'Lançar Resultado'!$B$3:$B$2002,$A75,'Lançar Resultado'!$N$3:$N$2002,"Alta"))</f>
        <v/>
      </c>
      <c r="L75" s="76" t="str">
        <f aca="false">IF($A75="","",COUNTIFS('Lançar Resultado'!$A$3:$A$2002,$B75,'Lançar Resultado'!$B$3:$B$2002,$A75,'Lançar Resultado'!$P$3:$P$2002,10))</f>
        <v/>
      </c>
      <c r="M75" s="77" t="str">
        <f aca="false">IF($A75="","",IF(($F75+$G75)=0,"",$F75/($F75+$G75)*100))</f>
        <v/>
      </c>
    </row>
    <row r="76" customFormat="false" ht="18" hidden="false" customHeight="true" outlineLevel="0" collapsed="false">
      <c r="A76" s="75" t="str">
        <f aca="false">IF(Inspeções!$B76="","",Inspeções!$A76)</f>
        <v/>
      </c>
      <c r="B76" s="39" t="str">
        <f aca="false">IF($A76="","",Inspeções!$B76)</f>
        <v/>
      </c>
      <c r="C76" s="40" t="str">
        <f aca="false">IF($A76="","",Inspeções!$E76)</f>
        <v/>
      </c>
      <c r="D76" s="40" t="str">
        <f aca="false">IF($A76="","",Inspeções!$F76)</f>
        <v/>
      </c>
      <c r="E76" s="39" t="str">
        <f aca="false">IF($A76="","",COUNTIFS('Lançar Resultado'!$A$3:$A$2002,$B76,'Lançar Resultado'!$B$3:$B$2002,$A76))</f>
        <v/>
      </c>
      <c r="F76" s="39" t="str">
        <f aca="false">IF($A76="","",COUNTIFS('Lançar Resultado'!$A$3:$A$2002,$B76,'Lançar Resultado'!$B$3:$B$2002,$A76,'Lançar Resultado'!$G$3:$G$2002,"OK"))</f>
        <v/>
      </c>
      <c r="G76" s="39" t="str">
        <f aca="false">IF($A76="","",COUNTIFS('Lançar Resultado'!$A$3:$A$2002,$B76,'Lançar Resultado'!$B$3:$B$2002,$A76,'Lançar Resultado'!$G$3:$G$2002,"NOK"))</f>
        <v/>
      </c>
      <c r="H76" s="39" t="str">
        <f aca="false">IF($A76="","",COUNTIFS('Lançar Resultado'!$A$3:$A$2002,$B76,'Lançar Resultado'!$B$3:$B$2002,$A76,'Lançar Resultado'!$G$3:$G$2002,"N/A"))</f>
        <v/>
      </c>
      <c r="I76" s="39" t="str">
        <f aca="false">IF($A76="","",IF($E76=0,"",SUMPRODUCT(MAX(('Lançar Resultado'!$A$3:$A$2002=$B76)*('Lançar Resultado'!$B$3:$B$2002=$A76)*'Lançar Resultado'!$R$3:$R$2002))))</f>
        <v/>
      </c>
      <c r="J76" s="39" t="str">
        <f aca="false">IF($A76="","",COUNTIFS('Lançar Resultado'!$A$3:$A$2002,$B76,'Lançar Resultado'!$B$3:$B$2002,$A76,'Lançar Resultado'!$O$3:$O$2002,"Sim"))</f>
        <v/>
      </c>
      <c r="K76" s="76" t="str">
        <f aca="false">IF($A76="","",COUNTIFS('Lançar Resultado'!$A$3:$A$2002,$B76,'Lançar Resultado'!$B$3:$B$2002,$A76,'Lançar Resultado'!$N$3:$N$2002,"Alta"))</f>
        <v/>
      </c>
      <c r="L76" s="76" t="str">
        <f aca="false">IF($A76="","",COUNTIFS('Lançar Resultado'!$A$3:$A$2002,$B76,'Lançar Resultado'!$B$3:$B$2002,$A76,'Lançar Resultado'!$P$3:$P$2002,10))</f>
        <v/>
      </c>
      <c r="M76" s="77" t="str">
        <f aca="false">IF($A76="","",IF(($F76+$G76)=0,"",$F76/($F76+$G76)*100))</f>
        <v/>
      </c>
    </row>
    <row r="77" customFormat="false" ht="18" hidden="false" customHeight="true" outlineLevel="0" collapsed="false">
      <c r="A77" s="75" t="str">
        <f aca="false">IF(Inspeções!$B77="","",Inspeções!$A77)</f>
        <v/>
      </c>
      <c r="B77" s="39" t="str">
        <f aca="false">IF($A77="","",Inspeções!$B77)</f>
        <v/>
      </c>
      <c r="C77" s="40" t="str">
        <f aca="false">IF($A77="","",Inspeções!$E77)</f>
        <v/>
      </c>
      <c r="D77" s="40" t="str">
        <f aca="false">IF($A77="","",Inspeções!$F77)</f>
        <v/>
      </c>
      <c r="E77" s="39" t="str">
        <f aca="false">IF($A77="","",COUNTIFS('Lançar Resultado'!$A$3:$A$2002,$B77,'Lançar Resultado'!$B$3:$B$2002,$A77))</f>
        <v/>
      </c>
      <c r="F77" s="39" t="str">
        <f aca="false">IF($A77="","",COUNTIFS('Lançar Resultado'!$A$3:$A$2002,$B77,'Lançar Resultado'!$B$3:$B$2002,$A77,'Lançar Resultado'!$G$3:$G$2002,"OK"))</f>
        <v/>
      </c>
      <c r="G77" s="39" t="str">
        <f aca="false">IF($A77="","",COUNTIFS('Lançar Resultado'!$A$3:$A$2002,$B77,'Lançar Resultado'!$B$3:$B$2002,$A77,'Lançar Resultado'!$G$3:$G$2002,"NOK"))</f>
        <v/>
      </c>
      <c r="H77" s="39" t="str">
        <f aca="false">IF($A77="","",COUNTIFS('Lançar Resultado'!$A$3:$A$2002,$B77,'Lançar Resultado'!$B$3:$B$2002,$A77,'Lançar Resultado'!$G$3:$G$2002,"N/A"))</f>
        <v/>
      </c>
      <c r="I77" s="39" t="str">
        <f aca="false">IF($A77="","",IF($E77=0,"",SUMPRODUCT(MAX(('Lançar Resultado'!$A$3:$A$2002=$B77)*('Lançar Resultado'!$B$3:$B$2002=$A77)*'Lançar Resultado'!$R$3:$R$2002))))</f>
        <v/>
      </c>
      <c r="J77" s="39" t="str">
        <f aca="false">IF($A77="","",COUNTIFS('Lançar Resultado'!$A$3:$A$2002,$B77,'Lançar Resultado'!$B$3:$B$2002,$A77,'Lançar Resultado'!$O$3:$O$2002,"Sim"))</f>
        <v/>
      </c>
      <c r="K77" s="76" t="str">
        <f aca="false">IF($A77="","",COUNTIFS('Lançar Resultado'!$A$3:$A$2002,$B77,'Lançar Resultado'!$B$3:$B$2002,$A77,'Lançar Resultado'!$N$3:$N$2002,"Alta"))</f>
        <v/>
      </c>
      <c r="L77" s="76" t="str">
        <f aca="false">IF($A77="","",COUNTIFS('Lançar Resultado'!$A$3:$A$2002,$B77,'Lançar Resultado'!$B$3:$B$2002,$A77,'Lançar Resultado'!$P$3:$P$2002,10))</f>
        <v/>
      </c>
      <c r="M77" s="77" t="str">
        <f aca="false">IF($A77="","",IF(($F77+$G77)=0,"",$F77/($F77+$G77)*100))</f>
        <v/>
      </c>
    </row>
    <row r="78" customFormat="false" ht="18" hidden="false" customHeight="true" outlineLevel="0" collapsed="false">
      <c r="A78" s="75" t="str">
        <f aca="false">IF(Inspeções!$B78="","",Inspeções!$A78)</f>
        <v/>
      </c>
      <c r="B78" s="39" t="str">
        <f aca="false">IF($A78="","",Inspeções!$B78)</f>
        <v/>
      </c>
      <c r="C78" s="40" t="str">
        <f aca="false">IF($A78="","",Inspeções!$E78)</f>
        <v/>
      </c>
      <c r="D78" s="40" t="str">
        <f aca="false">IF($A78="","",Inspeções!$F78)</f>
        <v/>
      </c>
      <c r="E78" s="39" t="str">
        <f aca="false">IF($A78="","",COUNTIFS('Lançar Resultado'!$A$3:$A$2002,$B78,'Lançar Resultado'!$B$3:$B$2002,$A78))</f>
        <v/>
      </c>
      <c r="F78" s="39" t="str">
        <f aca="false">IF($A78="","",COUNTIFS('Lançar Resultado'!$A$3:$A$2002,$B78,'Lançar Resultado'!$B$3:$B$2002,$A78,'Lançar Resultado'!$G$3:$G$2002,"OK"))</f>
        <v/>
      </c>
      <c r="G78" s="39" t="str">
        <f aca="false">IF($A78="","",COUNTIFS('Lançar Resultado'!$A$3:$A$2002,$B78,'Lançar Resultado'!$B$3:$B$2002,$A78,'Lançar Resultado'!$G$3:$G$2002,"NOK"))</f>
        <v/>
      </c>
      <c r="H78" s="39" t="str">
        <f aca="false">IF($A78="","",COUNTIFS('Lançar Resultado'!$A$3:$A$2002,$B78,'Lançar Resultado'!$B$3:$B$2002,$A78,'Lançar Resultado'!$G$3:$G$2002,"N/A"))</f>
        <v/>
      </c>
      <c r="I78" s="39" t="str">
        <f aca="false">IF($A78="","",IF($E78=0,"",SUMPRODUCT(MAX(('Lançar Resultado'!$A$3:$A$2002=$B78)*('Lançar Resultado'!$B$3:$B$2002=$A78)*'Lançar Resultado'!$R$3:$R$2002))))</f>
        <v/>
      </c>
      <c r="J78" s="39" t="str">
        <f aca="false">IF($A78="","",COUNTIFS('Lançar Resultado'!$A$3:$A$2002,$B78,'Lançar Resultado'!$B$3:$B$2002,$A78,'Lançar Resultado'!$O$3:$O$2002,"Sim"))</f>
        <v/>
      </c>
      <c r="K78" s="76" t="str">
        <f aca="false">IF($A78="","",COUNTIFS('Lançar Resultado'!$A$3:$A$2002,$B78,'Lançar Resultado'!$B$3:$B$2002,$A78,'Lançar Resultado'!$N$3:$N$2002,"Alta"))</f>
        <v/>
      </c>
      <c r="L78" s="76" t="str">
        <f aca="false">IF($A78="","",COUNTIFS('Lançar Resultado'!$A$3:$A$2002,$B78,'Lançar Resultado'!$B$3:$B$2002,$A78,'Lançar Resultado'!$P$3:$P$2002,10))</f>
        <v/>
      </c>
      <c r="M78" s="77" t="str">
        <f aca="false">IF($A78="","",IF(($F78+$G78)=0,"",$F78/($F78+$G78)*100))</f>
        <v/>
      </c>
    </row>
    <row r="79" customFormat="false" ht="18" hidden="false" customHeight="true" outlineLevel="0" collapsed="false">
      <c r="A79" s="75" t="str">
        <f aca="false">IF(Inspeções!$B79="","",Inspeções!$A79)</f>
        <v/>
      </c>
      <c r="B79" s="39" t="str">
        <f aca="false">IF($A79="","",Inspeções!$B79)</f>
        <v/>
      </c>
      <c r="C79" s="40" t="str">
        <f aca="false">IF($A79="","",Inspeções!$E79)</f>
        <v/>
      </c>
      <c r="D79" s="40" t="str">
        <f aca="false">IF($A79="","",Inspeções!$F79)</f>
        <v/>
      </c>
      <c r="E79" s="39" t="str">
        <f aca="false">IF($A79="","",COUNTIFS('Lançar Resultado'!$A$3:$A$2002,$B79,'Lançar Resultado'!$B$3:$B$2002,$A79))</f>
        <v/>
      </c>
      <c r="F79" s="39" t="str">
        <f aca="false">IF($A79="","",COUNTIFS('Lançar Resultado'!$A$3:$A$2002,$B79,'Lançar Resultado'!$B$3:$B$2002,$A79,'Lançar Resultado'!$G$3:$G$2002,"OK"))</f>
        <v/>
      </c>
      <c r="G79" s="39" t="str">
        <f aca="false">IF($A79="","",COUNTIFS('Lançar Resultado'!$A$3:$A$2002,$B79,'Lançar Resultado'!$B$3:$B$2002,$A79,'Lançar Resultado'!$G$3:$G$2002,"NOK"))</f>
        <v/>
      </c>
      <c r="H79" s="39" t="str">
        <f aca="false">IF($A79="","",COUNTIFS('Lançar Resultado'!$A$3:$A$2002,$B79,'Lançar Resultado'!$B$3:$B$2002,$A79,'Lançar Resultado'!$G$3:$G$2002,"N/A"))</f>
        <v/>
      </c>
      <c r="I79" s="39" t="str">
        <f aca="false">IF($A79="","",IF($E79=0,"",SUMPRODUCT(MAX(('Lançar Resultado'!$A$3:$A$2002=$B79)*('Lançar Resultado'!$B$3:$B$2002=$A79)*'Lançar Resultado'!$R$3:$R$2002))))</f>
        <v/>
      </c>
      <c r="J79" s="39" t="str">
        <f aca="false">IF($A79="","",COUNTIFS('Lançar Resultado'!$A$3:$A$2002,$B79,'Lançar Resultado'!$B$3:$B$2002,$A79,'Lançar Resultado'!$O$3:$O$2002,"Sim"))</f>
        <v/>
      </c>
      <c r="K79" s="76" t="str">
        <f aca="false">IF($A79="","",COUNTIFS('Lançar Resultado'!$A$3:$A$2002,$B79,'Lançar Resultado'!$B$3:$B$2002,$A79,'Lançar Resultado'!$N$3:$N$2002,"Alta"))</f>
        <v/>
      </c>
      <c r="L79" s="76" t="str">
        <f aca="false">IF($A79="","",COUNTIFS('Lançar Resultado'!$A$3:$A$2002,$B79,'Lançar Resultado'!$B$3:$B$2002,$A79,'Lançar Resultado'!$P$3:$P$2002,10))</f>
        <v/>
      </c>
      <c r="M79" s="77" t="str">
        <f aca="false">IF($A79="","",IF(($F79+$G79)=0,"",$F79/($F79+$G79)*100))</f>
        <v/>
      </c>
    </row>
    <row r="80" customFormat="false" ht="18" hidden="false" customHeight="true" outlineLevel="0" collapsed="false">
      <c r="A80" s="75" t="str">
        <f aca="false">IF(Inspeções!$B80="","",Inspeções!$A80)</f>
        <v/>
      </c>
      <c r="B80" s="39" t="str">
        <f aca="false">IF($A80="","",Inspeções!$B80)</f>
        <v/>
      </c>
      <c r="C80" s="40" t="str">
        <f aca="false">IF($A80="","",Inspeções!$E80)</f>
        <v/>
      </c>
      <c r="D80" s="40" t="str">
        <f aca="false">IF($A80="","",Inspeções!$F80)</f>
        <v/>
      </c>
      <c r="E80" s="39" t="str">
        <f aca="false">IF($A80="","",COUNTIFS('Lançar Resultado'!$A$3:$A$2002,$B80,'Lançar Resultado'!$B$3:$B$2002,$A80))</f>
        <v/>
      </c>
      <c r="F80" s="39" t="str">
        <f aca="false">IF($A80="","",COUNTIFS('Lançar Resultado'!$A$3:$A$2002,$B80,'Lançar Resultado'!$B$3:$B$2002,$A80,'Lançar Resultado'!$G$3:$G$2002,"OK"))</f>
        <v/>
      </c>
      <c r="G80" s="39" t="str">
        <f aca="false">IF($A80="","",COUNTIFS('Lançar Resultado'!$A$3:$A$2002,$B80,'Lançar Resultado'!$B$3:$B$2002,$A80,'Lançar Resultado'!$G$3:$G$2002,"NOK"))</f>
        <v/>
      </c>
      <c r="H80" s="39" t="str">
        <f aca="false">IF($A80="","",COUNTIFS('Lançar Resultado'!$A$3:$A$2002,$B80,'Lançar Resultado'!$B$3:$B$2002,$A80,'Lançar Resultado'!$G$3:$G$2002,"N/A"))</f>
        <v/>
      </c>
      <c r="I80" s="39" t="str">
        <f aca="false">IF($A80="","",IF($E80=0,"",SUMPRODUCT(MAX(('Lançar Resultado'!$A$3:$A$2002=$B80)*('Lançar Resultado'!$B$3:$B$2002=$A80)*'Lançar Resultado'!$R$3:$R$2002))))</f>
        <v/>
      </c>
      <c r="J80" s="39" t="str">
        <f aca="false">IF($A80="","",COUNTIFS('Lançar Resultado'!$A$3:$A$2002,$B80,'Lançar Resultado'!$B$3:$B$2002,$A80,'Lançar Resultado'!$O$3:$O$2002,"Sim"))</f>
        <v/>
      </c>
      <c r="K80" s="76" t="str">
        <f aca="false">IF($A80="","",COUNTIFS('Lançar Resultado'!$A$3:$A$2002,$B80,'Lançar Resultado'!$B$3:$B$2002,$A80,'Lançar Resultado'!$N$3:$N$2002,"Alta"))</f>
        <v/>
      </c>
      <c r="L80" s="76" t="str">
        <f aca="false">IF($A80="","",COUNTIFS('Lançar Resultado'!$A$3:$A$2002,$B80,'Lançar Resultado'!$B$3:$B$2002,$A80,'Lançar Resultado'!$P$3:$P$2002,10))</f>
        <v/>
      </c>
      <c r="M80" s="77" t="str">
        <f aca="false">IF($A80="","",IF(($F80+$G80)=0,"",$F80/($F80+$G80)*100))</f>
        <v/>
      </c>
    </row>
    <row r="81" customFormat="false" ht="18" hidden="false" customHeight="true" outlineLevel="0" collapsed="false">
      <c r="A81" s="75" t="str">
        <f aca="false">IF(Inspeções!$B81="","",Inspeções!$A81)</f>
        <v/>
      </c>
      <c r="B81" s="39" t="str">
        <f aca="false">IF($A81="","",Inspeções!$B81)</f>
        <v/>
      </c>
      <c r="C81" s="40" t="str">
        <f aca="false">IF($A81="","",Inspeções!$E81)</f>
        <v/>
      </c>
      <c r="D81" s="40" t="str">
        <f aca="false">IF($A81="","",Inspeções!$F81)</f>
        <v/>
      </c>
      <c r="E81" s="39" t="str">
        <f aca="false">IF($A81="","",COUNTIFS('Lançar Resultado'!$A$3:$A$2002,$B81,'Lançar Resultado'!$B$3:$B$2002,$A81))</f>
        <v/>
      </c>
      <c r="F81" s="39" t="str">
        <f aca="false">IF($A81="","",COUNTIFS('Lançar Resultado'!$A$3:$A$2002,$B81,'Lançar Resultado'!$B$3:$B$2002,$A81,'Lançar Resultado'!$G$3:$G$2002,"OK"))</f>
        <v/>
      </c>
      <c r="G81" s="39" t="str">
        <f aca="false">IF($A81="","",COUNTIFS('Lançar Resultado'!$A$3:$A$2002,$B81,'Lançar Resultado'!$B$3:$B$2002,$A81,'Lançar Resultado'!$G$3:$G$2002,"NOK"))</f>
        <v/>
      </c>
      <c r="H81" s="39" t="str">
        <f aca="false">IF($A81="","",COUNTIFS('Lançar Resultado'!$A$3:$A$2002,$B81,'Lançar Resultado'!$B$3:$B$2002,$A81,'Lançar Resultado'!$G$3:$G$2002,"N/A"))</f>
        <v/>
      </c>
      <c r="I81" s="39" t="str">
        <f aca="false">IF($A81="","",IF($E81=0,"",SUMPRODUCT(MAX(('Lançar Resultado'!$A$3:$A$2002=$B81)*('Lançar Resultado'!$B$3:$B$2002=$A81)*'Lançar Resultado'!$R$3:$R$2002))))</f>
        <v/>
      </c>
      <c r="J81" s="39" t="str">
        <f aca="false">IF($A81="","",COUNTIFS('Lançar Resultado'!$A$3:$A$2002,$B81,'Lançar Resultado'!$B$3:$B$2002,$A81,'Lançar Resultado'!$O$3:$O$2002,"Sim"))</f>
        <v/>
      </c>
      <c r="K81" s="76" t="str">
        <f aca="false">IF($A81="","",COUNTIFS('Lançar Resultado'!$A$3:$A$2002,$B81,'Lançar Resultado'!$B$3:$B$2002,$A81,'Lançar Resultado'!$N$3:$N$2002,"Alta"))</f>
        <v/>
      </c>
      <c r="L81" s="76" t="str">
        <f aca="false">IF($A81="","",COUNTIFS('Lançar Resultado'!$A$3:$A$2002,$B81,'Lançar Resultado'!$B$3:$B$2002,$A81,'Lançar Resultado'!$P$3:$P$2002,10))</f>
        <v/>
      </c>
      <c r="M81" s="77" t="str">
        <f aca="false">IF($A81="","",IF(($F81+$G81)=0,"",$F81/($F81+$G81)*100))</f>
        <v/>
      </c>
    </row>
    <row r="82" customFormat="false" ht="18" hidden="false" customHeight="true" outlineLevel="0" collapsed="false">
      <c r="A82" s="75" t="str">
        <f aca="false">IF(Inspeções!$B82="","",Inspeções!$A82)</f>
        <v/>
      </c>
      <c r="B82" s="39" t="str">
        <f aca="false">IF($A82="","",Inspeções!$B82)</f>
        <v/>
      </c>
      <c r="C82" s="40" t="str">
        <f aca="false">IF($A82="","",Inspeções!$E82)</f>
        <v/>
      </c>
      <c r="D82" s="40" t="str">
        <f aca="false">IF($A82="","",Inspeções!$F82)</f>
        <v/>
      </c>
      <c r="E82" s="39" t="str">
        <f aca="false">IF($A82="","",COUNTIFS('Lançar Resultado'!$A$3:$A$2002,$B82,'Lançar Resultado'!$B$3:$B$2002,$A82))</f>
        <v/>
      </c>
      <c r="F82" s="39" t="str">
        <f aca="false">IF($A82="","",COUNTIFS('Lançar Resultado'!$A$3:$A$2002,$B82,'Lançar Resultado'!$B$3:$B$2002,$A82,'Lançar Resultado'!$G$3:$G$2002,"OK"))</f>
        <v/>
      </c>
      <c r="G82" s="39" t="str">
        <f aca="false">IF($A82="","",COUNTIFS('Lançar Resultado'!$A$3:$A$2002,$B82,'Lançar Resultado'!$B$3:$B$2002,$A82,'Lançar Resultado'!$G$3:$G$2002,"NOK"))</f>
        <v/>
      </c>
      <c r="H82" s="39" t="str">
        <f aca="false">IF($A82="","",COUNTIFS('Lançar Resultado'!$A$3:$A$2002,$B82,'Lançar Resultado'!$B$3:$B$2002,$A82,'Lançar Resultado'!$G$3:$G$2002,"N/A"))</f>
        <v/>
      </c>
      <c r="I82" s="39" t="str">
        <f aca="false">IF($A82="","",IF($E82=0,"",SUMPRODUCT(MAX(('Lançar Resultado'!$A$3:$A$2002=$B82)*('Lançar Resultado'!$B$3:$B$2002=$A82)*'Lançar Resultado'!$R$3:$R$2002))))</f>
        <v/>
      </c>
      <c r="J82" s="39" t="str">
        <f aca="false">IF($A82="","",COUNTIFS('Lançar Resultado'!$A$3:$A$2002,$B82,'Lançar Resultado'!$B$3:$B$2002,$A82,'Lançar Resultado'!$O$3:$O$2002,"Sim"))</f>
        <v/>
      </c>
      <c r="K82" s="76" t="str">
        <f aca="false">IF($A82="","",COUNTIFS('Lançar Resultado'!$A$3:$A$2002,$B82,'Lançar Resultado'!$B$3:$B$2002,$A82,'Lançar Resultado'!$N$3:$N$2002,"Alta"))</f>
        <v/>
      </c>
      <c r="L82" s="76" t="str">
        <f aca="false">IF($A82="","",COUNTIFS('Lançar Resultado'!$A$3:$A$2002,$B82,'Lançar Resultado'!$B$3:$B$2002,$A82,'Lançar Resultado'!$P$3:$P$2002,10))</f>
        <v/>
      </c>
      <c r="M82" s="77" t="str">
        <f aca="false">IF($A82="","",IF(($F82+$G82)=0,"",$F82/($F82+$G82)*100))</f>
        <v/>
      </c>
    </row>
    <row r="83" customFormat="false" ht="18" hidden="false" customHeight="true" outlineLevel="0" collapsed="false">
      <c r="A83" s="75" t="str">
        <f aca="false">IF(Inspeções!$B83="","",Inspeções!$A83)</f>
        <v/>
      </c>
      <c r="B83" s="39" t="str">
        <f aca="false">IF($A83="","",Inspeções!$B83)</f>
        <v/>
      </c>
      <c r="C83" s="40" t="str">
        <f aca="false">IF($A83="","",Inspeções!$E83)</f>
        <v/>
      </c>
      <c r="D83" s="40" t="str">
        <f aca="false">IF($A83="","",Inspeções!$F83)</f>
        <v/>
      </c>
      <c r="E83" s="39" t="str">
        <f aca="false">IF($A83="","",COUNTIFS('Lançar Resultado'!$A$3:$A$2002,$B83,'Lançar Resultado'!$B$3:$B$2002,$A83))</f>
        <v/>
      </c>
      <c r="F83" s="39" t="str">
        <f aca="false">IF($A83="","",COUNTIFS('Lançar Resultado'!$A$3:$A$2002,$B83,'Lançar Resultado'!$B$3:$B$2002,$A83,'Lançar Resultado'!$G$3:$G$2002,"OK"))</f>
        <v/>
      </c>
      <c r="G83" s="39" t="str">
        <f aca="false">IF($A83="","",COUNTIFS('Lançar Resultado'!$A$3:$A$2002,$B83,'Lançar Resultado'!$B$3:$B$2002,$A83,'Lançar Resultado'!$G$3:$G$2002,"NOK"))</f>
        <v/>
      </c>
      <c r="H83" s="39" t="str">
        <f aca="false">IF($A83="","",COUNTIFS('Lançar Resultado'!$A$3:$A$2002,$B83,'Lançar Resultado'!$B$3:$B$2002,$A83,'Lançar Resultado'!$G$3:$G$2002,"N/A"))</f>
        <v/>
      </c>
      <c r="I83" s="39" t="str">
        <f aca="false">IF($A83="","",IF($E83=0,"",SUMPRODUCT(MAX(('Lançar Resultado'!$A$3:$A$2002=$B83)*('Lançar Resultado'!$B$3:$B$2002=$A83)*'Lançar Resultado'!$R$3:$R$2002))))</f>
        <v/>
      </c>
      <c r="J83" s="39" t="str">
        <f aca="false">IF($A83="","",COUNTIFS('Lançar Resultado'!$A$3:$A$2002,$B83,'Lançar Resultado'!$B$3:$B$2002,$A83,'Lançar Resultado'!$O$3:$O$2002,"Sim"))</f>
        <v/>
      </c>
      <c r="K83" s="76" t="str">
        <f aca="false">IF($A83="","",COUNTIFS('Lançar Resultado'!$A$3:$A$2002,$B83,'Lançar Resultado'!$B$3:$B$2002,$A83,'Lançar Resultado'!$N$3:$N$2002,"Alta"))</f>
        <v/>
      </c>
      <c r="L83" s="76" t="str">
        <f aca="false">IF($A83="","",COUNTIFS('Lançar Resultado'!$A$3:$A$2002,$B83,'Lançar Resultado'!$B$3:$B$2002,$A83,'Lançar Resultado'!$P$3:$P$2002,10))</f>
        <v/>
      </c>
      <c r="M83" s="77" t="str">
        <f aca="false">IF($A83="","",IF(($F83+$G83)=0,"",$F83/($F83+$G83)*100))</f>
        <v/>
      </c>
    </row>
    <row r="84" customFormat="false" ht="18" hidden="false" customHeight="true" outlineLevel="0" collapsed="false">
      <c r="A84" s="75" t="str">
        <f aca="false">IF(Inspeções!$B84="","",Inspeções!$A84)</f>
        <v/>
      </c>
      <c r="B84" s="39" t="str">
        <f aca="false">IF($A84="","",Inspeções!$B84)</f>
        <v/>
      </c>
      <c r="C84" s="40" t="str">
        <f aca="false">IF($A84="","",Inspeções!$E84)</f>
        <v/>
      </c>
      <c r="D84" s="40" t="str">
        <f aca="false">IF($A84="","",Inspeções!$F84)</f>
        <v/>
      </c>
      <c r="E84" s="39" t="str">
        <f aca="false">IF($A84="","",COUNTIFS('Lançar Resultado'!$A$3:$A$2002,$B84,'Lançar Resultado'!$B$3:$B$2002,$A84))</f>
        <v/>
      </c>
      <c r="F84" s="39" t="str">
        <f aca="false">IF($A84="","",COUNTIFS('Lançar Resultado'!$A$3:$A$2002,$B84,'Lançar Resultado'!$B$3:$B$2002,$A84,'Lançar Resultado'!$G$3:$G$2002,"OK"))</f>
        <v/>
      </c>
      <c r="G84" s="39" t="str">
        <f aca="false">IF($A84="","",COUNTIFS('Lançar Resultado'!$A$3:$A$2002,$B84,'Lançar Resultado'!$B$3:$B$2002,$A84,'Lançar Resultado'!$G$3:$G$2002,"NOK"))</f>
        <v/>
      </c>
      <c r="H84" s="39" t="str">
        <f aca="false">IF($A84="","",COUNTIFS('Lançar Resultado'!$A$3:$A$2002,$B84,'Lançar Resultado'!$B$3:$B$2002,$A84,'Lançar Resultado'!$G$3:$G$2002,"N/A"))</f>
        <v/>
      </c>
      <c r="I84" s="39" t="str">
        <f aca="false">IF($A84="","",IF($E84=0,"",SUMPRODUCT(MAX(('Lançar Resultado'!$A$3:$A$2002=$B84)*('Lançar Resultado'!$B$3:$B$2002=$A84)*'Lançar Resultado'!$R$3:$R$2002))))</f>
        <v/>
      </c>
      <c r="J84" s="39" t="str">
        <f aca="false">IF($A84="","",COUNTIFS('Lançar Resultado'!$A$3:$A$2002,$B84,'Lançar Resultado'!$B$3:$B$2002,$A84,'Lançar Resultado'!$O$3:$O$2002,"Sim"))</f>
        <v/>
      </c>
      <c r="K84" s="76" t="str">
        <f aca="false">IF($A84="","",COUNTIFS('Lançar Resultado'!$A$3:$A$2002,$B84,'Lançar Resultado'!$B$3:$B$2002,$A84,'Lançar Resultado'!$N$3:$N$2002,"Alta"))</f>
        <v/>
      </c>
      <c r="L84" s="76" t="str">
        <f aca="false">IF($A84="","",COUNTIFS('Lançar Resultado'!$A$3:$A$2002,$B84,'Lançar Resultado'!$B$3:$B$2002,$A84,'Lançar Resultado'!$P$3:$P$2002,10))</f>
        <v/>
      </c>
      <c r="M84" s="77" t="str">
        <f aca="false">IF($A84="","",IF(($F84+$G84)=0,"",$F84/($F84+$G84)*100))</f>
        <v/>
      </c>
    </row>
    <row r="85" customFormat="false" ht="18" hidden="false" customHeight="true" outlineLevel="0" collapsed="false">
      <c r="A85" s="75" t="str">
        <f aca="false">IF(Inspeções!$B85="","",Inspeções!$A85)</f>
        <v/>
      </c>
      <c r="B85" s="39" t="str">
        <f aca="false">IF($A85="","",Inspeções!$B85)</f>
        <v/>
      </c>
      <c r="C85" s="40" t="str">
        <f aca="false">IF($A85="","",Inspeções!$E85)</f>
        <v/>
      </c>
      <c r="D85" s="40" t="str">
        <f aca="false">IF($A85="","",Inspeções!$F85)</f>
        <v/>
      </c>
      <c r="E85" s="39" t="str">
        <f aca="false">IF($A85="","",COUNTIFS('Lançar Resultado'!$A$3:$A$2002,$B85,'Lançar Resultado'!$B$3:$B$2002,$A85))</f>
        <v/>
      </c>
      <c r="F85" s="39" t="str">
        <f aca="false">IF($A85="","",COUNTIFS('Lançar Resultado'!$A$3:$A$2002,$B85,'Lançar Resultado'!$B$3:$B$2002,$A85,'Lançar Resultado'!$G$3:$G$2002,"OK"))</f>
        <v/>
      </c>
      <c r="G85" s="39" t="str">
        <f aca="false">IF($A85="","",COUNTIFS('Lançar Resultado'!$A$3:$A$2002,$B85,'Lançar Resultado'!$B$3:$B$2002,$A85,'Lançar Resultado'!$G$3:$G$2002,"NOK"))</f>
        <v/>
      </c>
      <c r="H85" s="39" t="str">
        <f aca="false">IF($A85="","",COUNTIFS('Lançar Resultado'!$A$3:$A$2002,$B85,'Lançar Resultado'!$B$3:$B$2002,$A85,'Lançar Resultado'!$G$3:$G$2002,"N/A"))</f>
        <v/>
      </c>
      <c r="I85" s="39" t="str">
        <f aca="false">IF($A85="","",IF($E85=0,"",SUMPRODUCT(MAX(('Lançar Resultado'!$A$3:$A$2002=$B85)*('Lançar Resultado'!$B$3:$B$2002=$A85)*'Lançar Resultado'!$R$3:$R$2002))))</f>
        <v/>
      </c>
      <c r="J85" s="39" t="str">
        <f aca="false">IF($A85="","",COUNTIFS('Lançar Resultado'!$A$3:$A$2002,$B85,'Lançar Resultado'!$B$3:$B$2002,$A85,'Lançar Resultado'!$O$3:$O$2002,"Sim"))</f>
        <v/>
      </c>
      <c r="K85" s="76" t="str">
        <f aca="false">IF($A85="","",COUNTIFS('Lançar Resultado'!$A$3:$A$2002,$B85,'Lançar Resultado'!$B$3:$B$2002,$A85,'Lançar Resultado'!$N$3:$N$2002,"Alta"))</f>
        <v/>
      </c>
      <c r="L85" s="76" t="str">
        <f aca="false">IF($A85="","",COUNTIFS('Lançar Resultado'!$A$3:$A$2002,$B85,'Lançar Resultado'!$B$3:$B$2002,$A85,'Lançar Resultado'!$P$3:$P$2002,10))</f>
        <v/>
      </c>
      <c r="M85" s="77" t="str">
        <f aca="false">IF($A85="","",IF(($F85+$G85)=0,"",$F85/($F85+$G85)*100))</f>
        <v/>
      </c>
    </row>
    <row r="86" customFormat="false" ht="18" hidden="false" customHeight="true" outlineLevel="0" collapsed="false">
      <c r="A86" s="75" t="str">
        <f aca="false">IF(Inspeções!$B86="","",Inspeções!$A86)</f>
        <v/>
      </c>
      <c r="B86" s="39" t="str">
        <f aca="false">IF($A86="","",Inspeções!$B86)</f>
        <v/>
      </c>
      <c r="C86" s="40" t="str">
        <f aca="false">IF($A86="","",Inspeções!$E86)</f>
        <v/>
      </c>
      <c r="D86" s="40" t="str">
        <f aca="false">IF($A86="","",Inspeções!$F86)</f>
        <v/>
      </c>
      <c r="E86" s="39" t="str">
        <f aca="false">IF($A86="","",COUNTIFS('Lançar Resultado'!$A$3:$A$2002,$B86,'Lançar Resultado'!$B$3:$B$2002,$A86))</f>
        <v/>
      </c>
      <c r="F86" s="39" t="str">
        <f aca="false">IF($A86="","",COUNTIFS('Lançar Resultado'!$A$3:$A$2002,$B86,'Lançar Resultado'!$B$3:$B$2002,$A86,'Lançar Resultado'!$G$3:$G$2002,"OK"))</f>
        <v/>
      </c>
      <c r="G86" s="39" t="str">
        <f aca="false">IF($A86="","",COUNTIFS('Lançar Resultado'!$A$3:$A$2002,$B86,'Lançar Resultado'!$B$3:$B$2002,$A86,'Lançar Resultado'!$G$3:$G$2002,"NOK"))</f>
        <v/>
      </c>
      <c r="H86" s="39" t="str">
        <f aca="false">IF($A86="","",COUNTIFS('Lançar Resultado'!$A$3:$A$2002,$B86,'Lançar Resultado'!$B$3:$B$2002,$A86,'Lançar Resultado'!$G$3:$G$2002,"N/A"))</f>
        <v/>
      </c>
      <c r="I86" s="39" t="str">
        <f aca="false">IF($A86="","",IF($E86=0,"",SUMPRODUCT(MAX(('Lançar Resultado'!$A$3:$A$2002=$B86)*('Lançar Resultado'!$B$3:$B$2002=$A86)*'Lançar Resultado'!$R$3:$R$2002))))</f>
        <v/>
      </c>
      <c r="J86" s="39" t="str">
        <f aca="false">IF($A86="","",COUNTIFS('Lançar Resultado'!$A$3:$A$2002,$B86,'Lançar Resultado'!$B$3:$B$2002,$A86,'Lançar Resultado'!$O$3:$O$2002,"Sim"))</f>
        <v/>
      </c>
      <c r="K86" s="76" t="str">
        <f aca="false">IF($A86="","",COUNTIFS('Lançar Resultado'!$A$3:$A$2002,$B86,'Lançar Resultado'!$B$3:$B$2002,$A86,'Lançar Resultado'!$N$3:$N$2002,"Alta"))</f>
        <v/>
      </c>
      <c r="L86" s="76" t="str">
        <f aca="false">IF($A86="","",COUNTIFS('Lançar Resultado'!$A$3:$A$2002,$B86,'Lançar Resultado'!$B$3:$B$2002,$A86,'Lançar Resultado'!$P$3:$P$2002,10))</f>
        <v/>
      </c>
      <c r="M86" s="77" t="str">
        <f aca="false">IF($A86="","",IF(($F86+$G86)=0,"",$F86/($F86+$G86)*100))</f>
        <v/>
      </c>
    </row>
    <row r="87" customFormat="false" ht="18" hidden="false" customHeight="true" outlineLevel="0" collapsed="false">
      <c r="A87" s="75" t="str">
        <f aca="false">IF(Inspeções!$B87="","",Inspeções!$A87)</f>
        <v/>
      </c>
      <c r="B87" s="39" t="str">
        <f aca="false">IF($A87="","",Inspeções!$B87)</f>
        <v/>
      </c>
      <c r="C87" s="40" t="str">
        <f aca="false">IF($A87="","",Inspeções!$E87)</f>
        <v/>
      </c>
      <c r="D87" s="40" t="str">
        <f aca="false">IF($A87="","",Inspeções!$F87)</f>
        <v/>
      </c>
      <c r="E87" s="39" t="str">
        <f aca="false">IF($A87="","",COUNTIFS('Lançar Resultado'!$A$3:$A$2002,$B87,'Lançar Resultado'!$B$3:$B$2002,$A87))</f>
        <v/>
      </c>
      <c r="F87" s="39" t="str">
        <f aca="false">IF($A87="","",COUNTIFS('Lançar Resultado'!$A$3:$A$2002,$B87,'Lançar Resultado'!$B$3:$B$2002,$A87,'Lançar Resultado'!$G$3:$G$2002,"OK"))</f>
        <v/>
      </c>
      <c r="G87" s="39" t="str">
        <f aca="false">IF($A87="","",COUNTIFS('Lançar Resultado'!$A$3:$A$2002,$B87,'Lançar Resultado'!$B$3:$B$2002,$A87,'Lançar Resultado'!$G$3:$G$2002,"NOK"))</f>
        <v/>
      </c>
      <c r="H87" s="39" t="str">
        <f aca="false">IF($A87="","",COUNTIFS('Lançar Resultado'!$A$3:$A$2002,$B87,'Lançar Resultado'!$B$3:$B$2002,$A87,'Lançar Resultado'!$G$3:$G$2002,"N/A"))</f>
        <v/>
      </c>
      <c r="I87" s="39" t="str">
        <f aca="false">IF($A87="","",IF($E87=0,"",SUMPRODUCT(MAX(('Lançar Resultado'!$A$3:$A$2002=$B87)*('Lançar Resultado'!$B$3:$B$2002=$A87)*'Lançar Resultado'!$R$3:$R$2002))))</f>
        <v/>
      </c>
      <c r="J87" s="39" t="str">
        <f aca="false">IF($A87="","",COUNTIFS('Lançar Resultado'!$A$3:$A$2002,$B87,'Lançar Resultado'!$B$3:$B$2002,$A87,'Lançar Resultado'!$O$3:$O$2002,"Sim"))</f>
        <v/>
      </c>
      <c r="K87" s="76" t="str">
        <f aca="false">IF($A87="","",COUNTIFS('Lançar Resultado'!$A$3:$A$2002,$B87,'Lançar Resultado'!$B$3:$B$2002,$A87,'Lançar Resultado'!$N$3:$N$2002,"Alta"))</f>
        <v/>
      </c>
      <c r="L87" s="76" t="str">
        <f aca="false">IF($A87="","",COUNTIFS('Lançar Resultado'!$A$3:$A$2002,$B87,'Lançar Resultado'!$B$3:$B$2002,$A87,'Lançar Resultado'!$P$3:$P$2002,10))</f>
        <v/>
      </c>
      <c r="M87" s="77" t="str">
        <f aca="false">IF($A87="","",IF(($F87+$G87)=0,"",$F87/($F87+$G87)*100))</f>
        <v/>
      </c>
    </row>
    <row r="88" customFormat="false" ht="18" hidden="false" customHeight="true" outlineLevel="0" collapsed="false">
      <c r="A88" s="75" t="str">
        <f aca="false">IF(Inspeções!$B88="","",Inspeções!$A88)</f>
        <v/>
      </c>
      <c r="B88" s="39" t="str">
        <f aca="false">IF($A88="","",Inspeções!$B88)</f>
        <v/>
      </c>
      <c r="C88" s="40" t="str">
        <f aca="false">IF($A88="","",Inspeções!$E88)</f>
        <v/>
      </c>
      <c r="D88" s="40" t="str">
        <f aca="false">IF($A88="","",Inspeções!$F88)</f>
        <v/>
      </c>
      <c r="E88" s="39" t="str">
        <f aca="false">IF($A88="","",COUNTIFS('Lançar Resultado'!$A$3:$A$2002,$B88,'Lançar Resultado'!$B$3:$B$2002,$A88))</f>
        <v/>
      </c>
      <c r="F88" s="39" t="str">
        <f aca="false">IF($A88="","",COUNTIFS('Lançar Resultado'!$A$3:$A$2002,$B88,'Lançar Resultado'!$B$3:$B$2002,$A88,'Lançar Resultado'!$G$3:$G$2002,"OK"))</f>
        <v/>
      </c>
      <c r="G88" s="39" t="str">
        <f aca="false">IF($A88="","",COUNTIFS('Lançar Resultado'!$A$3:$A$2002,$B88,'Lançar Resultado'!$B$3:$B$2002,$A88,'Lançar Resultado'!$G$3:$G$2002,"NOK"))</f>
        <v/>
      </c>
      <c r="H88" s="39" t="str">
        <f aca="false">IF($A88="","",COUNTIFS('Lançar Resultado'!$A$3:$A$2002,$B88,'Lançar Resultado'!$B$3:$B$2002,$A88,'Lançar Resultado'!$G$3:$G$2002,"N/A"))</f>
        <v/>
      </c>
      <c r="I88" s="39" t="str">
        <f aca="false">IF($A88="","",IF($E88=0,"",SUMPRODUCT(MAX(('Lançar Resultado'!$A$3:$A$2002=$B88)*('Lançar Resultado'!$B$3:$B$2002=$A88)*'Lançar Resultado'!$R$3:$R$2002))))</f>
        <v/>
      </c>
      <c r="J88" s="39" t="str">
        <f aca="false">IF($A88="","",COUNTIFS('Lançar Resultado'!$A$3:$A$2002,$B88,'Lançar Resultado'!$B$3:$B$2002,$A88,'Lançar Resultado'!$O$3:$O$2002,"Sim"))</f>
        <v/>
      </c>
      <c r="K88" s="76" t="str">
        <f aca="false">IF($A88="","",COUNTIFS('Lançar Resultado'!$A$3:$A$2002,$B88,'Lançar Resultado'!$B$3:$B$2002,$A88,'Lançar Resultado'!$N$3:$N$2002,"Alta"))</f>
        <v/>
      </c>
      <c r="L88" s="76" t="str">
        <f aca="false">IF($A88="","",COUNTIFS('Lançar Resultado'!$A$3:$A$2002,$B88,'Lançar Resultado'!$B$3:$B$2002,$A88,'Lançar Resultado'!$P$3:$P$2002,10))</f>
        <v/>
      </c>
      <c r="M88" s="77" t="str">
        <f aca="false">IF($A88="","",IF(($F88+$G88)=0,"",$F88/($F88+$G88)*100))</f>
        <v/>
      </c>
    </row>
    <row r="89" customFormat="false" ht="18" hidden="false" customHeight="true" outlineLevel="0" collapsed="false">
      <c r="A89" s="75" t="str">
        <f aca="false">IF(Inspeções!$B89="","",Inspeções!$A89)</f>
        <v/>
      </c>
      <c r="B89" s="39" t="str">
        <f aca="false">IF($A89="","",Inspeções!$B89)</f>
        <v/>
      </c>
      <c r="C89" s="40" t="str">
        <f aca="false">IF($A89="","",Inspeções!$E89)</f>
        <v/>
      </c>
      <c r="D89" s="40" t="str">
        <f aca="false">IF($A89="","",Inspeções!$F89)</f>
        <v/>
      </c>
      <c r="E89" s="39" t="str">
        <f aca="false">IF($A89="","",COUNTIFS('Lançar Resultado'!$A$3:$A$2002,$B89,'Lançar Resultado'!$B$3:$B$2002,$A89))</f>
        <v/>
      </c>
      <c r="F89" s="39" t="str">
        <f aca="false">IF($A89="","",COUNTIFS('Lançar Resultado'!$A$3:$A$2002,$B89,'Lançar Resultado'!$B$3:$B$2002,$A89,'Lançar Resultado'!$G$3:$G$2002,"OK"))</f>
        <v/>
      </c>
      <c r="G89" s="39" t="str">
        <f aca="false">IF($A89="","",COUNTIFS('Lançar Resultado'!$A$3:$A$2002,$B89,'Lançar Resultado'!$B$3:$B$2002,$A89,'Lançar Resultado'!$G$3:$G$2002,"NOK"))</f>
        <v/>
      </c>
      <c r="H89" s="39" t="str">
        <f aca="false">IF($A89="","",COUNTIFS('Lançar Resultado'!$A$3:$A$2002,$B89,'Lançar Resultado'!$B$3:$B$2002,$A89,'Lançar Resultado'!$G$3:$G$2002,"N/A"))</f>
        <v/>
      </c>
      <c r="I89" s="39" t="str">
        <f aca="false">IF($A89="","",IF($E89=0,"",SUMPRODUCT(MAX(('Lançar Resultado'!$A$3:$A$2002=$B89)*('Lançar Resultado'!$B$3:$B$2002=$A89)*'Lançar Resultado'!$R$3:$R$2002))))</f>
        <v/>
      </c>
      <c r="J89" s="39" t="str">
        <f aca="false">IF($A89="","",COUNTIFS('Lançar Resultado'!$A$3:$A$2002,$B89,'Lançar Resultado'!$B$3:$B$2002,$A89,'Lançar Resultado'!$O$3:$O$2002,"Sim"))</f>
        <v/>
      </c>
      <c r="K89" s="76" t="str">
        <f aca="false">IF($A89="","",COUNTIFS('Lançar Resultado'!$A$3:$A$2002,$B89,'Lançar Resultado'!$B$3:$B$2002,$A89,'Lançar Resultado'!$N$3:$N$2002,"Alta"))</f>
        <v/>
      </c>
      <c r="L89" s="76" t="str">
        <f aca="false">IF($A89="","",COUNTIFS('Lançar Resultado'!$A$3:$A$2002,$B89,'Lançar Resultado'!$B$3:$B$2002,$A89,'Lançar Resultado'!$P$3:$P$2002,10))</f>
        <v/>
      </c>
      <c r="M89" s="77" t="str">
        <f aca="false">IF($A89="","",IF(($F89+$G89)=0,"",$F89/($F89+$G89)*100))</f>
        <v/>
      </c>
    </row>
    <row r="90" customFormat="false" ht="18" hidden="false" customHeight="true" outlineLevel="0" collapsed="false">
      <c r="A90" s="75" t="str">
        <f aca="false">IF(Inspeções!$B90="","",Inspeções!$A90)</f>
        <v/>
      </c>
      <c r="B90" s="39" t="str">
        <f aca="false">IF($A90="","",Inspeções!$B90)</f>
        <v/>
      </c>
      <c r="C90" s="40" t="str">
        <f aca="false">IF($A90="","",Inspeções!$E90)</f>
        <v/>
      </c>
      <c r="D90" s="40" t="str">
        <f aca="false">IF($A90="","",Inspeções!$F90)</f>
        <v/>
      </c>
      <c r="E90" s="39" t="str">
        <f aca="false">IF($A90="","",COUNTIFS('Lançar Resultado'!$A$3:$A$2002,$B90,'Lançar Resultado'!$B$3:$B$2002,$A90))</f>
        <v/>
      </c>
      <c r="F90" s="39" t="str">
        <f aca="false">IF($A90="","",COUNTIFS('Lançar Resultado'!$A$3:$A$2002,$B90,'Lançar Resultado'!$B$3:$B$2002,$A90,'Lançar Resultado'!$G$3:$G$2002,"OK"))</f>
        <v/>
      </c>
      <c r="G90" s="39" t="str">
        <f aca="false">IF($A90="","",COUNTIFS('Lançar Resultado'!$A$3:$A$2002,$B90,'Lançar Resultado'!$B$3:$B$2002,$A90,'Lançar Resultado'!$G$3:$G$2002,"NOK"))</f>
        <v/>
      </c>
      <c r="H90" s="39" t="str">
        <f aca="false">IF($A90="","",COUNTIFS('Lançar Resultado'!$A$3:$A$2002,$B90,'Lançar Resultado'!$B$3:$B$2002,$A90,'Lançar Resultado'!$G$3:$G$2002,"N/A"))</f>
        <v/>
      </c>
      <c r="I90" s="39" t="str">
        <f aca="false">IF($A90="","",IF($E90=0,"",SUMPRODUCT(MAX(('Lançar Resultado'!$A$3:$A$2002=$B90)*('Lançar Resultado'!$B$3:$B$2002=$A90)*'Lançar Resultado'!$R$3:$R$2002))))</f>
        <v/>
      </c>
      <c r="J90" s="39" t="str">
        <f aca="false">IF($A90="","",COUNTIFS('Lançar Resultado'!$A$3:$A$2002,$B90,'Lançar Resultado'!$B$3:$B$2002,$A90,'Lançar Resultado'!$O$3:$O$2002,"Sim"))</f>
        <v/>
      </c>
      <c r="K90" s="76" t="str">
        <f aca="false">IF($A90="","",COUNTIFS('Lançar Resultado'!$A$3:$A$2002,$B90,'Lançar Resultado'!$B$3:$B$2002,$A90,'Lançar Resultado'!$N$3:$N$2002,"Alta"))</f>
        <v/>
      </c>
      <c r="L90" s="76" t="str">
        <f aca="false">IF($A90="","",COUNTIFS('Lançar Resultado'!$A$3:$A$2002,$B90,'Lançar Resultado'!$B$3:$B$2002,$A90,'Lançar Resultado'!$P$3:$P$2002,10))</f>
        <v/>
      </c>
      <c r="M90" s="77" t="str">
        <f aca="false">IF($A90="","",IF(($F90+$G90)=0,"",$F90/($F90+$G90)*100))</f>
        <v/>
      </c>
    </row>
    <row r="91" customFormat="false" ht="18" hidden="false" customHeight="true" outlineLevel="0" collapsed="false">
      <c r="A91" s="75" t="str">
        <f aca="false">IF(Inspeções!$B91="","",Inspeções!$A91)</f>
        <v/>
      </c>
      <c r="B91" s="39" t="str">
        <f aca="false">IF($A91="","",Inspeções!$B91)</f>
        <v/>
      </c>
      <c r="C91" s="40" t="str">
        <f aca="false">IF($A91="","",Inspeções!$E91)</f>
        <v/>
      </c>
      <c r="D91" s="40" t="str">
        <f aca="false">IF($A91="","",Inspeções!$F91)</f>
        <v/>
      </c>
      <c r="E91" s="39" t="str">
        <f aca="false">IF($A91="","",COUNTIFS('Lançar Resultado'!$A$3:$A$2002,$B91,'Lançar Resultado'!$B$3:$B$2002,$A91))</f>
        <v/>
      </c>
      <c r="F91" s="39" t="str">
        <f aca="false">IF($A91="","",COUNTIFS('Lançar Resultado'!$A$3:$A$2002,$B91,'Lançar Resultado'!$B$3:$B$2002,$A91,'Lançar Resultado'!$G$3:$G$2002,"OK"))</f>
        <v/>
      </c>
      <c r="G91" s="39" t="str">
        <f aca="false">IF($A91="","",COUNTIFS('Lançar Resultado'!$A$3:$A$2002,$B91,'Lançar Resultado'!$B$3:$B$2002,$A91,'Lançar Resultado'!$G$3:$G$2002,"NOK"))</f>
        <v/>
      </c>
      <c r="H91" s="39" t="str">
        <f aca="false">IF($A91="","",COUNTIFS('Lançar Resultado'!$A$3:$A$2002,$B91,'Lançar Resultado'!$B$3:$B$2002,$A91,'Lançar Resultado'!$G$3:$G$2002,"N/A"))</f>
        <v/>
      </c>
      <c r="I91" s="39" t="str">
        <f aca="false">IF($A91="","",IF($E91=0,"",SUMPRODUCT(MAX(('Lançar Resultado'!$A$3:$A$2002=$B91)*('Lançar Resultado'!$B$3:$B$2002=$A91)*'Lançar Resultado'!$R$3:$R$2002))))</f>
        <v/>
      </c>
      <c r="J91" s="39" t="str">
        <f aca="false">IF($A91="","",COUNTIFS('Lançar Resultado'!$A$3:$A$2002,$B91,'Lançar Resultado'!$B$3:$B$2002,$A91,'Lançar Resultado'!$O$3:$O$2002,"Sim"))</f>
        <v/>
      </c>
      <c r="K91" s="76" t="str">
        <f aca="false">IF($A91="","",COUNTIFS('Lançar Resultado'!$A$3:$A$2002,$B91,'Lançar Resultado'!$B$3:$B$2002,$A91,'Lançar Resultado'!$N$3:$N$2002,"Alta"))</f>
        <v/>
      </c>
      <c r="L91" s="76" t="str">
        <f aca="false">IF($A91="","",COUNTIFS('Lançar Resultado'!$A$3:$A$2002,$B91,'Lançar Resultado'!$B$3:$B$2002,$A91,'Lançar Resultado'!$P$3:$P$2002,10))</f>
        <v/>
      </c>
      <c r="M91" s="77" t="str">
        <f aca="false">IF($A91="","",IF(($F91+$G91)=0,"",$F91/($F91+$G91)*100))</f>
        <v/>
      </c>
    </row>
    <row r="92" customFormat="false" ht="18" hidden="false" customHeight="true" outlineLevel="0" collapsed="false">
      <c r="A92" s="75" t="str">
        <f aca="false">IF(Inspeções!$B92="","",Inspeções!$A92)</f>
        <v/>
      </c>
      <c r="B92" s="39" t="str">
        <f aca="false">IF($A92="","",Inspeções!$B92)</f>
        <v/>
      </c>
      <c r="C92" s="40" t="str">
        <f aca="false">IF($A92="","",Inspeções!$E92)</f>
        <v/>
      </c>
      <c r="D92" s="40" t="str">
        <f aca="false">IF($A92="","",Inspeções!$F92)</f>
        <v/>
      </c>
      <c r="E92" s="39" t="str">
        <f aca="false">IF($A92="","",COUNTIFS('Lançar Resultado'!$A$3:$A$2002,$B92,'Lançar Resultado'!$B$3:$B$2002,$A92))</f>
        <v/>
      </c>
      <c r="F92" s="39" t="str">
        <f aca="false">IF($A92="","",COUNTIFS('Lançar Resultado'!$A$3:$A$2002,$B92,'Lançar Resultado'!$B$3:$B$2002,$A92,'Lançar Resultado'!$G$3:$G$2002,"OK"))</f>
        <v/>
      </c>
      <c r="G92" s="39" t="str">
        <f aca="false">IF($A92="","",COUNTIFS('Lançar Resultado'!$A$3:$A$2002,$B92,'Lançar Resultado'!$B$3:$B$2002,$A92,'Lançar Resultado'!$G$3:$G$2002,"NOK"))</f>
        <v/>
      </c>
      <c r="H92" s="39" t="str">
        <f aca="false">IF($A92="","",COUNTIFS('Lançar Resultado'!$A$3:$A$2002,$B92,'Lançar Resultado'!$B$3:$B$2002,$A92,'Lançar Resultado'!$G$3:$G$2002,"N/A"))</f>
        <v/>
      </c>
      <c r="I92" s="39" t="str">
        <f aca="false">IF($A92="","",IF($E92=0,"",SUMPRODUCT(MAX(('Lançar Resultado'!$A$3:$A$2002=$B92)*('Lançar Resultado'!$B$3:$B$2002=$A92)*'Lançar Resultado'!$R$3:$R$2002))))</f>
        <v/>
      </c>
      <c r="J92" s="39" t="str">
        <f aca="false">IF($A92="","",COUNTIFS('Lançar Resultado'!$A$3:$A$2002,$B92,'Lançar Resultado'!$B$3:$B$2002,$A92,'Lançar Resultado'!$O$3:$O$2002,"Sim"))</f>
        <v/>
      </c>
      <c r="K92" s="76" t="str">
        <f aca="false">IF($A92="","",COUNTIFS('Lançar Resultado'!$A$3:$A$2002,$B92,'Lançar Resultado'!$B$3:$B$2002,$A92,'Lançar Resultado'!$N$3:$N$2002,"Alta"))</f>
        <v/>
      </c>
      <c r="L92" s="76" t="str">
        <f aca="false">IF($A92="","",COUNTIFS('Lançar Resultado'!$A$3:$A$2002,$B92,'Lançar Resultado'!$B$3:$B$2002,$A92,'Lançar Resultado'!$P$3:$P$2002,10))</f>
        <v/>
      </c>
      <c r="M92" s="77" t="str">
        <f aca="false">IF($A92="","",IF(($F92+$G92)=0,"",$F92/($F92+$G92)*100))</f>
        <v/>
      </c>
    </row>
    <row r="93" customFormat="false" ht="18" hidden="false" customHeight="true" outlineLevel="0" collapsed="false">
      <c r="A93" s="75" t="str">
        <f aca="false">IF(Inspeções!$B93="","",Inspeções!$A93)</f>
        <v/>
      </c>
      <c r="B93" s="39" t="str">
        <f aca="false">IF($A93="","",Inspeções!$B93)</f>
        <v/>
      </c>
      <c r="C93" s="40" t="str">
        <f aca="false">IF($A93="","",Inspeções!$E93)</f>
        <v/>
      </c>
      <c r="D93" s="40" t="str">
        <f aca="false">IF($A93="","",Inspeções!$F93)</f>
        <v/>
      </c>
      <c r="E93" s="39" t="str">
        <f aca="false">IF($A93="","",COUNTIFS('Lançar Resultado'!$A$3:$A$2002,$B93,'Lançar Resultado'!$B$3:$B$2002,$A93))</f>
        <v/>
      </c>
      <c r="F93" s="39" t="str">
        <f aca="false">IF($A93="","",COUNTIFS('Lançar Resultado'!$A$3:$A$2002,$B93,'Lançar Resultado'!$B$3:$B$2002,$A93,'Lançar Resultado'!$G$3:$G$2002,"OK"))</f>
        <v/>
      </c>
      <c r="G93" s="39" t="str">
        <f aca="false">IF($A93="","",COUNTIFS('Lançar Resultado'!$A$3:$A$2002,$B93,'Lançar Resultado'!$B$3:$B$2002,$A93,'Lançar Resultado'!$G$3:$G$2002,"NOK"))</f>
        <v/>
      </c>
      <c r="H93" s="39" t="str">
        <f aca="false">IF($A93="","",COUNTIFS('Lançar Resultado'!$A$3:$A$2002,$B93,'Lançar Resultado'!$B$3:$B$2002,$A93,'Lançar Resultado'!$G$3:$G$2002,"N/A"))</f>
        <v/>
      </c>
      <c r="I93" s="39" t="str">
        <f aca="false">IF($A93="","",IF($E93=0,"",SUMPRODUCT(MAX(('Lançar Resultado'!$A$3:$A$2002=$B93)*('Lançar Resultado'!$B$3:$B$2002=$A93)*'Lançar Resultado'!$R$3:$R$2002))))</f>
        <v/>
      </c>
      <c r="J93" s="39" t="str">
        <f aca="false">IF($A93="","",COUNTIFS('Lançar Resultado'!$A$3:$A$2002,$B93,'Lançar Resultado'!$B$3:$B$2002,$A93,'Lançar Resultado'!$O$3:$O$2002,"Sim"))</f>
        <v/>
      </c>
      <c r="K93" s="76" t="str">
        <f aca="false">IF($A93="","",COUNTIFS('Lançar Resultado'!$A$3:$A$2002,$B93,'Lançar Resultado'!$B$3:$B$2002,$A93,'Lançar Resultado'!$N$3:$N$2002,"Alta"))</f>
        <v/>
      </c>
      <c r="L93" s="76" t="str">
        <f aca="false">IF($A93="","",COUNTIFS('Lançar Resultado'!$A$3:$A$2002,$B93,'Lançar Resultado'!$B$3:$B$2002,$A93,'Lançar Resultado'!$P$3:$P$2002,10))</f>
        <v/>
      </c>
      <c r="M93" s="77" t="str">
        <f aca="false">IF($A93="","",IF(($F93+$G93)=0,"",$F93/($F93+$G93)*100))</f>
        <v/>
      </c>
    </row>
    <row r="94" customFormat="false" ht="18" hidden="false" customHeight="true" outlineLevel="0" collapsed="false">
      <c r="A94" s="75" t="str">
        <f aca="false">IF(Inspeções!$B94="","",Inspeções!$A94)</f>
        <v/>
      </c>
      <c r="B94" s="39" t="str">
        <f aca="false">IF($A94="","",Inspeções!$B94)</f>
        <v/>
      </c>
      <c r="C94" s="40" t="str">
        <f aca="false">IF($A94="","",Inspeções!$E94)</f>
        <v/>
      </c>
      <c r="D94" s="40" t="str">
        <f aca="false">IF($A94="","",Inspeções!$F94)</f>
        <v/>
      </c>
      <c r="E94" s="39" t="str">
        <f aca="false">IF($A94="","",COUNTIFS('Lançar Resultado'!$A$3:$A$2002,$B94,'Lançar Resultado'!$B$3:$B$2002,$A94))</f>
        <v/>
      </c>
      <c r="F94" s="39" t="str">
        <f aca="false">IF($A94="","",COUNTIFS('Lançar Resultado'!$A$3:$A$2002,$B94,'Lançar Resultado'!$B$3:$B$2002,$A94,'Lançar Resultado'!$G$3:$G$2002,"OK"))</f>
        <v/>
      </c>
      <c r="G94" s="39" t="str">
        <f aca="false">IF($A94="","",COUNTIFS('Lançar Resultado'!$A$3:$A$2002,$B94,'Lançar Resultado'!$B$3:$B$2002,$A94,'Lançar Resultado'!$G$3:$G$2002,"NOK"))</f>
        <v/>
      </c>
      <c r="H94" s="39" t="str">
        <f aca="false">IF($A94="","",COUNTIFS('Lançar Resultado'!$A$3:$A$2002,$B94,'Lançar Resultado'!$B$3:$B$2002,$A94,'Lançar Resultado'!$G$3:$G$2002,"N/A"))</f>
        <v/>
      </c>
      <c r="I94" s="39" t="str">
        <f aca="false">IF($A94="","",IF($E94=0,"",SUMPRODUCT(MAX(('Lançar Resultado'!$A$3:$A$2002=$B94)*('Lançar Resultado'!$B$3:$B$2002=$A94)*'Lançar Resultado'!$R$3:$R$2002))))</f>
        <v/>
      </c>
      <c r="J94" s="39" t="str">
        <f aca="false">IF($A94="","",COUNTIFS('Lançar Resultado'!$A$3:$A$2002,$B94,'Lançar Resultado'!$B$3:$B$2002,$A94,'Lançar Resultado'!$O$3:$O$2002,"Sim"))</f>
        <v/>
      </c>
      <c r="K94" s="76" t="str">
        <f aca="false">IF($A94="","",COUNTIFS('Lançar Resultado'!$A$3:$A$2002,$B94,'Lançar Resultado'!$B$3:$B$2002,$A94,'Lançar Resultado'!$N$3:$N$2002,"Alta"))</f>
        <v/>
      </c>
      <c r="L94" s="76" t="str">
        <f aca="false">IF($A94="","",COUNTIFS('Lançar Resultado'!$A$3:$A$2002,$B94,'Lançar Resultado'!$B$3:$B$2002,$A94,'Lançar Resultado'!$P$3:$P$2002,10))</f>
        <v/>
      </c>
      <c r="M94" s="77" t="str">
        <f aca="false">IF($A94="","",IF(($F94+$G94)=0,"",$F94/($F94+$G94)*100))</f>
        <v/>
      </c>
    </row>
    <row r="95" customFormat="false" ht="18" hidden="false" customHeight="true" outlineLevel="0" collapsed="false">
      <c r="A95" s="75" t="str">
        <f aca="false">IF(Inspeções!$B95="","",Inspeções!$A95)</f>
        <v/>
      </c>
      <c r="B95" s="39" t="str">
        <f aca="false">IF($A95="","",Inspeções!$B95)</f>
        <v/>
      </c>
      <c r="C95" s="40" t="str">
        <f aca="false">IF($A95="","",Inspeções!$E95)</f>
        <v/>
      </c>
      <c r="D95" s="40" t="str">
        <f aca="false">IF($A95="","",Inspeções!$F95)</f>
        <v/>
      </c>
      <c r="E95" s="39" t="str">
        <f aca="false">IF($A95="","",COUNTIFS('Lançar Resultado'!$A$3:$A$2002,$B95,'Lançar Resultado'!$B$3:$B$2002,$A95))</f>
        <v/>
      </c>
      <c r="F95" s="39" t="str">
        <f aca="false">IF($A95="","",COUNTIFS('Lançar Resultado'!$A$3:$A$2002,$B95,'Lançar Resultado'!$B$3:$B$2002,$A95,'Lançar Resultado'!$G$3:$G$2002,"OK"))</f>
        <v/>
      </c>
      <c r="G95" s="39" t="str">
        <f aca="false">IF($A95="","",COUNTIFS('Lançar Resultado'!$A$3:$A$2002,$B95,'Lançar Resultado'!$B$3:$B$2002,$A95,'Lançar Resultado'!$G$3:$G$2002,"NOK"))</f>
        <v/>
      </c>
      <c r="H95" s="39" t="str">
        <f aca="false">IF($A95="","",COUNTIFS('Lançar Resultado'!$A$3:$A$2002,$B95,'Lançar Resultado'!$B$3:$B$2002,$A95,'Lançar Resultado'!$G$3:$G$2002,"N/A"))</f>
        <v/>
      </c>
      <c r="I95" s="39" t="str">
        <f aca="false">IF($A95="","",IF($E95=0,"",SUMPRODUCT(MAX(('Lançar Resultado'!$A$3:$A$2002=$B95)*('Lançar Resultado'!$B$3:$B$2002=$A95)*'Lançar Resultado'!$R$3:$R$2002))))</f>
        <v/>
      </c>
      <c r="J95" s="39" t="str">
        <f aca="false">IF($A95="","",COUNTIFS('Lançar Resultado'!$A$3:$A$2002,$B95,'Lançar Resultado'!$B$3:$B$2002,$A95,'Lançar Resultado'!$O$3:$O$2002,"Sim"))</f>
        <v/>
      </c>
      <c r="K95" s="76" t="str">
        <f aca="false">IF($A95="","",COUNTIFS('Lançar Resultado'!$A$3:$A$2002,$B95,'Lançar Resultado'!$B$3:$B$2002,$A95,'Lançar Resultado'!$N$3:$N$2002,"Alta"))</f>
        <v/>
      </c>
      <c r="L95" s="76" t="str">
        <f aca="false">IF($A95="","",COUNTIFS('Lançar Resultado'!$A$3:$A$2002,$B95,'Lançar Resultado'!$B$3:$B$2002,$A95,'Lançar Resultado'!$P$3:$P$2002,10))</f>
        <v/>
      </c>
      <c r="M95" s="77" t="str">
        <f aca="false">IF($A95="","",IF(($F95+$G95)=0,"",$F95/($F95+$G95)*100))</f>
        <v/>
      </c>
    </row>
    <row r="96" customFormat="false" ht="18" hidden="false" customHeight="true" outlineLevel="0" collapsed="false">
      <c r="A96" s="75" t="str">
        <f aca="false">IF(Inspeções!$B96="","",Inspeções!$A96)</f>
        <v/>
      </c>
      <c r="B96" s="39" t="str">
        <f aca="false">IF($A96="","",Inspeções!$B96)</f>
        <v/>
      </c>
      <c r="C96" s="40" t="str">
        <f aca="false">IF($A96="","",Inspeções!$E96)</f>
        <v/>
      </c>
      <c r="D96" s="40" t="str">
        <f aca="false">IF($A96="","",Inspeções!$F96)</f>
        <v/>
      </c>
      <c r="E96" s="39" t="str">
        <f aca="false">IF($A96="","",COUNTIFS('Lançar Resultado'!$A$3:$A$2002,$B96,'Lançar Resultado'!$B$3:$B$2002,$A96))</f>
        <v/>
      </c>
      <c r="F96" s="39" t="str">
        <f aca="false">IF($A96="","",COUNTIFS('Lançar Resultado'!$A$3:$A$2002,$B96,'Lançar Resultado'!$B$3:$B$2002,$A96,'Lançar Resultado'!$G$3:$G$2002,"OK"))</f>
        <v/>
      </c>
      <c r="G96" s="39" t="str">
        <f aca="false">IF($A96="","",COUNTIFS('Lançar Resultado'!$A$3:$A$2002,$B96,'Lançar Resultado'!$B$3:$B$2002,$A96,'Lançar Resultado'!$G$3:$G$2002,"NOK"))</f>
        <v/>
      </c>
      <c r="H96" s="39" t="str">
        <f aca="false">IF($A96="","",COUNTIFS('Lançar Resultado'!$A$3:$A$2002,$B96,'Lançar Resultado'!$B$3:$B$2002,$A96,'Lançar Resultado'!$G$3:$G$2002,"N/A"))</f>
        <v/>
      </c>
      <c r="I96" s="39" t="str">
        <f aca="false">IF($A96="","",IF($E96=0,"",SUMPRODUCT(MAX(('Lançar Resultado'!$A$3:$A$2002=$B96)*('Lançar Resultado'!$B$3:$B$2002=$A96)*'Lançar Resultado'!$R$3:$R$2002))))</f>
        <v/>
      </c>
      <c r="J96" s="39" t="str">
        <f aca="false">IF($A96="","",COUNTIFS('Lançar Resultado'!$A$3:$A$2002,$B96,'Lançar Resultado'!$B$3:$B$2002,$A96,'Lançar Resultado'!$O$3:$O$2002,"Sim"))</f>
        <v/>
      </c>
      <c r="K96" s="76" t="str">
        <f aca="false">IF($A96="","",COUNTIFS('Lançar Resultado'!$A$3:$A$2002,$B96,'Lançar Resultado'!$B$3:$B$2002,$A96,'Lançar Resultado'!$N$3:$N$2002,"Alta"))</f>
        <v/>
      </c>
      <c r="L96" s="76" t="str">
        <f aca="false">IF($A96="","",COUNTIFS('Lançar Resultado'!$A$3:$A$2002,$B96,'Lançar Resultado'!$B$3:$B$2002,$A96,'Lançar Resultado'!$P$3:$P$2002,10))</f>
        <v/>
      </c>
      <c r="M96" s="77" t="str">
        <f aca="false">IF($A96="","",IF(($F96+$G96)=0,"",$F96/($F96+$G96)*100))</f>
        <v/>
      </c>
    </row>
    <row r="97" customFormat="false" ht="18" hidden="false" customHeight="true" outlineLevel="0" collapsed="false">
      <c r="A97" s="75" t="str">
        <f aca="false">IF(Inspeções!$B97="","",Inspeções!$A97)</f>
        <v/>
      </c>
      <c r="B97" s="39" t="str">
        <f aca="false">IF($A97="","",Inspeções!$B97)</f>
        <v/>
      </c>
      <c r="C97" s="40" t="str">
        <f aca="false">IF($A97="","",Inspeções!$E97)</f>
        <v/>
      </c>
      <c r="D97" s="40" t="str">
        <f aca="false">IF($A97="","",Inspeções!$F97)</f>
        <v/>
      </c>
      <c r="E97" s="39" t="str">
        <f aca="false">IF($A97="","",COUNTIFS('Lançar Resultado'!$A$3:$A$2002,$B97,'Lançar Resultado'!$B$3:$B$2002,$A97))</f>
        <v/>
      </c>
      <c r="F97" s="39" t="str">
        <f aca="false">IF($A97="","",COUNTIFS('Lançar Resultado'!$A$3:$A$2002,$B97,'Lançar Resultado'!$B$3:$B$2002,$A97,'Lançar Resultado'!$G$3:$G$2002,"OK"))</f>
        <v/>
      </c>
      <c r="G97" s="39" t="str">
        <f aca="false">IF($A97="","",COUNTIFS('Lançar Resultado'!$A$3:$A$2002,$B97,'Lançar Resultado'!$B$3:$B$2002,$A97,'Lançar Resultado'!$G$3:$G$2002,"NOK"))</f>
        <v/>
      </c>
      <c r="H97" s="39" t="str">
        <f aca="false">IF($A97="","",COUNTIFS('Lançar Resultado'!$A$3:$A$2002,$B97,'Lançar Resultado'!$B$3:$B$2002,$A97,'Lançar Resultado'!$G$3:$G$2002,"N/A"))</f>
        <v/>
      </c>
      <c r="I97" s="39" t="str">
        <f aca="false">IF($A97="","",IF($E97=0,"",SUMPRODUCT(MAX(('Lançar Resultado'!$A$3:$A$2002=$B97)*('Lançar Resultado'!$B$3:$B$2002=$A97)*'Lançar Resultado'!$R$3:$R$2002))))</f>
        <v/>
      </c>
      <c r="J97" s="39" t="str">
        <f aca="false">IF($A97="","",COUNTIFS('Lançar Resultado'!$A$3:$A$2002,$B97,'Lançar Resultado'!$B$3:$B$2002,$A97,'Lançar Resultado'!$O$3:$O$2002,"Sim"))</f>
        <v/>
      </c>
      <c r="K97" s="76" t="str">
        <f aca="false">IF($A97="","",COUNTIFS('Lançar Resultado'!$A$3:$A$2002,$B97,'Lançar Resultado'!$B$3:$B$2002,$A97,'Lançar Resultado'!$N$3:$N$2002,"Alta"))</f>
        <v/>
      </c>
      <c r="L97" s="76" t="str">
        <f aca="false">IF($A97="","",COUNTIFS('Lançar Resultado'!$A$3:$A$2002,$B97,'Lançar Resultado'!$B$3:$B$2002,$A97,'Lançar Resultado'!$P$3:$P$2002,10))</f>
        <v/>
      </c>
      <c r="M97" s="77" t="str">
        <f aca="false">IF($A97="","",IF(($F97+$G97)=0,"",$F97/($F97+$G97)*100))</f>
        <v/>
      </c>
    </row>
    <row r="98" customFormat="false" ht="18" hidden="false" customHeight="true" outlineLevel="0" collapsed="false">
      <c r="A98" s="75" t="str">
        <f aca="false">IF(Inspeções!$B98="","",Inspeções!$A98)</f>
        <v/>
      </c>
      <c r="B98" s="39" t="str">
        <f aca="false">IF($A98="","",Inspeções!$B98)</f>
        <v/>
      </c>
      <c r="C98" s="40" t="str">
        <f aca="false">IF($A98="","",Inspeções!$E98)</f>
        <v/>
      </c>
      <c r="D98" s="40" t="str">
        <f aca="false">IF($A98="","",Inspeções!$F98)</f>
        <v/>
      </c>
      <c r="E98" s="39" t="str">
        <f aca="false">IF($A98="","",COUNTIFS('Lançar Resultado'!$A$3:$A$2002,$B98,'Lançar Resultado'!$B$3:$B$2002,$A98))</f>
        <v/>
      </c>
      <c r="F98" s="39" t="str">
        <f aca="false">IF($A98="","",COUNTIFS('Lançar Resultado'!$A$3:$A$2002,$B98,'Lançar Resultado'!$B$3:$B$2002,$A98,'Lançar Resultado'!$G$3:$G$2002,"OK"))</f>
        <v/>
      </c>
      <c r="G98" s="39" t="str">
        <f aca="false">IF($A98="","",COUNTIFS('Lançar Resultado'!$A$3:$A$2002,$B98,'Lançar Resultado'!$B$3:$B$2002,$A98,'Lançar Resultado'!$G$3:$G$2002,"NOK"))</f>
        <v/>
      </c>
      <c r="H98" s="39" t="str">
        <f aca="false">IF($A98="","",COUNTIFS('Lançar Resultado'!$A$3:$A$2002,$B98,'Lançar Resultado'!$B$3:$B$2002,$A98,'Lançar Resultado'!$G$3:$G$2002,"N/A"))</f>
        <v/>
      </c>
      <c r="I98" s="39" t="str">
        <f aca="false">IF($A98="","",IF($E98=0,"",SUMPRODUCT(MAX(('Lançar Resultado'!$A$3:$A$2002=$B98)*('Lançar Resultado'!$B$3:$B$2002=$A98)*'Lançar Resultado'!$R$3:$R$2002))))</f>
        <v/>
      </c>
      <c r="J98" s="39" t="str">
        <f aca="false">IF($A98="","",COUNTIFS('Lançar Resultado'!$A$3:$A$2002,$B98,'Lançar Resultado'!$B$3:$B$2002,$A98,'Lançar Resultado'!$O$3:$O$2002,"Sim"))</f>
        <v/>
      </c>
      <c r="K98" s="76" t="str">
        <f aca="false">IF($A98="","",COUNTIFS('Lançar Resultado'!$A$3:$A$2002,$B98,'Lançar Resultado'!$B$3:$B$2002,$A98,'Lançar Resultado'!$N$3:$N$2002,"Alta"))</f>
        <v/>
      </c>
      <c r="L98" s="76" t="str">
        <f aca="false">IF($A98="","",COUNTIFS('Lançar Resultado'!$A$3:$A$2002,$B98,'Lançar Resultado'!$B$3:$B$2002,$A98,'Lançar Resultado'!$P$3:$P$2002,10))</f>
        <v/>
      </c>
      <c r="M98" s="77" t="str">
        <f aca="false">IF($A98="","",IF(($F98+$G98)=0,"",$F98/($F98+$G98)*100))</f>
        <v/>
      </c>
    </row>
    <row r="99" customFormat="false" ht="18" hidden="false" customHeight="true" outlineLevel="0" collapsed="false">
      <c r="A99" s="75" t="str">
        <f aca="false">IF(Inspeções!$B99="","",Inspeções!$A99)</f>
        <v/>
      </c>
      <c r="B99" s="39" t="str">
        <f aca="false">IF($A99="","",Inspeções!$B99)</f>
        <v/>
      </c>
      <c r="C99" s="40" t="str">
        <f aca="false">IF($A99="","",Inspeções!$E99)</f>
        <v/>
      </c>
      <c r="D99" s="40" t="str">
        <f aca="false">IF($A99="","",Inspeções!$F99)</f>
        <v/>
      </c>
      <c r="E99" s="39" t="str">
        <f aca="false">IF($A99="","",COUNTIFS('Lançar Resultado'!$A$3:$A$2002,$B99,'Lançar Resultado'!$B$3:$B$2002,$A99))</f>
        <v/>
      </c>
      <c r="F99" s="39" t="str">
        <f aca="false">IF($A99="","",COUNTIFS('Lançar Resultado'!$A$3:$A$2002,$B99,'Lançar Resultado'!$B$3:$B$2002,$A99,'Lançar Resultado'!$G$3:$G$2002,"OK"))</f>
        <v/>
      </c>
      <c r="G99" s="39" t="str">
        <f aca="false">IF($A99="","",COUNTIFS('Lançar Resultado'!$A$3:$A$2002,$B99,'Lançar Resultado'!$B$3:$B$2002,$A99,'Lançar Resultado'!$G$3:$G$2002,"NOK"))</f>
        <v/>
      </c>
      <c r="H99" s="39" t="str">
        <f aca="false">IF($A99="","",COUNTIFS('Lançar Resultado'!$A$3:$A$2002,$B99,'Lançar Resultado'!$B$3:$B$2002,$A99,'Lançar Resultado'!$G$3:$G$2002,"N/A"))</f>
        <v/>
      </c>
      <c r="I99" s="39" t="str">
        <f aca="false">IF($A99="","",IF($E99=0,"",SUMPRODUCT(MAX(('Lançar Resultado'!$A$3:$A$2002=$B99)*('Lançar Resultado'!$B$3:$B$2002=$A99)*'Lançar Resultado'!$R$3:$R$2002))))</f>
        <v/>
      </c>
      <c r="J99" s="39" t="str">
        <f aca="false">IF($A99="","",COUNTIFS('Lançar Resultado'!$A$3:$A$2002,$B99,'Lançar Resultado'!$B$3:$B$2002,$A99,'Lançar Resultado'!$O$3:$O$2002,"Sim"))</f>
        <v/>
      </c>
      <c r="K99" s="76" t="str">
        <f aca="false">IF($A99="","",COUNTIFS('Lançar Resultado'!$A$3:$A$2002,$B99,'Lançar Resultado'!$B$3:$B$2002,$A99,'Lançar Resultado'!$N$3:$N$2002,"Alta"))</f>
        <v/>
      </c>
      <c r="L99" s="76" t="str">
        <f aca="false">IF($A99="","",COUNTIFS('Lançar Resultado'!$A$3:$A$2002,$B99,'Lançar Resultado'!$B$3:$B$2002,$A99,'Lançar Resultado'!$P$3:$P$2002,10))</f>
        <v/>
      </c>
      <c r="M99" s="77" t="str">
        <f aca="false">IF($A99="","",IF(($F99+$G99)=0,"",$F99/($F99+$G99)*100))</f>
        <v/>
      </c>
    </row>
    <row r="100" customFormat="false" ht="18" hidden="false" customHeight="true" outlineLevel="0" collapsed="false">
      <c r="A100" s="75" t="str">
        <f aca="false">IF(Inspeções!$B100="","",Inspeções!$A100)</f>
        <v/>
      </c>
      <c r="B100" s="39" t="str">
        <f aca="false">IF($A100="","",Inspeções!$B100)</f>
        <v/>
      </c>
      <c r="C100" s="40" t="str">
        <f aca="false">IF($A100="","",Inspeções!$E100)</f>
        <v/>
      </c>
      <c r="D100" s="40" t="str">
        <f aca="false">IF($A100="","",Inspeções!$F100)</f>
        <v/>
      </c>
      <c r="E100" s="39" t="str">
        <f aca="false">IF($A100="","",COUNTIFS('Lançar Resultado'!$A$3:$A$2002,$B100,'Lançar Resultado'!$B$3:$B$2002,$A100))</f>
        <v/>
      </c>
      <c r="F100" s="39" t="str">
        <f aca="false">IF($A100="","",COUNTIFS('Lançar Resultado'!$A$3:$A$2002,$B100,'Lançar Resultado'!$B$3:$B$2002,$A100,'Lançar Resultado'!$G$3:$G$2002,"OK"))</f>
        <v/>
      </c>
      <c r="G100" s="39" t="str">
        <f aca="false">IF($A100="","",COUNTIFS('Lançar Resultado'!$A$3:$A$2002,$B100,'Lançar Resultado'!$B$3:$B$2002,$A100,'Lançar Resultado'!$G$3:$G$2002,"NOK"))</f>
        <v/>
      </c>
      <c r="H100" s="39" t="str">
        <f aca="false">IF($A100="","",COUNTIFS('Lançar Resultado'!$A$3:$A$2002,$B100,'Lançar Resultado'!$B$3:$B$2002,$A100,'Lançar Resultado'!$G$3:$G$2002,"N/A"))</f>
        <v/>
      </c>
      <c r="I100" s="39" t="str">
        <f aca="false">IF($A100="","",IF($E100=0,"",SUMPRODUCT(MAX(('Lançar Resultado'!$A$3:$A$2002=$B100)*('Lançar Resultado'!$B$3:$B$2002=$A100)*'Lançar Resultado'!$R$3:$R$2002))))</f>
        <v/>
      </c>
      <c r="J100" s="39" t="str">
        <f aca="false">IF($A100="","",COUNTIFS('Lançar Resultado'!$A$3:$A$2002,$B100,'Lançar Resultado'!$B$3:$B$2002,$A100,'Lançar Resultado'!$O$3:$O$2002,"Sim"))</f>
        <v/>
      </c>
      <c r="K100" s="76" t="str">
        <f aca="false">IF($A100="","",COUNTIFS('Lançar Resultado'!$A$3:$A$2002,$B100,'Lançar Resultado'!$B$3:$B$2002,$A100,'Lançar Resultado'!$N$3:$N$2002,"Alta"))</f>
        <v/>
      </c>
      <c r="L100" s="76" t="str">
        <f aca="false">IF($A100="","",COUNTIFS('Lançar Resultado'!$A$3:$A$2002,$B100,'Lançar Resultado'!$B$3:$B$2002,$A100,'Lançar Resultado'!$P$3:$P$2002,10))</f>
        <v/>
      </c>
      <c r="M100" s="77" t="str">
        <f aca="false">IF($A100="","",IF(($F100+$G100)=0,"",$F100/($F100+$G100)*100))</f>
        <v/>
      </c>
    </row>
    <row r="101" customFormat="false" ht="18" hidden="false" customHeight="true" outlineLevel="0" collapsed="false">
      <c r="A101" s="75" t="str">
        <f aca="false">IF(Inspeções!$B101="","",Inspeções!$A101)</f>
        <v/>
      </c>
      <c r="B101" s="39" t="str">
        <f aca="false">IF($A101="","",Inspeções!$B101)</f>
        <v/>
      </c>
      <c r="C101" s="40" t="str">
        <f aca="false">IF($A101="","",Inspeções!$E101)</f>
        <v/>
      </c>
      <c r="D101" s="40" t="str">
        <f aca="false">IF($A101="","",Inspeções!$F101)</f>
        <v/>
      </c>
      <c r="E101" s="39" t="str">
        <f aca="false">IF($A101="","",COUNTIFS('Lançar Resultado'!$A$3:$A$2002,$B101,'Lançar Resultado'!$B$3:$B$2002,$A101))</f>
        <v/>
      </c>
      <c r="F101" s="39" t="str">
        <f aca="false">IF($A101="","",COUNTIFS('Lançar Resultado'!$A$3:$A$2002,$B101,'Lançar Resultado'!$B$3:$B$2002,$A101,'Lançar Resultado'!$G$3:$G$2002,"OK"))</f>
        <v/>
      </c>
      <c r="G101" s="39" t="str">
        <f aca="false">IF($A101="","",COUNTIFS('Lançar Resultado'!$A$3:$A$2002,$B101,'Lançar Resultado'!$B$3:$B$2002,$A101,'Lançar Resultado'!$G$3:$G$2002,"NOK"))</f>
        <v/>
      </c>
      <c r="H101" s="39" t="str">
        <f aca="false">IF($A101="","",COUNTIFS('Lançar Resultado'!$A$3:$A$2002,$B101,'Lançar Resultado'!$B$3:$B$2002,$A101,'Lançar Resultado'!$G$3:$G$2002,"N/A"))</f>
        <v/>
      </c>
      <c r="I101" s="39" t="str">
        <f aca="false">IF($A101="","",IF($E101=0,"",SUMPRODUCT(MAX(('Lançar Resultado'!$A$3:$A$2002=$B101)*('Lançar Resultado'!$B$3:$B$2002=$A101)*'Lançar Resultado'!$R$3:$R$2002))))</f>
        <v/>
      </c>
      <c r="J101" s="39" t="str">
        <f aca="false">IF($A101="","",COUNTIFS('Lançar Resultado'!$A$3:$A$2002,$B101,'Lançar Resultado'!$B$3:$B$2002,$A101,'Lançar Resultado'!$O$3:$O$2002,"Sim"))</f>
        <v/>
      </c>
      <c r="K101" s="76" t="str">
        <f aca="false">IF($A101="","",COUNTIFS('Lançar Resultado'!$A$3:$A$2002,$B101,'Lançar Resultado'!$B$3:$B$2002,$A101,'Lançar Resultado'!$N$3:$N$2002,"Alta"))</f>
        <v/>
      </c>
      <c r="L101" s="76" t="str">
        <f aca="false">IF($A101="","",COUNTIFS('Lançar Resultado'!$A$3:$A$2002,$B101,'Lançar Resultado'!$B$3:$B$2002,$A101,'Lançar Resultado'!$P$3:$P$2002,10))</f>
        <v/>
      </c>
      <c r="M101" s="77" t="str">
        <f aca="false">IF($A101="","",IF(($F101+$G101)=0,"",$F101/($F101+$G101)*100))</f>
        <v/>
      </c>
    </row>
    <row r="102" customFormat="false" ht="18" hidden="false" customHeight="true" outlineLevel="0" collapsed="false">
      <c r="A102" s="75" t="str">
        <f aca="false">IF(Inspeções!$B102="","",Inspeções!$A102)</f>
        <v/>
      </c>
      <c r="B102" s="39" t="str">
        <f aca="false">IF($A102="","",Inspeções!$B102)</f>
        <v/>
      </c>
      <c r="C102" s="40" t="str">
        <f aca="false">IF($A102="","",Inspeções!$E102)</f>
        <v/>
      </c>
      <c r="D102" s="40" t="str">
        <f aca="false">IF($A102="","",Inspeções!$F102)</f>
        <v/>
      </c>
      <c r="E102" s="39" t="str">
        <f aca="false">IF($A102="","",COUNTIFS('Lançar Resultado'!$A$3:$A$2002,$B102,'Lançar Resultado'!$B$3:$B$2002,$A102))</f>
        <v/>
      </c>
      <c r="F102" s="39" t="str">
        <f aca="false">IF($A102="","",COUNTIFS('Lançar Resultado'!$A$3:$A$2002,$B102,'Lançar Resultado'!$B$3:$B$2002,$A102,'Lançar Resultado'!$G$3:$G$2002,"OK"))</f>
        <v/>
      </c>
      <c r="G102" s="39" t="str">
        <f aca="false">IF($A102="","",COUNTIFS('Lançar Resultado'!$A$3:$A$2002,$B102,'Lançar Resultado'!$B$3:$B$2002,$A102,'Lançar Resultado'!$G$3:$G$2002,"NOK"))</f>
        <v/>
      </c>
      <c r="H102" s="39" t="str">
        <f aca="false">IF($A102="","",COUNTIFS('Lançar Resultado'!$A$3:$A$2002,$B102,'Lançar Resultado'!$B$3:$B$2002,$A102,'Lançar Resultado'!$G$3:$G$2002,"N/A"))</f>
        <v/>
      </c>
      <c r="I102" s="39" t="str">
        <f aca="false">IF($A102="","",IF($E102=0,"",SUMPRODUCT(MAX(('Lançar Resultado'!$A$3:$A$2002=$B102)*('Lançar Resultado'!$B$3:$B$2002=$A102)*'Lançar Resultado'!$R$3:$R$2002))))</f>
        <v/>
      </c>
      <c r="J102" s="39" t="str">
        <f aca="false">IF($A102="","",COUNTIFS('Lançar Resultado'!$A$3:$A$2002,$B102,'Lançar Resultado'!$B$3:$B$2002,$A102,'Lançar Resultado'!$O$3:$O$2002,"Sim"))</f>
        <v/>
      </c>
      <c r="K102" s="76" t="str">
        <f aca="false">IF($A102="","",COUNTIFS('Lançar Resultado'!$A$3:$A$2002,$B102,'Lançar Resultado'!$B$3:$B$2002,$A102,'Lançar Resultado'!$N$3:$N$2002,"Alta"))</f>
        <v/>
      </c>
      <c r="L102" s="76" t="str">
        <f aca="false">IF($A102="","",COUNTIFS('Lançar Resultado'!$A$3:$A$2002,$B102,'Lançar Resultado'!$B$3:$B$2002,$A102,'Lançar Resultado'!$P$3:$P$2002,10))</f>
        <v/>
      </c>
      <c r="M102" s="77" t="str">
        <f aca="false">IF($A102="","",IF(($F102+$G102)=0,"",$F102/($F102+$G102)*100))</f>
        <v/>
      </c>
    </row>
    <row r="103" customFormat="false" ht="18" hidden="false" customHeight="true" outlineLevel="0" collapsed="false">
      <c r="A103" s="75" t="str">
        <f aca="false">IF(Inspeções!$B103="","",Inspeções!$A103)</f>
        <v/>
      </c>
      <c r="B103" s="39" t="str">
        <f aca="false">IF($A103="","",Inspeções!$B103)</f>
        <v/>
      </c>
      <c r="C103" s="40" t="str">
        <f aca="false">IF($A103="","",Inspeções!$E103)</f>
        <v/>
      </c>
      <c r="D103" s="40" t="str">
        <f aca="false">IF($A103="","",Inspeções!$F103)</f>
        <v/>
      </c>
      <c r="E103" s="39" t="str">
        <f aca="false">IF($A103="","",COUNTIFS('Lançar Resultado'!$A$3:$A$2002,$B103,'Lançar Resultado'!$B$3:$B$2002,$A103))</f>
        <v/>
      </c>
      <c r="F103" s="39" t="str">
        <f aca="false">IF($A103="","",COUNTIFS('Lançar Resultado'!$A$3:$A$2002,$B103,'Lançar Resultado'!$B$3:$B$2002,$A103,'Lançar Resultado'!$G$3:$G$2002,"OK"))</f>
        <v/>
      </c>
      <c r="G103" s="39" t="str">
        <f aca="false">IF($A103="","",COUNTIFS('Lançar Resultado'!$A$3:$A$2002,$B103,'Lançar Resultado'!$B$3:$B$2002,$A103,'Lançar Resultado'!$G$3:$G$2002,"NOK"))</f>
        <v/>
      </c>
      <c r="H103" s="39" t="str">
        <f aca="false">IF($A103="","",COUNTIFS('Lançar Resultado'!$A$3:$A$2002,$B103,'Lançar Resultado'!$B$3:$B$2002,$A103,'Lançar Resultado'!$G$3:$G$2002,"N/A"))</f>
        <v/>
      </c>
      <c r="I103" s="39" t="str">
        <f aca="false">IF($A103="","",IF($E103=0,"",SUMPRODUCT(MAX(('Lançar Resultado'!$A$3:$A$2002=$B103)*('Lançar Resultado'!$B$3:$B$2002=$A103)*'Lançar Resultado'!$R$3:$R$2002))))</f>
        <v/>
      </c>
      <c r="J103" s="39" t="str">
        <f aca="false">IF($A103="","",COUNTIFS('Lançar Resultado'!$A$3:$A$2002,$B103,'Lançar Resultado'!$B$3:$B$2002,$A103,'Lançar Resultado'!$O$3:$O$2002,"Sim"))</f>
        <v/>
      </c>
      <c r="K103" s="76" t="str">
        <f aca="false">IF($A103="","",COUNTIFS('Lançar Resultado'!$A$3:$A$2002,$B103,'Lançar Resultado'!$B$3:$B$2002,$A103,'Lançar Resultado'!$N$3:$N$2002,"Alta"))</f>
        <v/>
      </c>
      <c r="L103" s="76" t="str">
        <f aca="false">IF($A103="","",COUNTIFS('Lançar Resultado'!$A$3:$A$2002,$B103,'Lançar Resultado'!$B$3:$B$2002,$A103,'Lançar Resultado'!$P$3:$P$2002,10))</f>
        <v/>
      </c>
      <c r="M103" s="77" t="str">
        <f aca="false">IF($A103="","",IF(($F103+$G103)=0,"",$F103/($F103+$G103)*100))</f>
        <v/>
      </c>
    </row>
    <row r="104" customFormat="false" ht="18" hidden="false" customHeight="true" outlineLevel="0" collapsed="false">
      <c r="A104" s="75" t="str">
        <f aca="false">IF(Inspeções!$B104="","",Inspeções!$A104)</f>
        <v/>
      </c>
      <c r="B104" s="39" t="str">
        <f aca="false">IF($A104="","",Inspeções!$B104)</f>
        <v/>
      </c>
      <c r="C104" s="40" t="str">
        <f aca="false">IF($A104="","",Inspeções!$E104)</f>
        <v/>
      </c>
      <c r="D104" s="40" t="str">
        <f aca="false">IF($A104="","",Inspeções!$F104)</f>
        <v/>
      </c>
      <c r="E104" s="39" t="str">
        <f aca="false">IF($A104="","",COUNTIFS('Lançar Resultado'!$A$3:$A$2002,$B104,'Lançar Resultado'!$B$3:$B$2002,$A104))</f>
        <v/>
      </c>
      <c r="F104" s="39" t="str">
        <f aca="false">IF($A104="","",COUNTIFS('Lançar Resultado'!$A$3:$A$2002,$B104,'Lançar Resultado'!$B$3:$B$2002,$A104,'Lançar Resultado'!$G$3:$G$2002,"OK"))</f>
        <v/>
      </c>
      <c r="G104" s="39" t="str">
        <f aca="false">IF($A104="","",COUNTIFS('Lançar Resultado'!$A$3:$A$2002,$B104,'Lançar Resultado'!$B$3:$B$2002,$A104,'Lançar Resultado'!$G$3:$G$2002,"NOK"))</f>
        <v/>
      </c>
      <c r="H104" s="39" t="str">
        <f aca="false">IF($A104="","",COUNTIFS('Lançar Resultado'!$A$3:$A$2002,$B104,'Lançar Resultado'!$B$3:$B$2002,$A104,'Lançar Resultado'!$G$3:$G$2002,"N/A"))</f>
        <v/>
      </c>
      <c r="I104" s="39" t="str">
        <f aca="false">IF($A104="","",IF($E104=0,"",SUMPRODUCT(MAX(('Lançar Resultado'!$A$3:$A$2002=$B104)*('Lançar Resultado'!$B$3:$B$2002=$A104)*'Lançar Resultado'!$R$3:$R$2002))))</f>
        <v/>
      </c>
      <c r="J104" s="39" t="str">
        <f aca="false">IF($A104="","",COUNTIFS('Lançar Resultado'!$A$3:$A$2002,$B104,'Lançar Resultado'!$B$3:$B$2002,$A104,'Lançar Resultado'!$O$3:$O$2002,"Sim"))</f>
        <v/>
      </c>
      <c r="K104" s="76" t="str">
        <f aca="false">IF($A104="","",COUNTIFS('Lançar Resultado'!$A$3:$A$2002,$B104,'Lançar Resultado'!$B$3:$B$2002,$A104,'Lançar Resultado'!$N$3:$N$2002,"Alta"))</f>
        <v/>
      </c>
      <c r="L104" s="76" t="str">
        <f aca="false">IF($A104="","",COUNTIFS('Lançar Resultado'!$A$3:$A$2002,$B104,'Lançar Resultado'!$B$3:$B$2002,$A104,'Lançar Resultado'!$P$3:$P$2002,10))</f>
        <v/>
      </c>
      <c r="M104" s="77" t="str">
        <f aca="false">IF($A104="","",IF(($F104+$G104)=0,"",$F104/($F104+$G104)*100))</f>
        <v/>
      </c>
    </row>
    <row r="105" customFormat="false" ht="18" hidden="false" customHeight="true" outlineLevel="0" collapsed="false">
      <c r="A105" s="75" t="str">
        <f aca="false">IF(Inspeções!$B105="","",Inspeções!$A105)</f>
        <v/>
      </c>
      <c r="B105" s="39" t="str">
        <f aca="false">IF($A105="","",Inspeções!$B105)</f>
        <v/>
      </c>
      <c r="C105" s="40" t="str">
        <f aca="false">IF($A105="","",Inspeções!$E105)</f>
        <v/>
      </c>
      <c r="D105" s="40" t="str">
        <f aca="false">IF($A105="","",Inspeções!$F105)</f>
        <v/>
      </c>
      <c r="E105" s="39" t="str">
        <f aca="false">IF($A105="","",COUNTIFS('Lançar Resultado'!$A$3:$A$2002,$B105,'Lançar Resultado'!$B$3:$B$2002,$A105))</f>
        <v/>
      </c>
      <c r="F105" s="39" t="str">
        <f aca="false">IF($A105="","",COUNTIFS('Lançar Resultado'!$A$3:$A$2002,$B105,'Lançar Resultado'!$B$3:$B$2002,$A105,'Lançar Resultado'!$G$3:$G$2002,"OK"))</f>
        <v/>
      </c>
      <c r="G105" s="39" t="str">
        <f aca="false">IF($A105="","",COUNTIFS('Lançar Resultado'!$A$3:$A$2002,$B105,'Lançar Resultado'!$B$3:$B$2002,$A105,'Lançar Resultado'!$G$3:$G$2002,"NOK"))</f>
        <v/>
      </c>
      <c r="H105" s="39" t="str">
        <f aca="false">IF($A105="","",COUNTIFS('Lançar Resultado'!$A$3:$A$2002,$B105,'Lançar Resultado'!$B$3:$B$2002,$A105,'Lançar Resultado'!$G$3:$G$2002,"N/A"))</f>
        <v/>
      </c>
      <c r="I105" s="39" t="str">
        <f aca="false">IF($A105="","",IF($E105=0,"",SUMPRODUCT(MAX(('Lançar Resultado'!$A$3:$A$2002=$B105)*('Lançar Resultado'!$B$3:$B$2002=$A105)*'Lançar Resultado'!$R$3:$R$2002))))</f>
        <v/>
      </c>
      <c r="J105" s="39" t="str">
        <f aca="false">IF($A105="","",COUNTIFS('Lançar Resultado'!$A$3:$A$2002,$B105,'Lançar Resultado'!$B$3:$B$2002,$A105,'Lançar Resultado'!$O$3:$O$2002,"Sim"))</f>
        <v/>
      </c>
      <c r="K105" s="76" t="str">
        <f aca="false">IF($A105="","",COUNTIFS('Lançar Resultado'!$A$3:$A$2002,$B105,'Lançar Resultado'!$B$3:$B$2002,$A105,'Lançar Resultado'!$N$3:$N$2002,"Alta"))</f>
        <v/>
      </c>
      <c r="L105" s="76" t="str">
        <f aca="false">IF($A105="","",COUNTIFS('Lançar Resultado'!$A$3:$A$2002,$B105,'Lançar Resultado'!$B$3:$B$2002,$A105,'Lançar Resultado'!$P$3:$P$2002,10))</f>
        <v/>
      </c>
      <c r="M105" s="77" t="str">
        <f aca="false">IF($A105="","",IF(($F105+$G105)=0,"",$F105/($F105+$G105)*100))</f>
        <v/>
      </c>
    </row>
    <row r="106" customFormat="false" ht="18" hidden="false" customHeight="true" outlineLevel="0" collapsed="false">
      <c r="A106" s="75" t="str">
        <f aca="false">IF(Inspeções!$B106="","",Inspeções!$A106)</f>
        <v/>
      </c>
      <c r="B106" s="39" t="str">
        <f aca="false">IF($A106="","",Inspeções!$B106)</f>
        <v/>
      </c>
      <c r="C106" s="40" t="str">
        <f aca="false">IF($A106="","",Inspeções!$E106)</f>
        <v/>
      </c>
      <c r="D106" s="40" t="str">
        <f aca="false">IF($A106="","",Inspeções!$F106)</f>
        <v/>
      </c>
      <c r="E106" s="39" t="str">
        <f aca="false">IF($A106="","",COUNTIFS('Lançar Resultado'!$A$3:$A$2002,$B106,'Lançar Resultado'!$B$3:$B$2002,$A106))</f>
        <v/>
      </c>
      <c r="F106" s="39" t="str">
        <f aca="false">IF($A106="","",COUNTIFS('Lançar Resultado'!$A$3:$A$2002,$B106,'Lançar Resultado'!$B$3:$B$2002,$A106,'Lançar Resultado'!$G$3:$G$2002,"OK"))</f>
        <v/>
      </c>
      <c r="G106" s="39" t="str">
        <f aca="false">IF($A106="","",COUNTIFS('Lançar Resultado'!$A$3:$A$2002,$B106,'Lançar Resultado'!$B$3:$B$2002,$A106,'Lançar Resultado'!$G$3:$G$2002,"NOK"))</f>
        <v/>
      </c>
      <c r="H106" s="39" t="str">
        <f aca="false">IF($A106="","",COUNTIFS('Lançar Resultado'!$A$3:$A$2002,$B106,'Lançar Resultado'!$B$3:$B$2002,$A106,'Lançar Resultado'!$G$3:$G$2002,"N/A"))</f>
        <v/>
      </c>
      <c r="I106" s="39" t="str">
        <f aca="false">IF($A106="","",IF($E106=0,"",SUMPRODUCT(MAX(('Lançar Resultado'!$A$3:$A$2002=$B106)*('Lançar Resultado'!$B$3:$B$2002=$A106)*'Lançar Resultado'!$R$3:$R$2002))))</f>
        <v/>
      </c>
      <c r="J106" s="39" t="str">
        <f aca="false">IF($A106="","",COUNTIFS('Lançar Resultado'!$A$3:$A$2002,$B106,'Lançar Resultado'!$B$3:$B$2002,$A106,'Lançar Resultado'!$O$3:$O$2002,"Sim"))</f>
        <v/>
      </c>
      <c r="K106" s="76" t="str">
        <f aca="false">IF($A106="","",COUNTIFS('Lançar Resultado'!$A$3:$A$2002,$B106,'Lançar Resultado'!$B$3:$B$2002,$A106,'Lançar Resultado'!$N$3:$N$2002,"Alta"))</f>
        <v/>
      </c>
      <c r="L106" s="76" t="str">
        <f aca="false">IF($A106="","",COUNTIFS('Lançar Resultado'!$A$3:$A$2002,$B106,'Lançar Resultado'!$B$3:$B$2002,$A106,'Lançar Resultado'!$P$3:$P$2002,10))</f>
        <v/>
      </c>
      <c r="M106" s="77" t="str">
        <f aca="false">IF($A106="","",IF(($F106+$G106)=0,"",$F106/($F106+$G106)*100))</f>
        <v/>
      </c>
    </row>
    <row r="107" customFormat="false" ht="18" hidden="false" customHeight="true" outlineLevel="0" collapsed="false">
      <c r="A107" s="75" t="str">
        <f aca="false">IF(Inspeções!$B107="","",Inspeções!$A107)</f>
        <v/>
      </c>
      <c r="B107" s="39" t="str">
        <f aca="false">IF($A107="","",Inspeções!$B107)</f>
        <v/>
      </c>
      <c r="C107" s="40" t="str">
        <f aca="false">IF($A107="","",Inspeções!$E107)</f>
        <v/>
      </c>
      <c r="D107" s="40" t="str">
        <f aca="false">IF($A107="","",Inspeções!$F107)</f>
        <v/>
      </c>
      <c r="E107" s="39" t="str">
        <f aca="false">IF($A107="","",COUNTIFS('Lançar Resultado'!$A$3:$A$2002,$B107,'Lançar Resultado'!$B$3:$B$2002,$A107))</f>
        <v/>
      </c>
      <c r="F107" s="39" t="str">
        <f aca="false">IF($A107="","",COUNTIFS('Lançar Resultado'!$A$3:$A$2002,$B107,'Lançar Resultado'!$B$3:$B$2002,$A107,'Lançar Resultado'!$G$3:$G$2002,"OK"))</f>
        <v/>
      </c>
      <c r="G107" s="39" t="str">
        <f aca="false">IF($A107="","",COUNTIFS('Lançar Resultado'!$A$3:$A$2002,$B107,'Lançar Resultado'!$B$3:$B$2002,$A107,'Lançar Resultado'!$G$3:$G$2002,"NOK"))</f>
        <v/>
      </c>
      <c r="H107" s="39" t="str">
        <f aca="false">IF($A107="","",COUNTIFS('Lançar Resultado'!$A$3:$A$2002,$B107,'Lançar Resultado'!$B$3:$B$2002,$A107,'Lançar Resultado'!$G$3:$G$2002,"N/A"))</f>
        <v/>
      </c>
      <c r="I107" s="39" t="str">
        <f aca="false">IF($A107="","",IF($E107=0,"",SUMPRODUCT(MAX(('Lançar Resultado'!$A$3:$A$2002=$B107)*('Lançar Resultado'!$B$3:$B$2002=$A107)*'Lançar Resultado'!$R$3:$R$2002))))</f>
        <v/>
      </c>
      <c r="J107" s="39" t="str">
        <f aca="false">IF($A107="","",COUNTIFS('Lançar Resultado'!$A$3:$A$2002,$B107,'Lançar Resultado'!$B$3:$B$2002,$A107,'Lançar Resultado'!$O$3:$O$2002,"Sim"))</f>
        <v/>
      </c>
      <c r="K107" s="76" t="str">
        <f aca="false">IF($A107="","",COUNTIFS('Lançar Resultado'!$A$3:$A$2002,$B107,'Lançar Resultado'!$B$3:$B$2002,$A107,'Lançar Resultado'!$N$3:$N$2002,"Alta"))</f>
        <v/>
      </c>
      <c r="L107" s="76" t="str">
        <f aca="false">IF($A107="","",COUNTIFS('Lançar Resultado'!$A$3:$A$2002,$B107,'Lançar Resultado'!$B$3:$B$2002,$A107,'Lançar Resultado'!$P$3:$P$2002,10))</f>
        <v/>
      </c>
      <c r="M107" s="77" t="str">
        <f aca="false">IF($A107="","",IF(($F107+$G107)=0,"",$F107/($F107+$G107)*100))</f>
        <v/>
      </c>
    </row>
    <row r="108" customFormat="false" ht="18" hidden="false" customHeight="true" outlineLevel="0" collapsed="false">
      <c r="A108" s="75" t="str">
        <f aca="false">IF(Inspeções!$B108="","",Inspeções!$A108)</f>
        <v/>
      </c>
      <c r="B108" s="39" t="str">
        <f aca="false">IF($A108="","",Inspeções!$B108)</f>
        <v/>
      </c>
      <c r="C108" s="40" t="str">
        <f aca="false">IF($A108="","",Inspeções!$E108)</f>
        <v/>
      </c>
      <c r="D108" s="40" t="str">
        <f aca="false">IF($A108="","",Inspeções!$F108)</f>
        <v/>
      </c>
      <c r="E108" s="39" t="str">
        <f aca="false">IF($A108="","",COUNTIFS('Lançar Resultado'!$A$3:$A$2002,$B108,'Lançar Resultado'!$B$3:$B$2002,$A108))</f>
        <v/>
      </c>
      <c r="F108" s="39" t="str">
        <f aca="false">IF($A108="","",COUNTIFS('Lançar Resultado'!$A$3:$A$2002,$B108,'Lançar Resultado'!$B$3:$B$2002,$A108,'Lançar Resultado'!$G$3:$G$2002,"OK"))</f>
        <v/>
      </c>
      <c r="G108" s="39" t="str">
        <f aca="false">IF($A108="","",COUNTIFS('Lançar Resultado'!$A$3:$A$2002,$B108,'Lançar Resultado'!$B$3:$B$2002,$A108,'Lançar Resultado'!$G$3:$G$2002,"NOK"))</f>
        <v/>
      </c>
      <c r="H108" s="39" t="str">
        <f aca="false">IF($A108="","",COUNTIFS('Lançar Resultado'!$A$3:$A$2002,$B108,'Lançar Resultado'!$B$3:$B$2002,$A108,'Lançar Resultado'!$G$3:$G$2002,"N/A"))</f>
        <v/>
      </c>
      <c r="I108" s="39" t="str">
        <f aca="false">IF($A108="","",IF($E108=0,"",SUMPRODUCT(MAX(('Lançar Resultado'!$A$3:$A$2002=$B108)*('Lançar Resultado'!$B$3:$B$2002=$A108)*'Lançar Resultado'!$R$3:$R$2002))))</f>
        <v/>
      </c>
      <c r="J108" s="39" t="str">
        <f aca="false">IF($A108="","",COUNTIFS('Lançar Resultado'!$A$3:$A$2002,$B108,'Lançar Resultado'!$B$3:$B$2002,$A108,'Lançar Resultado'!$O$3:$O$2002,"Sim"))</f>
        <v/>
      </c>
      <c r="K108" s="76" t="str">
        <f aca="false">IF($A108="","",COUNTIFS('Lançar Resultado'!$A$3:$A$2002,$B108,'Lançar Resultado'!$B$3:$B$2002,$A108,'Lançar Resultado'!$N$3:$N$2002,"Alta"))</f>
        <v/>
      </c>
      <c r="L108" s="76" t="str">
        <f aca="false">IF($A108="","",COUNTIFS('Lançar Resultado'!$A$3:$A$2002,$B108,'Lançar Resultado'!$B$3:$B$2002,$A108,'Lançar Resultado'!$P$3:$P$2002,10))</f>
        <v/>
      </c>
      <c r="M108" s="77" t="str">
        <f aca="false">IF($A108="","",IF(($F108+$G108)=0,"",$F108/($F108+$G108)*100))</f>
        <v/>
      </c>
    </row>
    <row r="109" customFormat="false" ht="18" hidden="false" customHeight="true" outlineLevel="0" collapsed="false">
      <c r="A109" s="75" t="str">
        <f aca="false">IF(Inspeções!$B109="","",Inspeções!$A109)</f>
        <v/>
      </c>
      <c r="B109" s="39" t="str">
        <f aca="false">IF($A109="","",Inspeções!$B109)</f>
        <v/>
      </c>
      <c r="C109" s="40" t="str">
        <f aca="false">IF($A109="","",Inspeções!$E109)</f>
        <v/>
      </c>
      <c r="D109" s="40" t="str">
        <f aca="false">IF($A109="","",Inspeções!$F109)</f>
        <v/>
      </c>
      <c r="E109" s="39" t="str">
        <f aca="false">IF($A109="","",COUNTIFS('Lançar Resultado'!$A$3:$A$2002,$B109,'Lançar Resultado'!$B$3:$B$2002,$A109))</f>
        <v/>
      </c>
      <c r="F109" s="39" t="str">
        <f aca="false">IF($A109="","",COUNTIFS('Lançar Resultado'!$A$3:$A$2002,$B109,'Lançar Resultado'!$B$3:$B$2002,$A109,'Lançar Resultado'!$G$3:$G$2002,"OK"))</f>
        <v/>
      </c>
      <c r="G109" s="39" t="str">
        <f aca="false">IF($A109="","",COUNTIFS('Lançar Resultado'!$A$3:$A$2002,$B109,'Lançar Resultado'!$B$3:$B$2002,$A109,'Lançar Resultado'!$G$3:$G$2002,"NOK"))</f>
        <v/>
      </c>
      <c r="H109" s="39" t="str">
        <f aca="false">IF($A109="","",COUNTIFS('Lançar Resultado'!$A$3:$A$2002,$B109,'Lançar Resultado'!$B$3:$B$2002,$A109,'Lançar Resultado'!$G$3:$G$2002,"N/A"))</f>
        <v/>
      </c>
      <c r="I109" s="39" t="str">
        <f aca="false">IF($A109="","",IF($E109=0,"",SUMPRODUCT(MAX(('Lançar Resultado'!$A$3:$A$2002=$B109)*('Lançar Resultado'!$B$3:$B$2002=$A109)*'Lançar Resultado'!$R$3:$R$2002))))</f>
        <v/>
      </c>
      <c r="J109" s="39" t="str">
        <f aca="false">IF($A109="","",COUNTIFS('Lançar Resultado'!$A$3:$A$2002,$B109,'Lançar Resultado'!$B$3:$B$2002,$A109,'Lançar Resultado'!$O$3:$O$2002,"Sim"))</f>
        <v/>
      </c>
      <c r="K109" s="76" t="str">
        <f aca="false">IF($A109="","",COUNTIFS('Lançar Resultado'!$A$3:$A$2002,$B109,'Lançar Resultado'!$B$3:$B$2002,$A109,'Lançar Resultado'!$N$3:$N$2002,"Alta"))</f>
        <v/>
      </c>
      <c r="L109" s="76" t="str">
        <f aca="false">IF($A109="","",COUNTIFS('Lançar Resultado'!$A$3:$A$2002,$B109,'Lançar Resultado'!$B$3:$B$2002,$A109,'Lançar Resultado'!$P$3:$P$2002,10))</f>
        <v/>
      </c>
      <c r="M109" s="77" t="str">
        <f aca="false">IF($A109="","",IF(($F109+$G109)=0,"",$F109/($F109+$G109)*100))</f>
        <v/>
      </c>
    </row>
    <row r="110" customFormat="false" ht="18" hidden="false" customHeight="true" outlineLevel="0" collapsed="false">
      <c r="A110" s="75" t="str">
        <f aca="false">IF(Inspeções!$B110="","",Inspeções!$A110)</f>
        <v/>
      </c>
      <c r="B110" s="39" t="str">
        <f aca="false">IF($A110="","",Inspeções!$B110)</f>
        <v/>
      </c>
      <c r="C110" s="40" t="str">
        <f aca="false">IF($A110="","",Inspeções!$E110)</f>
        <v/>
      </c>
      <c r="D110" s="40" t="str">
        <f aca="false">IF($A110="","",Inspeções!$F110)</f>
        <v/>
      </c>
      <c r="E110" s="39" t="str">
        <f aca="false">IF($A110="","",COUNTIFS('Lançar Resultado'!$A$3:$A$2002,$B110,'Lançar Resultado'!$B$3:$B$2002,$A110))</f>
        <v/>
      </c>
      <c r="F110" s="39" t="str">
        <f aca="false">IF($A110="","",COUNTIFS('Lançar Resultado'!$A$3:$A$2002,$B110,'Lançar Resultado'!$B$3:$B$2002,$A110,'Lançar Resultado'!$G$3:$G$2002,"OK"))</f>
        <v/>
      </c>
      <c r="G110" s="39" t="str">
        <f aca="false">IF($A110="","",COUNTIFS('Lançar Resultado'!$A$3:$A$2002,$B110,'Lançar Resultado'!$B$3:$B$2002,$A110,'Lançar Resultado'!$G$3:$G$2002,"NOK"))</f>
        <v/>
      </c>
      <c r="H110" s="39" t="str">
        <f aca="false">IF($A110="","",COUNTIFS('Lançar Resultado'!$A$3:$A$2002,$B110,'Lançar Resultado'!$B$3:$B$2002,$A110,'Lançar Resultado'!$G$3:$G$2002,"N/A"))</f>
        <v/>
      </c>
      <c r="I110" s="39" t="str">
        <f aca="false">IF($A110="","",IF($E110=0,"",SUMPRODUCT(MAX(('Lançar Resultado'!$A$3:$A$2002=$B110)*('Lançar Resultado'!$B$3:$B$2002=$A110)*'Lançar Resultado'!$R$3:$R$2002))))</f>
        <v/>
      </c>
      <c r="J110" s="39" t="str">
        <f aca="false">IF($A110="","",COUNTIFS('Lançar Resultado'!$A$3:$A$2002,$B110,'Lançar Resultado'!$B$3:$B$2002,$A110,'Lançar Resultado'!$O$3:$O$2002,"Sim"))</f>
        <v/>
      </c>
      <c r="K110" s="76" t="str">
        <f aca="false">IF($A110="","",COUNTIFS('Lançar Resultado'!$A$3:$A$2002,$B110,'Lançar Resultado'!$B$3:$B$2002,$A110,'Lançar Resultado'!$N$3:$N$2002,"Alta"))</f>
        <v/>
      </c>
      <c r="L110" s="76" t="str">
        <f aca="false">IF($A110="","",COUNTIFS('Lançar Resultado'!$A$3:$A$2002,$B110,'Lançar Resultado'!$B$3:$B$2002,$A110,'Lançar Resultado'!$P$3:$P$2002,10))</f>
        <v/>
      </c>
      <c r="M110" s="77" t="str">
        <f aca="false">IF($A110="","",IF(($F110+$G110)=0,"",$F110/($F110+$G110)*100))</f>
        <v/>
      </c>
    </row>
    <row r="111" customFormat="false" ht="18" hidden="false" customHeight="true" outlineLevel="0" collapsed="false">
      <c r="A111" s="75" t="str">
        <f aca="false">IF(Inspeções!$B111="","",Inspeções!$A111)</f>
        <v/>
      </c>
      <c r="B111" s="39" t="str">
        <f aca="false">IF($A111="","",Inspeções!$B111)</f>
        <v/>
      </c>
      <c r="C111" s="40" t="str">
        <f aca="false">IF($A111="","",Inspeções!$E111)</f>
        <v/>
      </c>
      <c r="D111" s="40" t="str">
        <f aca="false">IF($A111="","",Inspeções!$F111)</f>
        <v/>
      </c>
      <c r="E111" s="39" t="str">
        <f aca="false">IF($A111="","",COUNTIFS('Lançar Resultado'!$A$3:$A$2002,$B111,'Lançar Resultado'!$B$3:$B$2002,$A111))</f>
        <v/>
      </c>
      <c r="F111" s="39" t="str">
        <f aca="false">IF($A111="","",COUNTIFS('Lançar Resultado'!$A$3:$A$2002,$B111,'Lançar Resultado'!$B$3:$B$2002,$A111,'Lançar Resultado'!$G$3:$G$2002,"OK"))</f>
        <v/>
      </c>
      <c r="G111" s="39" t="str">
        <f aca="false">IF($A111="","",COUNTIFS('Lançar Resultado'!$A$3:$A$2002,$B111,'Lançar Resultado'!$B$3:$B$2002,$A111,'Lançar Resultado'!$G$3:$G$2002,"NOK"))</f>
        <v/>
      </c>
      <c r="H111" s="39" t="str">
        <f aca="false">IF($A111="","",COUNTIFS('Lançar Resultado'!$A$3:$A$2002,$B111,'Lançar Resultado'!$B$3:$B$2002,$A111,'Lançar Resultado'!$G$3:$G$2002,"N/A"))</f>
        <v/>
      </c>
      <c r="I111" s="39" t="str">
        <f aca="false">IF($A111="","",IF($E111=0,"",SUMPRODUCT(MAX(('Lançar Resultado'!$A$3:$A$2002=$B111)*('Lançar Resultado'!$B$3:$B$2002=$A111)*'Lançar Resultado'!$R$3:$R$2002))))</f>
        <v/>
      </c>
      <c r="J111" s="39" t="str">
        <f aca="false">IF($A111="","",COUNTIFS('Lançar Resultado'!$A$3:$A$2002,$B111,'Lançar Resultado'!$B$3:$B$2002,$A111,'Lançar Resultado'!$O$3:$O$2002,"Sim"))</f>
        <v/>
      </c>
      <c r="K111" s="76" t="str">
        <f aca="false">IF($A111="","",COUNTIFS('Lançar Resultado'!$A$3:$A$2002,$B111,'Lançar Resultado'!$B$3:$B$2002,$A111,'Lançar Resultado'!$N$3:$N$2002,"Alta"))</f>
        <v/>
      </c>
      <c r="L111" s="76" t="str">
        <f aca="false">IF($A111="","",COUNTIFS('Lançar Resultado'!$A$3:$A$2002,$B111,'Lançar Resultado'!$B$3:$B$2002,$A111,'Lançar Resultado'!$P$3:$P$2002,10))</f>
        <v/>
      </c>
      <c r="M111" s="77" t="str">
        <f aca="false">IF($A111="","",IF(($F111+$G111)=0,"",$F111/($F111+$G111)*100))</f>
        <v/>
      </c>
    </row>
    <row r="112" customFormat="false" ht="18" hidden="false" customHeight="true" outlineLevel="0" collapsed="false">
      <c r="A112" s="75" t="str">
        <f aca="false">IF(Inspeções!$B112="","",Inspeções!$A112)</f>
        <v/>
      </c>
      <c r="B112" s="39" t="str">
        <f aca="false">IF($A112="","",Inspeções!$B112)</f>
        <v/>
      </c>
      <c r="C112" s="40" t="str">
        <f aca="false">IF($A112="","",Inspeções!$E112)</f>
        <v/>
      </c>
      <c r="D112" s="40" t="str">
        <f aca="false">IF($A112="","",Inspeções!$F112)</f>
        <v/>
      </c>
      <c r="E112" s="39" t="str">
        <f aca="false">IF($A112="","",COUNTIFS('Lançar Resultado'!$A$3:$A$2002,$B112,'Lançar Resultado'!$B$3:$B$2002,$A112))</f>
        <v/>
      </c>
      <c r="F112" s="39" t="str">
        <f aca="false">IF($A112="","",COUNTIFS('Lançar Resultado'!$A$3:$A$2002,$B112,'Lançar Resultado'!$B$3:$B$2002,$A112,'Lançar Resultado'!$G$3:$G$2002,"OK"))</f>
        <v/>
      </c>
      <c r="G112" s="39" t="str">
        <f aca="false">IF($A112="","",COUNTIFS('Lançar Resultado'!$A$3:$A$2002,$B112,'Lançar Resultado'!$B$3:$B$2002,$A112,'Lançar Resultado'!$G$3:$G$2002,"NOK"))</f>
        <v/>
      </c>
      <c r="H112" s="39" t="str">
        <f aca="false">IF($A112="","",COUNTIFS('Lançar Resultado'!$A$3:$A$2002,$B112,'Lançar Resultado'!$B$3:$B$2002,$A112,'Lançar Resultado'!$G$3:$G$2002,"N/A"))</f>
        <v/>
      </c>
      <c r="I112" s="39" t="str">
        <f aca="false">IF($A112="","",IF($E112=0,"",SUMPRODUCT(MAX(('Lançar Resultado'!$A$3:$A$2002=$B112)*('Lançar Resultado'!$B$3:$B$2002=$A112)*'Lançar Resultado'!$R$3:$R$2002))))</f>
        <v/>
      </c>
      <c r="J112" s="39" t="str">
        <f aca="false">IF($A112="","",COUNTIFS('Lançar Resultado'!$A$3:$A$2002,$B112,'Lançar Resultado'!$B$3:$B$2002,$A112,'Lançar Resultado'!$O$3:$O$2002,"Sim"))</f>
        <v/>
      </c>
      <c r="K112" s="76" t="str">
        <f aca="false">IF($A112="","",COUNTIFS('Lançar Resultado'!$A$3:$A$2002,$B112,'Lançar Resultado'!$B$3:$B$2002,$A112,'Lançar Resultado'!$N$3:$N$2002,"Alta"))</f>
        <v/>
      </c>
      <c r="L112" s="76" t="str">
        <f aca="false">IF($A112="","",COUNTIFS('Lançar Resultado'!$A$3:$A$2002,$B112,'Lançar Resultado'!$B$3:$B$2002,$A112,'Lançar Resultado'!$P$3:$P$2002,10))</f>
        <v/>
      </c>
      <c r="M112" s="77" t="str">
        <f aca="false">IF($A112="","",IF(($F112+$G112)=0,"",$F112/($F112+$G112)*100))</f>
        <v/>
      </c>
    </row>
    <row r="113" customFormat="false" ht="18" hidden="false" customHeight="true" outlineLevel="0" collapsed="false">
      <c r="A113" s="75" t="str">
        <f aca="false">IF(Inspeções!$B113="","",Inspeções!$A113)</f>
        <v/>
      </c>
      <c r="B113" s="39" t="str">
        <f aca="false">IF($A113="","",Inspeções!$B113)</f>
        <v/>
      </c>
      <c r="C113" s="40" t="str">
        <f aca="false">IF($A113="","",Inspeções!$E113)</f>
        <v/>
      </c>
      <c r="D113" s="40" t="str">
        <f aca="false">IF($A113="","",Inspeções!$F113)</f>
        <v/>
      </c>
      <c r="E113" s="39" t="str">
        <f aca="false">IF($A113="","",COUNTIFS('Lançar Resultado'!$A$3:$A$2002,$B113,'Lançar Resultado'!$B$3:$B$2002,$A113))</f>
        <v/>
      </c>
      <c r="F113" s="39" t="str">
        <f aca="false">IF($A113="","",COUNTIFS('Lançar Resultado'!$A$3:$A$2002,$B113,'Lançar Resultado'!$B$3:$B$2002,$A113,'Lançar Resultado'!$G$3:$G$2002,"OK"))</f>
        <v/>
      </c>
      <c r="G113" s="39" t="str">
        <f aca="false">IF($A113="","",COUNTIFS('Lançar Resultado'!$A$3:$A$2002,$B113,'Lançar Resultado'!$B$3:$B$2002,$A113,'Lançar Resultado'!$G$3:$G$2002,"NOK"))</f>
        <v/>
      </c>
      <c r="H113" s="39" t="str">
        <f aca="false">IF($A113="","",COUNTIFS('Lançar Resultado'!$A$3:$A$2002,$B113,'Lançar Resultado'!$B$3:$B$2002,$A113,'Lançar Resultado'!$G$3:$G$2002,"N/A"))</f>
        <v/>
      </c>
      <c r="I113" s="39" t="str">
        <f aca="false">IF($A113="","",IF($E113=0,"",SUMPRODUCT(MAX(('Lançar Resultado'!$A$3:$A$2002=$B113)*('Lançar Resultado'!$B$3:$B$2002=$A113)*'Lançar Resultado'!$R$3:$R$2002))))</f>
        <v/>
      </c>
      <c r="J113" s="39" t="str">
        <f aca="false">IF($A113="","",COUNTIFS('Lançar Resultado'!$A$3:$A$2002,$B113,'Lançar Resultado'!$B$3:$B$2002,$A113,'Lançar Resultado'!$O$3:$O$2002,"Sim"))</f>
        <v/>
      </c>
      <c r="K113" s="76" t="str">
        <f aca="false">IF($A113="","",COUNTIFS('Lançar Resultado'!$A$3:$A$2002,$B113,'Lançar Resultado'!$B$3:$B$2002,$A113,'Lançar Resultado'!$N$3:$N$2002,"Alta"))</f>
        <v/>
      </c>
      <c r="L113" s="76" t="str">
        <f aca="false">IF($A113="","",COUNTIFS('Lançar Resultado'!$A$3:$A$2002,$B113,'Lançar Resultado'!$B$3:$B$2002,$A113,'Lançar Resultado'!$P$3:$P$2002,10))</f>
        <v/>
      </c>
      <c r="M113" s="77" t="str">
        <f aca="false">IF($A113="","",IF(($F113+$G113)=0,"",$F113/($F113+$G113)*100))</f>
        <v/>
      </c>
    </row>
    <row r="114" customFormat="false" ht="18" hidden="false" customHeight="true" outlineLevel="0" collapsed="false">
      <c r="A114" s="75" t="str">
        <f aca="false">IF(Inspeções!$B114="","",Inspeções!$A114)</f>
        <v/>
      </c>
      <c r="B114" s="39" t="str">
        <f aca="false">IF($A114="","",Inspeções!$B114)</f>
        <v/>
      </c>
      <c r="C114" s="40" t="str">
        <f aca="false">IF($A114="","",Inspeções!$E114)</f>
        <v/>
      </c>
      <c r="D114" s="40" t="str">
        <f aca="false">IF($A114="","",Inspeções!$F114)</f>
        <v/>
      </c>
      <c r="E114" s="39" t="str">
        <f aca="false">IF($A114="","",COUNTIFS('Lançar Resultado'!$A$3:$A$2002,$B114,'Lançar Resultado'!$B$3:$B$2002,$A114))</f>
        <v/>
      </c>
      <c r="F114" s="39" t="str">
        <f aca="false">IF($A114="","",COUNTIFS('Lançar Resultado'!$A$3:$A$2002,$B114,'Lançar Resultado'!$B$3:$B$2002,$A114,'Lançar Resultado'!$G$3:$G$2002,"OK"))</f>
        <v/>
      </c>
      <c r="G114" s="39" t="str">
        <f aca="false">IF($A114="","",COUNTIFS('Lançar Resultado'!$A$3:$A$2002,$B114,'Lançar Resultado'!$B$3:$B$2002,$A114,'Lançar Resultado'!$G$3:$G$2002,"NOK"))</f>
        <v/>
      </c>
      <c r="H114" s="39" t="str">
        <f aca="false">IF($A114="","",COUNTIFS('Lançar Resultado'!$A$3:$A$2002,$B114,'Lançar Resultado'!$B$3:$B$2002,$A114,'Lançar Resultado'!$G$3:$G$2002,"N/A"))</f>
        <v/>
      </c>
      <c r="I114" s="39" t="str">
        <f aca="false">IF($A114="","",IF($E114=0,"",SUMPRODUCT(MAX(('Lançar Resultado'!$A$3:$A$2002=$B114)*('Lançar Resultado'!$B$3:$B$2002=$A114)*'Lançar Resultado'!$R$3:$R$2002))))</f>
        <v/>
      </c>
      <c r="J114" s="39" t="str">
        <f aca="false">IF($A114="","",COUNTIFS('Lançar Resultado'!$A$3:$A$2002,$B114,'Lançar Resultado'!$B$3:$B$2002,$A114,'Lançar Resultado'!$O$3:$O$2002,"Sim"))</f>
        <v/>
      </c>
      <c r="K114" s="76" t="str">
        <f aca="false">IF($A114="","",COUNTIFS('Lançar Resultado'!$A$3:$A$2002,$B114,'Lançar Resultado'!$B$3:$B$2002,$A114,'Lançar Resultado'!$N$3:$N$2002,"Alta"))</f>
        <v/>
      </c>
      <c r="L114" s="76" t="str">
        <f aca="false">IF($A114="","",COUNTIFS('Lançar Resultado'!$A$3:$A$2002,$B114,'Lançar Resultado'!$B$3:$B$2002,$A114,'Lançar Resultado'!$P$3:$P$2002,10))</f>
        <v/>
      </c>
      <c r="M114" s="77" t="str">
        <f aca="false">IF($A114="","",IF(($F114+$G114)=0,"",$F114/($F114+$G114)*100))</f>
        <v/>
      </c>
    </row>
    <row r="115" customFormat="false" ht="18" hidden="false" customHeight="true" outlineLevel="0" collapsed="false">
      <c r="A115" s="75" t="str">
        <f aca="false">IF(Inspeções!$B115="","",Inspeções!$A115)</f>
        <v/>
      </c>
      <c r="B115" s="39" t="str">
        <f aca="false">IF($A115="","",Inspeções!$B115)</f>
        <v/>
      </c>
      <c r="C115" s="40" t="str">
        <f aca="false">IF($A115="","",Inspeções!$E115)</f>
        <v/>
      </c>
      <c r="D115" s="40" t="str">
        <f aca="false">IF($A115="","",Inspeções!$F115)</f>
        <v/>
      </c>
      <c r="E115" s="39" t="str">
        <f aca="false">IF($A115="","",COUNTIFS('Lançar Resultado'!$A$3:$A$2002,$B115,'Lançar Resultado'!$B$3:$B$2002,$A115))</f>
        <v/>
      </c>
      <c r="F115" s="39" t="str">
        <f aca="false">IF($A115="","",COUNTIFS('Lançar Resultado'!$A$3:$A$2002,$B115,'Lançar Resultado'!$B$3:$B$2002,$A115,'Lançar Resultado'!$G$3:$G$2002,"OK"))</f>
        <v/>
      </c>
      <c r="G115" s="39" t="str">
        <f aca="false">IF($A115="","",COUNTIFS('Lançar Resultado'!$A$3:$A$2002,$B115,'Lançar Resultado'!$B$3:$B$2002,$A115,'Lançar Resultado'!$G$3:$G$2002,"NOK"))</f>
        <v/>
      </c>
      <c r="H115" s="39" t="str">
        <f aca="false">IF($A115="","",COUNTIFS('Lançar Resultado'!$A$3:$A$2002,$B115,'Lançar Resultado'!$B$3:$B$2002,$A115,'Lançar Resultado'!$G$3:$G$2002,"N/A"))</f>
        <v/>
      </c>
      <c r="I115" s="39" t="str">
        <f aca="false">IF($A115="","",IF($E115=0,"",SUMPRODUCT(MAX(('Lançar Resultado'!$A$3:$A$2002=$B115)*('Lançar Resultado'!$B$3:$B$2002=$A115)*'Lançar Resultado'!$R$3:$R$2002))))</f>
        <v/>
      </c>
      <c r="J115" s="39" t="str">
        <f aca="false">IF($A115="","",COUNTIFS('Lançar Resultado'!$A$3:$A$2002,$B115,'Lançar Resultado'!$B$3:$B$2002,$A115,'Lançar Resultado'!$O$3:$O$2002,"Sim"))</f>
        <v/>
      </c>
      <c r="K115" s="76" t="str">
        <f aca="false">IF($A115="","",COUNTIFS('Lançar Resultado'!$A$3:$A$2002,$B115,'Lançar Resultado'!$B$3:$B$2002,$A115,'Lançar Resultado'!$N$3:$N$2002,"Alta"))</f>
        <v/>
      </c>
      <c r="L115" s="76" t="str">
        <f aca="false">IF($A115="","",COUNTIFS('Lançar Resultado'!$A$3:$A$2002,$B115,'Lançar Resultado'!$B$3:$B$2002,$A115,'Lançar Resultado'!$P$3:$P$2002,10))</f>
        <v/>
      </c>
      <c r="M115" s="77" t="str">
        <f aca="false">IF($A115="","",IF(($F115+$G115)=0,"",$F115/($F115+$G115)*100))</f>
        <v/>
      </c>
    </row>
    <row r="116" customFormat="false" ht="18" hidden="false" customHeight="true" outlineLevel="0" collapsed="false">
      <c r="A116" s="75" t="str">
        <f aca="false">IF(Inspeções!$B116="","",Inspeções!$A116)</f>
        <v/>
      </c>
      <c r="B116" s="39" t="str">
        <f aca="false">IF($A116="","",Inspeções!$B116)</f>
        <v/>
      </c>
      <c r="C116" s="40" t="str">
        <f aca="false">IF($A116="","",Inspeções!$E116)</f>
        <v/>
      </c>
      <c r="D116" s="40" t="str">
        <f aca="false">IF($A116="","",Inspeções!$F116)</f>
        <v/>
      </c>
      <c r="E116" s="39" t="str">
        <f aca="false">IF($A116="","",COUNTIFS('Lançar Resultado'!$A$3:$A$2002,$B116,'Lançar Resultado'!$B$3:$B$2002,$A116))</f>
        <v/>
      </c>
      <c r="F116" s="39" t="str">
        <f aca="false">IF($A116="","",COUNTIFS('Lançar Resultado'!$A$3:$A$2002,$B116,'Lançar Resultado'!$B$3:$B$2002,$A116,'Lançar Resultado'!$G$3:$G$2002,"OK"))</f>
        <v/>
      </c>
      <c r="G116" s="39" t="str">
        <f aca="false">IF($A116="","",COUNTIFS('Lançar Resultado'!$A$3:$A$2002,$B116,'Lançar Resultado'!$B$3:$B$2002,$A116,'Lançar Resultado'!$G$3:$G$2002,"NOK"))</f>
        <v/>
      </c>
      <c r="H116" s="39" t="str">
        <f aca="false">IF($A116="","",COUNTIFS('Lançar Resultado'!$A$3:$A$2002,$B116,'Lançar Resultado'!$B$3:$B$2002,$A116,'Lançar Resultado'!$G$3:$G$2002,"N/A"))</f>
        <v/>
      </c>
      <c r="I116" s="39" t="str">
        <f aca="false">IF($A116="","",IF($E116=0,"",SUMPRODUCT(MAX(('Lançar Resultado'!$A$3:$A$2002=$B116)*('Lançar Resultado'!$B$3:$B$2002=$A116)*'Lançar Resultado'!$R$3:$R$2002))))</f>
        <v/>
      </c>
      <c r="J116" s="39" t="str">
        <f aca="false">IF($A116="","",COUNTIFS('Lançar Resultado'!$A$3:$A$2002,$B116,'Lançar Resultado'!$B$3:$B$2002,$A116,'Lançar Resultado'!$O$3:$O$2002,"Sim"))</f>
        <v/>
      </c>
      <c r="K116" s="76" t="str">
        <f aca="false">IF($A116="","",COUNTIFS('Lançar Resultado'!$A$3:$A$2002,$B116,'Lançar Resultado'!$B$3:$B$2002,$A116,'Lançar Resultado'!$N$3:$N$2002,"Alta"))</f>
        <v/>
      </c>
      <c r="L116" s="76" t="str">
        <f aca="false">IF($A116="","",COUNTIFS('Lançar Resultado'!$A$3:$A$2002,$B116,'Lançar Resultado'!$B$3:$B$2002,$A116,'Lançar Resultado'!$P$3:$P$2002,10))</f>
        <v/>
      </c>
      <c r="M116" s="77" t="str">
        <f aca="false">IF($A116="","",IF(($F116+$G116)=0,"",$F116/($F116+$G116)*100))</f>
        <v/>
      </c>
    </row>
    <row r="117" customFormat="false" ht="18" hidden="false" customHeight="true" outlineLevel="0" collapsed="false">
      <c r="A117" s="75" t="str">
        <f aca="false">IF(Inspeções!$B117="","",Inspeções!$A117)</f>
        <v/>
      </c>
      <c r="B117" s="39" t="str">
        <f aca="false">IF($A117="","",Inspeções!$B117)</f>
        <v/>
      </c>
      <c r="C117" s="40" t="str">
        <f aca="false">IF($A117="","",Inspeções!$E117)</f>
        <v/>
      </c>
      <c r="D117" s="40" t="str">
        <f aca="false">IF($A117="","",Inspeções!$F117)</f>
        <v/>
      </c>
      <c r="E117" s="39" t="str">
        <f aca="false">IF($A117="","",COUNTIFS('Lançar Resultado'!$A$3:$A$2002,$B117,'Lançar Resultado'!$B$3:$B$2002,$A117))</f>
        <v/>
      </c>
      <c r="F117" s="39" t="str">
        <f aca="false">IF($A117="","",COUNTIFS('Lançar Resultado'!$A$3:$A$2002,$B117,'Lançar Resultado'!$B$3:$B$2002,$A117,'Lançar Resultado'!$G$3:$G$2002,"OK"))</f>
        <v/>
      </c>
      <c r="G117" s="39" t="str">
        <f aca="false">IF($A117="","",COUNTIFS('Lançar Resultado'!$A$3:$A$2002,$B117,'Lançar Resultado'!$B$3:$B$2002,$A117,'Lançar Resultado'!$G$3:$G$2002,"NOK"))</f>
        <v/>
      </c>
      <c r="H117" s="39" t="str">
        <f aca="false">IF($A117="","",COUNTIFS('Lançar Resultado'!$A$3:$A$2002,$B117,'Lançar Resultado'!$B$3:$B$2002,$A117,'Lançar Resultado'!$G$3:$G$2002,"N/A"))</f>
        <v/>
      </c>
      <c r="I117" s="39" t="str">
        <f aca="false">IF($A117="","",IF($E117=0,"",SUMPRODUCT(MAX(('Lançar Resultado'!$A$3:$A$2002=$B117)*('Lançar Resultado'!$B$3:$B$2002=$A117)*'Lançar Resultado'!$R$3:$R$2002))))</f>
        <v/>
      </c>
      <c r="J117" s="39" t="str">
        <f aca="false">IF($A117="","",COUNTIFS('Lançar Resultado'!$A$3:$A$2002,$B117,'Lançar Resultado'!$B$3:$B$2002,$A117,'Lançar Resultado'!$O$3:$O$2002,"Sim"))</f>
        <v/>
      </c>
      <c r="K117" s="76" t="str">
        <f aca="false">IF($A117="","",COUNTIFS('Lançar Resultado'!$A$3:$A$2002,$B117,'Lançar Resultado'!$B$3:$B$2002,$A117,'Lançar Resultado'!$N$3:$N$2002,"Alta"))</f>
        <v/>
      </c>
      <c r="L117" s="76" t="str">
        <f aca="false">IF($A117="","",COUNTIFS('Lançar Resultado'!$A$3:$A$2002,$B117,'Lançar Resultado'!$B$3:$B$2002,$A117,'Lançar Resultado'!$P$3:$P$2002,10))</f>
        <v/>
      </c>
      <c r="M117" s="77" t="str">
        <f aca="false">IF($A117="","",IF(($F117+$G117)=0,"",$F117/($F117+$G117)*100))</f>
        <v/>
      </c>
    </row>
    <row r="118" customFormat="false" ht="18" hidden="false" customHeight="true" outlineLevel="0" collapsed="false">
      <c r="A118" s="75" t="str">
        <f aca="false">IF(Inspeções!$B118="","",Inspeções!$A118)</f>
        <v/>
      </c>
      <c r="B118" s="39" t="str">
        <f aca="false">IF($A118="","",Inspeções!$B118)</f>
        <v/>
      </c>
      <c r="C118" s="40" t="str">
        <f aca="false">IF($A118="","",Inspeções!$E118)</f>
        <v/>
      </c>
      <c r="D118" s="40" t="str">
        <f aca="false">IF($A118="","",Inspeções!$F118)</f>
        <v/>
      </c>
      <c r="E118" s="39" t="str">
        <f aca="false">IF($A118="","",COUNTIFS('Lançar Resultado'!$A$3:$A$2002,$B118,'Lançar Resultado'!$B$3:$B$2002,$A118))</f>
        <v/>
      </c>
      <c r="F118" s="39" t="str">
        <f aca="false">IF($A118="","",COUNTIFS('Lançar Resultado'!$A$3:$A$2002,$B118,'Lançar Resultado'!$B$3:$B$2002,$A118,'Lançar Resultado'!$G$3:$G$2002,"OK"))</f>
        <v/>
      </c>
      <c r="G118" s="39" t="str">
        <f aca="false">IF($A118="","",COUNTIFS('Lançar Resultado'!$A$3:$A$2002,$B118,'Lançar Resultado'!$B$3:$B$2002,$A118,'Lançar Resultado'!$G$3:$G$2002,"NOK"))</f>
        <v/>
      </c>
      <c r="H118" s="39" t="str">
        <f aca="false">IF($A118="","",COUNTIFS('Lançar Resultado'!$A$3:$A$2002,$B118,'Lançar Resultado'!$B$3:$B$2002,$A118,'Lançar Resultado'!$G$3:$G$2002,"N/A"))</f>
        <v/>
      </c>
      <c r="I118" s="39" t="str">
        <f aca="false">IF($A118="","",IF($E118=0,"",SUMPRODUCT(MAX(('Lançar Resultado'!$A$3:$A$2002=$B118)*('Lançar Resultado'!$B$3:$B$2002=$A118)*'Lançar Resultado'!$R$3:$R$2002))))</f>
        <v/>
      </c>
      <c r="J118" s="39" t="str">
        <f aca="false">IF($A118="","",COUNTIFS('Lançar Resultado'!$A$3:$A$2002,$B118,'Lançar Resultado'!$B$3:$B$2002,$A118,'Lançar Resultado'!$O$3:$O$2002,"Sim"))</f>
        <v/>
      </c>
      <c r="K118" s="76" t="str">
        <f aca="false">IF($A118="","",COUNTIFS('Lançar Resultado'!$A$3:$A$2002,$B118,'Lançar Resultado'!$B$3:$B$2002,$A118,'Lançar Resultado'!$N$3:$N$2002,"Alta"))</f>
        <v/>
      </c>
      <c r="L118" s="76" t="str">
        <f aca="false">IF($A118="","",COUNTIFS('Lançar Resultado'!$A$3:$A$2002,$B118,'Lançar Resultado'!$B$3:$B$2002,$A118,'Lançar Resultado'!$P$3:$P$2002,10))</f>
        <v/>
      </c>
      <c r="M118" s="77" t="str">
        <f aca="false">IF($A118="","",IF(($F118+$G118)=0,"",$F118/($F118+$G118)*100))</f>
        <v/>
      </c>
    </row>
    <row r="119" customFormat="false" ht="18" hidden="false" customHeight="true" outlineLevel="0" collapsed="false">
      <c r="A119" s="75" t="str">
        <f aca="false">IF(Inspeções!$B119="","",Inspeções!$A119)</f>
        <v/>
      </c>
      <c r="B119" s="39" t="str">
        <f aca="false">IF($A119="","",Inspeções!$B119)</f>
        <v/>
      </c>
      <c r="C119" s="40" t="str">
        <f aca="false">IF($A119="","",Inspeções!$E119)</f>
        <v/>
      </c>
      <c r="D119" s="40" t="str">
        <f aca="false">IF($A119="","",Inspeções!$F119)</f>
        <v/>
      </c>
      <c r="E119" s="39" t="str">
        <f aca="false">IF($A119="","",COUNTIFS('Lançar Resultado'!$A$3:$A$2002,$B119,'Lançar Resultado'!$B$3:$B$2002,$A119))</f>
        <v/>
      </c>
      <c r="F119" s="39" t="str">
        <f aca="false">IF($A119="","",COUNTIFS('Lançar Resultado'!$A$3:$A$2002,$B119,'Lançar Resultado'!$B$3:$B$2002,$A119,'Lançar Resultado'!$G$3:$G$2002,"OK"))</f>
        <v/>
      </c>
      <c r="G119" s="39" t="str">
        <f aca="false">IF($A119="","",COUNTIFS('Lançar Resultado'!$A$3:$A$2002,$B119,'Lançar Resultado'!$B$3:$B$2002,$A119,'Lançar Resultado'!$G$3:$G$2002,"NOK"))</f>
        <v/>
      </c>
      <c r="H119" s="39" t="str">
        <f aca="false">IF($A119="","",COUNTIFS('Lançar Resultado'!$A$3:$A$2002,$B119,'Lançar Resultado'!$B$3:$B$2002,$A119,'Lançar Resultado'!$G$3:$G$2002,"N/A"))</f>
        <v/>
      </c>
      <c r="I119" s="39" t="str">
        <f aca="false">IF($A119="","",IF($E119=0,"",SUMPRODUCT(MAX(('Lançar Resultado'!$A$3:$A$2002=$B119)*('Lançar Resultado'!$B$3:$B$2002=$A119)*'Lançar Resultado'!$R$3:$R$2002))))</f>
        <v/>
      </c>
      <c r="J119" s="39" t="str">
        <f aca="false">IF($A119="","",COUNTIFS('Lançar Resultado'!$A$3:$A$2002,$B119,'Lançar Resultado'!$B$3:$B$2002,$A119,'Lançar Resultado'!$O$3:$O$2002,"Sim"))</f>
        <v/>
      </c>
      <c r="K119" s="76" t="str">
        <f aca="false">IF($A119="","",COUNTIFS('Lançar Resultado'!$A$3:$A$2002,$B119,'Lançar Resultado'!$B$3:$B$2002,$A119,'Lançar Resultado'!$N$3:$N$2002,"Alta"))</f>
        <v/>
      </c>
      <c r="L119" s="76" t="str">
        <f aca="false">IF($A119="","",COUNTIFS('Lançar Resultado'!$A$3:$A$2002,$B119,'Lançar Resultado'!$B$3:$B$2002,$A119,'Lançar Resultado'!$P$3:$P$2002,10))</f>
        <v/>
      </c>
      <c r="M119" s="77" t="str">
        <f aca="false">IF($A119="","",IF(($F119+$G119)=0,"",$F119/($F119+$G119)*100))</f>
        <v/>
      </c>
    </row>
    <row r="120" customFormat="false" ht="18" hidden="false" customHeight="true" outlineLevel="0" collapsed="false">
      <c r="A120" s="75" t="str">
        <f aca="false">IF(Inspeções!$B120="","",Inspeções!$A120)</f>
        <v/>
      </c>
      <c r="B120" s="39" t="str">
        <f aca="false">IF($A120="","",Inspeções!$B120)</f>
        <v/>
      </c>
      <c r="C120" s="40" t="str">
        <f aca="false">IF($A120="","",Inspeções!$E120)</f>
        <v/>
      </c>
      <c r="D120" s="40" t="str">
        <f aca="false">IF($A120="","",Inspeções!$F120)</f>
        <v/>
      </c>
      <c r="E120" s="39" t="str">
        <f aca="false">IF($A120="","",COUNTIFS('Lançar Resultado'!$A$3:$A$2002,$B120,'Lançar Resultado'!$B$3:$B$2002,$A120))</f>
        <v/>
      </c>
      <c r="F120" s="39" t="str">
        <f aca="false">IF($A120="","",COUNTIFS('Lançar Resultado'!$A$3:$A$2002,$B120,'Lançar Resultado'!$B$3:$B$2002,$A120,'Lançar Resultado'!$G$3:$G$2002,"OK"))</f>
        <v/>
      </c>
      <c r="G120" s="39" t="str">
        <f aca="false">IF($A120="","",COUNTIFS('Lançar Resultado'!$A$3:$A$2002,$B120,'Lançar Resultado'!$B$3:$B$2002,$A120,'Lançar Resultado'!$G$3:$G$2002,"NOK"))</f>
        <v/>
      </c>
      <c r="H120" s="39" t="str">
        <f aca="false">IF($A120="","",COUNTIFS('Lançar Resultado'!$A$3:$A$2002,$B120,'Lançar Resultado'!$B$3:$B$2002,$A120,'Lançar Resultado'!$G$3:$G$2002,"N/A"))</f>
        <v/>
      </c>
      <c r="I120" s="39" t="str">
        <f aca="false">IF($A120="","",IF($E120=0,"",SUMPRODUCT(MAX(('Lançar Resultado'!$A$3:$A$2002=$B120)*('Lançar Resultado'!$B$3:$B$2002=$A120)*'Lançar Resultado'!$R$3:$R$2002))))</f>
        <v/>
      </c>
      <c r="J120" s="39" t="str">
        <f aca="false">IF($A120="","",COUNTIFS('Lançar Resultado'!$A$3:$A$2002,$B120,'Lançar Resultado'!$B$3:$B$2002,$A120,'Lançar Resultado'!$O$3:$O$2002,"Sim"))</f>
        <v/>
      </c>
      <c r="K120" s="76" t="str">
        <f aca="false">IF($A120="","",COUNTIFS('Lançar Resultado'!$A$3:$A$2002,$B120,'Lançar Resultado'!$B$3:$B$2002,$A120,'Lançar Resultado'!$N$3:$N$2002,"Alta"))</f>
        <v/>
      </c>
      <c r="L120" s="76" t="str">
        <f aca="false">IF($A120="","",COUNTIFS('Lançar Resultado'!$A$3:$A$2002,$B120,'Lançar Resultado'!$B$3:$B$2002,$A120,'Lançar Resultado'!$P$3:$P$2002,10))</f>
        <v/>
      </c>
      <c r="M120" s="77" t="str">
        <f aca="false">IF($A120="","",IF(($F120+$G120)=0,"",$F120/($F120+$G120)*100))</f>
        <v/>
      </c>
    </row>
    <row r="121" customFormat="false" ht="18" hidden="false" customHeight="true" outlineLevel="0" collapsed="false">
      <c r="A121" s="75" t="str">
        <f aca="false">IF(Inspeções!$B121="","",Inspeções!$A121)</f>
        <v/>
      </c>
      <c r="B121" s="39" t="str">
        <f aca="false">IF($A121="","",Inspeções!$B121)</f>
        <v/>
      </c>
      <c r="C121" s="40" t="str">
        <f aca="false">IF($A121="","",Inspeções!$E121)</f>
        <v/>
      </c>
      <c r="D121" s="40" t="str">
        <f aca="false">IF($A121="","",Inspeções!$F121)</f>
        <v/>
      </c>
      <c r="E121" s="39" t="str">
        <f aca="false">IF($A121="","",COUNTIFS('Lançar Resultado'!$A$3:$A$2002,$B121,'Lançar Resultado'!$B$3:$B$2002,$A121))</f>
        <v/>
      </c>
      <c r="F121" s="39" t="str">
        <f aca="false">IF($A121="","",COUNTIFS('Lançar Resultado'!$A$3:$A$2002,$B121,'Lançar Resultado'!$B$3:$B$2002,$A121,'Lançar Resultado'!$G$3:$G$2002,"OK"))</f>
        <v/>
      </c>
      <c r="G121" s="39" t="str">
        <f aca="false">IF($A121="","",COUNTIFS('Lançar Resultado'!$A$3:$A$2002,$B121,'Lançar Resultado'!$B$3:$B$2002,$A121,'Lançar Resultado'!$G$3:$G$2002,"NOK"))</f>
        <v/>
      </c>
      <c r="H121" s="39" t="str">
        <f aca="false">IF($A121="","",COUNTIFS('Lançar Resultado'!$A$3:$A$2002,$B121,'Lançar Resultado'!$B$3:$B$2002,$A121,'Lançar Resultado'!$G$3:$G$2002,"N/A"))</f>
        <v/>
      </c>
      <c r="I121" s="39" t="str">
        <f aca="false">IF($A121="","",IF($E121=0,"",SUMPRODUCT(MAX(('Lançar Resultado'!$A$3:$A$2002=$B121)*('Lançar Resultado'!$B$3:$B$2002=$A121)*'Lançar Resultado'!$R$3:$R$2002))))</f>
        <v/>
      </c>
      <c r="J121" s="39" t="str">
        <f aca="false">IF($A121="","",COUNTIFS('Lançar Resultado'!$A$3:$A$2002,$B121,'Lançar Resultado'!$B$3:$B$2002,$A121,'Lançar Resultado'!$O$3:$O$2002,"Sim"))</f>
        <v/>
      </c>
      <c r="K121" s="76" t="str">
        <f aca="false">IF($A121="","",COUNTIFS('Lançar Resultado'!$A$3:$A$2002,$B121,'Lançar Resultado'!$B$3:$B$2002,$A121,'Lançar Resultado'!$N$3:$N$2002,"Alta"))</f>
        <v/>
      </c>
      <c r="L121" s="76" t="str">
        <f aca="false">IF($A121="","",COUNTIFS('Lançar Resultado'!$A$3:$A$2002,$B121,'Lançar Resultado'!$B$3:$B$2002,$A121,'Lançar Resultado'!$P$3:$P$2002,10))</f>
        <v/>
      </c>
      <c r="M121" s="77" t="str">
        <f aca="false">IF($A121="","",IF(($F121+$G121)=0,"",$F121/($F121+$G121)*100))</f>
        <v/>
      </c>
    </row>
    <row r="122" customFormat="false" ht="18" hidden="false" customHeight="true" outlineLevel="0" collapsed="false">
      <c r="A122" s="75" t="str">
        <f aca="false">IF(Inspeções!$B122="","",Inspeções!$A122)</f>
        <v/>
      </c>
      <c r="B122" s="39" t="str">
        <f aca="false">IF($A122="","",Inspeções!$B122)</f>
        <v/>
      </c>
      <c r="C122" s="40" t="str">
        <f aca="false">IF($A122="","",Inspeções!$E122)</f>
        <v/>
      </c>
      <c r="D122" s="40" t="str">
        <f aca="false">IF($A122="","",Inspeções!$F122)</f>
        <v/>
      </c>
      <c r="E122" s="39" t="str">
        <f aca="false">IF($A122="","",COUNTIFS('Lançar Resultado'!$A$3:$A$2002,$B122,'Lançar Resultado'!$B$3:$B$2002,$A122))</f>
        <v/>
      </c>
      <c r="F122" s="39" t="str">
        <f aca="false">IF($A122="","",COUNTIFS('Lançar Resultado'!$A$3:$A$2002,$B122,'Lançar Resultado'!$B$3:$B$2002,$A122,'Lançar Resultado'!$G$3:$G$2002,"OK"))</f>
        <v/>
      </c>
      <c r="G122" s="39" t="str">
        <f aca="false">IF($A122="","",COUNTIFS('Lançar Resultado'!$A$3:$A$2002,$B122,'Lançar Resultado'!$B$3:$B$2002,$A122,'Lançar Resultado'!$G$3:$G$2002,"NOK"))</f>
        <v/>
      </c>
      <c r="H122" s="39" t="str">
        <f aca="false">IF($A122="","",COUNTIFS('Lançar Resultado'!$A$3:$A$2002,$B122,'Lançar Resultado'!$B$3:$B$2002,$A122,'Lançar Resultado'!$G$3:$G$2002,"N/A"))</f>
        <v/>
      </c>
      <c r="I122" s="39" t="str">
        <f aca="false">IF($A122="","",IF($E122=0,"",SUMPRODUCT(MAX(('Lançar Resultado'!$A$3:$A$2002=$B122)*('Lançar Resultado'!$B$3:$B$2002=$A122)*'Lançar Resultado'!$R$3:$R$2002))))</f>
        <v/>
      </c>
      <c r="J122" s="39" t="str">
        <f aca="false">IF($A122="","",COUNTIFS('Lançar Resultado'!$A$3:$A$2002,$B122,'Lançar Resultado'!$B$3:$B$2002,$A122,'Lançar Resultado'!$O$3:$O$2002,"Sim"))</f>
        <v/>
      </c>
      <c r="K122" s="76" t="str">
        <f aca="false">IF($A122="","",COUNTIFS('Lançar Resultado'!$A$3:$A$2002,$B122,'Lançar Resultado'!$B$3:$B$2002,$A122,'Lançar Resultado'!$N$3:$N$2002,"Alta"))</f>
        <v/>
      </c>
      <c r="L122" s="76" t="str">
        <f aca="false">IF($A122="","",COUNTIFS('Lançar Resultado'!$A$3:$A$2002,$B122,'Lançar Resultado'!$B$3:$B$2002,$A122,'Lançar Resultado'!$P$3:$P$2002,10))</f>
        <v/>
      </c>
      <c r="M122" s="77" t="str">
        <f aca="false">IF($A122="","",IF(($F122+$G122)=0,"",$F122/($F122+$G122)*100))</f>
        <v/>
      </c>
    </row>
  </sheetData>
  <sheetProtection sheet="true"/>
  <conditionalFormatting sqref="M3:M122">
    <cfRule type="cellIs" priority="2" operator="greaterThanOrEqual" aboveAverage="0" equalAverage="0" bottom="0" percent="0" rank="0" text="" dxfId="22">
      <formula>Parâmetros!$C$7</formula>
    </cfRule>
    <cfRule type="cellIs" priority="3" operator="greaterThanOrEqual" aboveAverage="0" equalAverage="0" bottom="0" percent="0" rank="0" text="" dxfId="21">
      <formula>Parâmetros!$C$8</formula>
    </cfRule>
    <cfRule type="cellIs" priority="4" operator="lessThan" aboveAverage="0" equalAverage="0" bottom="0" percent="0" rank="0" text="" dxfId="4">
      <formula>Parâmetros!$C$8</formula>
    </cfRule>
  </conditionalFormatting>
  <conditionalFormatting sqref="K3:K122">
    <cfRule type="cellIs" priority="5" operator="greaterThan" aboveAverage="0" equalAverage="0" bottom="0" percent="0" rank="0" text="" dxfId="4">
      <formula>0</formula>
    </cfRule>
  </conditionalFormatting>
  <conditionalFormatting sqref="L3:L122">
    <cfRule type="cellIs" priority="6" operator="greaterThan" aboveAverage="0" equalAverage="0" bottom="0" percent="0" rank="0" text="" dxfId="4">
      <formula>0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1:R3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4" min="2" style="0" width="11"/>
    <col collapsed="false" customWidth="true" hidden="false" outlineLevel="0" max="5" min="5" style="0" width="3"/>
    <col collapsed="false" customWidth="true" hidden="false" outlineLevel="0" max="8" min="6" style="0" width="11"/>
    <col collapsed="false" customWidth="true" hidden="false" outlineLevel="0" max="9" min="9" style="0" width="3"/>
    <col collapsed="false" customWidth="true" hidden="false" outlineLevel="0" max="12" min="10" style="0" width="11"/>
    <col collapsed="false" customWidth="true" hidden="false" outlineLevel="0" max="13" min="13" style="0" width="3"/>
    <col collapsed="false" customWidth="true" hidden="false" outlineLevel="0" max="15" min="14" style="0" width="11"/>
    <col collapsed="false" customWidth="true" hidden="false" outlineLevel="0" max="16" min="16" style="0" width="16"/>
    <col collapsed="false" customWidth="true" hidden="true" outlineLevel="0" max="18" min="18" style="0" width="13"/>
  </cols>
  <sheetData>
    <row r="1" customFormat="false" ht="15" hidden="false" customHeight="false" outlineLevel="0" collapsed="false">
      <c r="R1" s="78" t="s">
        <v>349</v>
      </c>
    </row>
    <row r="2" customFormat="false" ht="24.45" hidden="false" customHeight="false" outlineLevel="0" collapsed="false">
      <c r="B2" s="79" t="s">
        <v>350</v>
      </c>
    </row>
    <row r="3" customFormat="false" ht="15" hidden="false" customHeight="false" outlineLevel="0" collapsed="false">
      <c r="B3" s="38" t="str">
        <f aca="false">CONCATENATE("Item entra no plano com nota &gt;= ",TEXT(Parâmetros!$C$5,"0"),"  ·  alerta de inspeção ",TEXT(Parâmetros!$C$6,"0")," dias antes  ·  atualizado em ",TEXT(Parâmetros!$C$4,"dd/mm/yyyy hh:mm"))</f>
        <v>Item entra no plano com nota &gt;= 5  ·  alerta de inspeção 7 dias antes  ·  atualizado em 31/07/2026 00:58</v>
      </c>
      <c r="R3" s="0" t="str">
        <f aca="false">IF('Plano de ação'!$B3="","",IF(AND('Plano de ação'!$K3="Alta",'Plano de ação'!$O3&lt;&gt;"Concluída"),-'Plano de ação'!$J3+ROW()/1000000,""))</f>
        <v/>
      </c>
    </row>
    <row r="4" customFormat="false" ht="15" hidden="false" customHeight="false" outlineLevel="0" collapsed="false">
      <c r="R4" s="0" t="n">
        <f aca="false">IF('Plano de ação'!$B4="","",IF(AND('Plano de ação'!$K4="Alta",'Plano de ação'!$O4&lt;&gt;"Concluída"),-'Plano de ação'!$J4+ROW()/1000000,""))</f>
        <v>-9.999996</v>
      </c>
    </row>
    <row r="5" customFormat="false" ht="18" hidden="false" customHeight="true" outlineLevel="0" collapsed="false">
      <c r="B5" s="80" t="s">
        <v>351</v>
      </c>
      <c r="C5" s="80"/>
      <c r="D5" s="80"/>
      <c r="F5" s="81" t="s">
        <v>352</v>
      </c>
      <c r="G5" s="81"/>
      <c r="H5" s="81"/>
      <c r="J5" s="82" t="s">
        <v>353</v>
      </c>
      <c r="K5" s="82"/>
      <c r="L5" s="82"/>
      <c r="N5" s="83" t="s">
        <v>354</v>
      </c>
      <c r="O5" s="83"/>
      <c r="P5" s="83"/>
      <c r="R5" s="64" t="n">
        <f aca="false">IF('Plano de ação'!$B5="","",IF(AND('Plano de ação'!$K5="Alta",'Plano de ação'!$O5&lt;&gt;"Concluída"),-'Plano de ação'!$J5+ROW()/1000000,""))</f>
        <v>-8.999995</v>
      </c>
    </row>
    <row r="6" customFormat="false" ht="31.5" hidden="false" customHeight="true" outlineLevel="0" collapsed="false">
      <c r="B6" s="84" t="n">
        <f aca="false">COUNTIF(Equipamentos!$A$3:$A$52,"?*")</f>
        <v>10</v>
      </c>
      <c r="C6" s="84"/>
      <c r="D6" s="84"/>
      <c r="F6" s="85" t="n">
        <f aca="false">COUNTIF(Equipamentos!$M$3:$M$52,"Atrasada")</f>
        <v>1</v>
      </c>
      <c r="G6" s="85"/>
      <c r="H6" s="85"/>
      <c r="J6" s="86" t="n">
        <f aca="false">COUNTIF(Equipamentos!$M$3:$M$52,"Vence em breve")</f>
        <v>1</v>
      </c>
      <c r="K6" s="86"/>
      <c r="L6" s="86"/>
      <c r="N6" s="87" t="n">
        <f aca="false">COUNTIF(Equipamentos!$M$3:$M$52,"Sem histórico")</f>
        <v>5</v>
      </c>
      <c r="O6" s="87"/>
      <c r="P6" s="87"/>
      <c r="R6" s="0" t="str">
        <f aca="false">IF('Plano de ação'!$B6="","",IF(AND('Plano de ação'!$K6="Alta",'Plano de ação'!$O6&lt;&gt;"Concluída"),-'Plano de ação'!$J6+ROW()/1000000,""))</f>
        <v/>
      </c>
    </row>
    <row r="7" customFormat="false" ht="15.75" hidden="false" customHeight="true" outlineLevel="0" collapsed="false">
      <c r="B7" s="88" t="s">
        <v>355</v>
      </c>
      <c r="C7" s="88"/>
      <c r="D7" s="88"/>
      <c r="F7" s="89" t="s">
        <v>356</v>
      </c>
      <c r="G7" s="89"/>
      <c r="H7" s="89"/>
      <c r="J7" s="90" t="s">
        <v>357</v>
      </c>
      <c r="K7" s="90"/>
      <c r="L7" s="90"/>
      <c r="N7" s="91" t="s">
        <v>358</v>
      </c>
      <c r="O7" s="91"/>
      <c r="P7" s="91"/>
      <c r="R7" s="64" t="n">
        <f aca="false">IF('Plano de ação'!$B7="","",IF(AND('Plano de ação'!$K7="Alta",'Plano de ação'!$O7&lt;&gt;"Concluída"),-'Plano de ação'!$J7+ROW()/1000000,""))</f>
        <v>-8.999993</v>
      </c>
    </row>
    <row r="8" customFormat="false" ht="15" hidden="false" customHeight="false" outlineLevel="0" collapsed="false">
      <c r="R8" s="0" t="str">
        <f aca="false">IF('Plano de ação'!$B8="","",IF(AND('Plano de ação'!$K8="Alta",'Plano de ação'!$O8&lt;&gt;"Concluída"),-'Plano de ação'!$J8+ROW()/1000000,""))</f>
        <v/>
      </c>
    </row>
    <row r="9" customFormat="false" ht="18" hidden="false" customHeight="true" outlineLevel="0" collapsed="false">
      <c r="B9" s="92" t="s">
        <v>359</v>
      </c>
      <c r="C9" s="92"/>
      <c r="D9" s="92"/>
      <c r="F9" s="81" t="s">
        <v>360</v>
      </c>
      <c r="G9" s="81"/>
      <c r="H9" s="81"/>
      <c r="J9" s="80" t="s">
        <v>361</v>
      </c>
      <c r="K9" s="80"/>
      <c r="L9" s="80"/>
      <c r="N9" s="81" t="s">
        <v>362</v>
      </c>
      <c r="O9" s="81"/>
      <c r="P9" s="81"/>
      <c r="R9" s="0" t="str">
        <f aca="false">IF('Plano de ação'!$B9="","",IF(AND('Plano de ação'!$K9="Alta",'Plano de ação'!$O9&lt;&gt;"Concluída"),-'Plano de ação'!$J9+ROW()/1000000,""))</f>
        <v/>
      </c>
    </row>
    <row r="10" customFormat="false" ht="31.5" hidden="false" customHeight="true" outlineLevel="0" collapsed="false">
      <c r="B10" s="93" t="n">
        <f aca="false">IF((SUM('Resumo por inspeção'!$F$3:$F$122)+SUM('Resumo por inspeção'!$G$3:$G$122))=0,"—",SUM('Resumo por inspeção'!$F$3:$F$122)/(SUM('Resumo por inspeção'!$F$3:$F$122)+SUM('Resumo por inspeção'!$G$3:$G$122))*100)</f>
        <v>64.2857142857143</v>
      </c>
      <c r="C10" s="93"/>
      <c r="D10" s="93"/>
      <c r="F10" s="85" t="n">
        <f aca="false">COUNTIF('Lançar Resultado'!$P$3:$P$2002,10)</f>
        <v>2</v>
      </c>
      <c r="G10" s="85"/>
      <c r="H10" s="85"/>
      <c r="J10" s="84" t="n">
        <f aca="false">COUNTIFS('Lançar Resultado'!$O$3:$O$2002,"Sim",'Lançar Resultado'!$L$3:$L$2002,"&lt;&gt;Concluída")</f>
        <v>12</v>
      </c>
      <c r="K10" s="84"/>
      <c r="L10" s="84"/>
      <c r="N10" s="85" t="n">
        <f aca="false">COUNTIFS('Lançar Resultado'!$O$3:$O$2002,"Sim",'Lançar Resultado'!$L$3:$L$2002,"&lt;&gt;Concluída",'Lançar Resultado'!$K$3:$K$2002,"&lt;"&amp;INT(Parâmetros!$C$4),'Lançar Resultado'!$K$3:$K$2002,"&gt;0")</f>
        <v>4</v>
      </c>
      <c r="O10" s="85"/>
      <c r="P10" s="85"/>
      <c r="R10" s="0" t="str">
        <f aca="false">IF('Plano de ação'!$B10="","",IF(AND('Plano de ação'!$K10="Alta",'Plano de ação'!$O10&lt;&gt;"Concluída"),-'Plano de ação'!$J10+ROW()/1000000,""))</f>
        <v/>
      </c>
    </row>
    <row r="11" customFormat="false" ht="15.75" hidden="false" customHeight="true" outlineLevel="0" collapsed="false">
      <c r="B11" s="94" t="s">
        <v>363</v>
      </c>
      <c r="C11" s="94"/>
      <c r="D11" s="94"/>
      <c r="F11" s="89" t="s">
        <v>364</v>
      </c>
      <c r="G11" s="89"/>
      <c r="H11" s="89"/>
      <c r="J11" s="88" t="s">
        <v>365</v>
      </c>
      <c r="K11" s="88"/>
      <c r="L11" s="88"/>
      <c r="N11" s="89" t="s">
        <v>366</v>
      </c>
      <c r="O11" s="89"/>
      <c r="P11" s="89"/>
      <c r="R11" s="0" t="str">
        <f aca="false">IF('Plano de ação'!$B11="","",IF(AND('Plano de ação'!$K11="Alta",'Plano de ação'!$O11&lt;&gt;"Concluída"),-'Plano de ação'!$J11+ROW()/1000000,""))</f>
        <v/>
      </c>
    </row>
    <row r="12" customFormat="false" ht="15" hidden="false" customHeight="false" outlineLevel="0" collapsed="false">
      <c r="R12" s="0" t="str">
        <f aca="false">IF('Plano de ação'!$B12="","",IF(AND('Plano de ação'!$K12="Alta",'Plano de ação'!$O12&lt;&gt;"Concluída"),-'Plano de ação'!$J12+ROW()/1000000,""))</f>
        <v/>
      </c>
    </row>
    <row r="13" customFormat="false" ht="15" hidden="false" customHeight="false" outlineLevel="0" collapsed="false">
      <c r="R13" s="0" t="n">
        <f aca="false">IF('Plano de ação'!$B13="","",IF(AND('Plano de ação'!$K13="Alta",'Plano de ação'!$O13&lt;&gt;"Concluída"),-'Plano de ação'!$J13+ROW()/1000000,""))</f>
        <v>-9.999987</v>
      </c>
    </row>
    <row r="14" customFormat="false" ht="15" hidden="false" customHeight="false" outlineLevel="0" collapsed="false">
      <c r="B14" s="14" t="s">
        <v>367</v>
      </c>
      <c r="R14" s="0" t="str">
        <f aca="false">IF('Plano de ação'!$B14="","",IF(AND('Plano de ação'!$K14="Alta",'Plano de ação'!$O14&lt;&gt;"Concluída"),-'Plano de ação'!$J14+ROW()/1000000,""))</f>
        <v/>
      </c>
    </row>
    <row r="15" customFormat="false" ht="15" hidden="false" customHeight="false" outlineLevel="0" collapsed="false">
      <c r="B15" s="22" t="s">
        <v>339</v>
      </c>
      <c r="C15" s="22" t="s">
        <v>285</v>
      </c>
      <c r="D15" s="22" t="s">
        <v>340</v>
      </c>
      <c r="E15" s="22"/>
      <c r="F15" s="22"/>
      <c r="G15" s="22"/>
      <c r="H15" s="22"/>
      <c r="I15" s="22" t="s">
        <v>82</v>
      </c>
      <c r="J15" s="22" t="s">
        <v>294</v>
      </c>
      <c r="K15" s="22"/>
      <c r="R15" s="0" t="str">
        <f aca="false">IF('Plano de ação'!$B15="","",IF(AND('Plano de ação'!$K15="Alta",'Plano de ação'!$O15&lt;&gt;"Concluída"),-'Plano de ação'!$J15+ROW()/1000000,""))</f>
        <v/>
      </c>
    </row>
    <row r="16" customFormat="false" ht="18" hidden="false" customHeight="true" outlineLevel="0" collapsed="false">
      <c r="B16" s="39" t="n">
        <v>1</v>
      </c>
      <c r="C16" s="95" t="str">
        <f aca="false">IFERROR(INDEX('Plano de ação'!$D$3:$D$302,MATCH(SMALL(Painel!$R$3:$R$302,1),Painel!$R$3:$R$302,0)),"")</f>
        <v>Juliana Reis</v>
      </c>
      <c r="D16" s="40" t="str">
        <f aca="false">IFERROR(INDEX('Plano de ação'!$H$3:$H$302,MATCH(SMALL(Painel!$R$3:$R$302,1),Painel!$R$3:$R$302,0)),"")</f>
        <v>Botão de emergência funcional</v>
      </c>
      <c r="E16" s="40"/>
      <c r="F16" s="40"/>
      <c r="G16" s="40"/>
      <c r="H16" s="40"/>
      <c r="I16" s="42" t="n">
        <f aca="false">IFERROR(INDEX('Plano de ação'!$J$3:$J$302,MATCH(SMALL(Painel!$R$3:$R$302,1),Painel!$R$3:$R$302,0)),"")</f>
        <v>10</v>
      </c>
      <c r="J16" s="41" t="n">
        <f aca="false">IFERROR(INDEX('Plano de ação'!$N$3:$N$302,MATCH(SMALL(Painel!$R$3:$R$302,1),Painel!$R$3:$R$302,0)),"")</f>
        <v>46233</v>
      </c>
      <c r="K16" s="41"/>
      <c r="R16" s="0" t="str">
        <f aca="false">IF('Plano de ação'!$B16="","",IF(AND('Plano de ação'!$K16="Alta",'Plano de ação'!$O16&lt;&gt;"Concluída"),-'Plano de ação'!$J16+ROW()/1000000,""))</f>
        <v/>
      </c>
    </row>
    <row r="17" customFormat="false" ht="18" hidden="false" customHeight="true" outlineLevel="0" collapsed="false">
      <c r="B17" s="39" t="n">
        <v>2</v>
      </c>
      <c r="C17" s="95" t="str">
        <f aca="false">IFERROR(INDEX('Plano de ação'!$D$3:$D$302,MATCH(SMALL(Painel!$R$3:$R$302,2),Painel!$R$3:$R$302,0)),"")</f>
        <v>Juliana Reis</v>
      </c>
      <c r="D17" s="40" t="str">
        <f aca="false">IFERROR(INDEX('Plano de ação'!$H$3:$H$302,MATCH(SMALL(Painel!$R$3:$R$302,2),Painel!$R$3:$R$302,0)),"")</f>
        <v>Cortina de luz ou proteção fixa</v>
      </c>
      <c r="E17" s="40"/>
      <c r="F17" s="40"/>
      <c r="G17" s="40"/>
      <c r="H17" s="40"/>
      <c r="I17" s="42" t="n">
        <f aca="false">IFERROR(INDEX('Plano de ação'!$J$3:$J$302,MATCH(SMALL(Painel!$R$3:$R$302,2),Painel!$R$3:$R$302,0)),"")</f>
        <v>10</v>
      </c>
      <c r="J17" s="41" t="n">
        <f aca="false">IFERROR(INDEX('Plano de ação'!$N$3:$N$302,MATCH(SMALL(Painel!$R$3:$R$302,2),Painel!$R$3:$R$302,0)),"")</f>
        <v>46226</v>
      </c>
      <c r="K17" s="41"/>
      <c r="R17" s="0" t="str">
        <f aca="false">IF('Plano de ação'!$B17="","",IF(AND('Plano de ação'!$K17="Alta",'Plano de ação'!$O17&lt;&gt;"Concluída"),-'Plano de ação'!$J17+ROW()/1000000,""))</f>
        <v/>
      </c>
    </row>
    <row r="18" customFormat="false" ht="18" hidden="false" customHeight="true" outlineLevel="0" collapsed="false">
      <c r="B18" s="39" t="n">
        <v>3</v>
      </c>
      <c r="C18" s="95" t="str">
        <f aca="false">IFERROR(INDEX('Plano de ação'!$D$3:$D$302,MATCH(SMALL(Painel!$R$3:$R$302,3),Painel!$R$3:$R$302,0)),"")</f>
        <v>Juliana Reis</v>
      </c>
      <c r="D18" s="40" t="str">
        <f aca="false">IFERROR(INDEX('Plano de ação'!$H$3:$H$302,MATCH(SMALL(Painel!$R$3:$R$302,3),Painel!$R$3:$R$302,0)),"")</f>
        <v>Proteção da árvore e da castanha</v>
      </c>
      <c r="E18" s="40"/>
      <c r="F18" s="40"/>
      <c r="G18" s="40"/>
      <c r="H18" s="40"/>
      <c r="I18" s="42" t="n">
        <f aca="false">IFERROR(INDEX('Plano de ação'!$J$3:$J$302,MATCH(SMALL(Painel!$R$3:$R$302,3),Painel!$R$3:$R$302,0)),"")</f>
        <v>9</v>
      </c>
      <c r="J18" s="41" t="n">
        <f aca="false">IFERROR(INDEX('Plano de ação'!$N$3:$N$302,MATCH(SMALL(Painel!$R$3:$R$302,3),Painel!$R$3:$R$302,0)),"")</f>
        <v>46237</v>
      </c>
      <c r="K18" s="41"/>
      <c r="R18" s="0" t="str">
        <f aca="false">IF('Plano de ação'!$B18="","",IF(AND('Plano de ação'!$K18="Alta",'Plano de ação'!$O18&lt;&gt;"Concluída"),-'Plano de ação'!$J18+ROW()/1000000,""))</f>
        <v/>
      </c>
    </row>
    <row r="19" customFormat="false" ht="18" hidden="false" customHeight="true" outlineLevel="0" collapsed="false">
      <c r="B19" s="39" t="n">
        <v>4</v>
      </c>
      <c r="C19" s="95" t="str">
        <f aca="false">IFERROR(INDEX('Plano de ação'!$D$3:$D$302,MATCH(SMALL(Painel!$R$3:$R$302,4),Painel!$R$3:$R$302,0)),"")</f>
        <v>Rafael Lima</v>
      </c>
      <c r="D19" s="40" t="str">
        <f aca="false">IFERROR(INDEX('Plano de ação'!$H$3:$H$302,MATCH(SMALL(Painel!$R$3:$R$302,4),Painel!$R$3:$R$302,0)),"")</f>
        <v>Habilitação do operador (NR-11) vigente</v>
      </c>
      <c r="E19" s="40"/>
      <c r="F19" s="40"/>
      <c r="G19" s="40"/>
      <c r="H19" s="40"/>
      <c r="I19" s="42" t="n">
        <f aca="false">IFERROR(INDEX('Plano de ação'!$J$3:$J$302,MATCH(SMALL(Painel!$R$3:$R$302,4),Painel!$R$3:$R$302,0)),"")</f>
        <v>9</v>
      </c>
      <c r="J19" s="41" t="n">
        <f aca="false">IFERROR(INDEX('Plano de ação'!$N$3:$N$302,MATCH(SMALL(Painel!$R$3:$R$302,4),Painel!$R$3:$R$302,0)),"")</f>
        <v>46230</v>
      </c>
      <c r="K19" s="41"/>
      <c r="R19" s="0" t="str">
        <f aca="false">IF('Plano de ação'!$B19="","",IF(AND('Plano de ação'!$K19="Alta",'Plano de ação'!$O19&lt;&gt;"Concluída"),-'Plano de ação'!$J19+ROW()/1000000,""))</f>
        <v/>
      </c>
    </row>
    <row r="20" customFormat="false" ht="18" hidden="false" customHeight="true" outlineLevel="0" collapsed="false">
      <c r="B20" s="39" t="n">
        <v>5</v>
      </c>
      <c r="C20" s="95" t="str">
        <f aca="false">IFERROR(INDEX('Plano de ação'!$D$3:$D$302,MATCH(SMALL(Painel!$R$3:$R$302,5),Painel!$R$3:$R$302,0)),"")</f>
        <v/>
      </c>
      <c r="D20" s="40" t="str">
        <f aca="false">IFERROR(INDEX('Plano de ação'!$H$3:$H$302,MATCH(SMALL(Painel!$R$3:$R$302,5),Painel!$R$3:$R$302,0)),"")</f>
        <v/>
      </c>
      <c r="E20" s="40"/>
      <c r="F20" s="40"/>
      <c r="G20" s="40"/>
      <c r="H20" s="40"/>
      <c r="I20" s="42" t="str">
        <f aca="false">IFERROR(INDEX('Plano de ação'!$J$3:$J$302,MATCH(SMALL(Painel!$R$3:$R$302,5),Painel!$R$3:$R$302,0)),"")</f>
        <v/>
      </c>
      <c r="J20" s="41" t="str">
        <f aca="false">IFERROR(INDEX('Plano de ação'!$N$3:$N$302,MATCH(SMALL(Painel!$R$3:$R$302,5),Painel!$R$3:$R$302,0)),"")</f>
        <v/>
      </c>
      <c r="K20" s="41"/>
      <c r="R20" s="0" t="str">
        <f aca="false">IF('Plano de ação'!$B20="","",IF(AND('Plano de ação'!$K20="Alta",'Plano de ação'!$O20&lt;&gt;"Concluída"),-'Plano de ação'!$J20+ROW()/1000000,""))</f>
        <v/>
      </c>
    </row>
    <row r="21" customFormat="false" ht="15" hidden="false" customHeight="false" outlineLevel="0" collapsed="false">
      <c r="R21" s="0" t="str">
        <f aca="false">IF('Plano de ação'!$B21="","",IF(AND('Plano de ação'!$K21="Alta",'Plano de ação'!$O21&lt;&gt;"Concluída"),-'Plano de ação'!$J21+ROW()/1000000,""))</f>
        <v/>
      </c>
    </row>
    <row r="22" customFormat="false" ht="15" hidden="false" customHeight="false" outlineLevel="0" collapsed="false">
      <c r="R22" s="0" t="str">
        <f aca="false">IF('Plano de ação'!$B22="","",IF(AND('Plano de ação'!$K22="Alta",'Plano de ação'!$O22&lt;&gt;"Concluída"),-'Plano de ação'!$J22+ROW()/1000000,""))</f>
        <v/>
      </c>
    </row>
    <row r="23" customFormat="false" ht="15" hidden="false" customHeight="false" outlineLevel="0" collapsed="false">
      <c r="R23" s="0" t="str">
        <f aca="false">IF('Plano de ação'!$B23="","",IF(AND('Plano de ação'!$K23="Alta",'Plano de ação'!$O23&lt;&gt;"Concluída"),-'Plano de ação'!$J23+ROW()/1000000,""))</f>
        <v/>
      </c>
    </row>
    <row r="24" customFormat="false" ht="15" hidden="false" customHeight="false" outlineLevel="0" collapsed="false">
      <c r="R24" s="0" t="str">
        <f aca="false">IF('Plano de ação'!$B24="","",IF(AND('Plano de ação'!$K24="Alta",'Plano de ação'!$O24&lt;&gt;"Concluída"),-'Plano de ação'!$J24+ROW()/1000000,""))</f>
        <v/>
      </c>
    </row>
    <row r="25" customFormat="false" ht="15" hidden="false" customHeight="false" outlineLevel="0" collapsed="false">
      <c r="R25" s="0" t="str">
        <f aca="false">IF('Plano de ação'!$B25="","",IF(AND('Plano de ação'!$K25="Alta",'Plano de ação'!$O25&lt;&gt;"Concluída"),-'Plano de ação'!$J25+ROW()/1000000,""))</f>
        <v/>
      </c>
    </row>
    <row r="26" customFormat="false" ht="15" hidden="false" customHeight="false" outlineLevel="0" collapsed="false">
      <c r="R26" s="0" t="str">
        <f aca="false">IF('Plano de ação'!$B26="","",IF(AND('Plano de ação'!$K26="Alta",'Plano de ação'!$O26&lt;&gt;"Concluída"),-'Plano de ação'!$J26+ROW()/1000000,""))</f>
        <v/>
      </c>
    </row>
    <row r="27" customFormat="false" ht="15" hidden="false" customHeight="false" outlineLevel="0" collapsed="false">
      <c r="R27" s="0" t="str">
        <f aca="false">IF('Plano de ação'!$B27="","",IF(AND('Plano de ação'!$K27="Alta",'Plano de ação'!$O27&lt;&gt;"Concluída"),-'Plano de ação'!$J27+ROW()/1000000,""))</f>
        <v/>
      </c>
    </row>
    <row r="28" customFormat="false" ht="15" hidden="false" customHeight="false" outlineLevel="0" collapsed="false">
      <c r="R28" s="0" t="str">
        <f aca="false">IF('Plano de ação'!$B28="","",IF(AND('Plano de ação'!$K28="Alta",'Plano de ação'!$O28&lt;&gt;"Concluída"),-'Plano de ação'!$J28+ROW()/1000000,""))</f>
        <v/>
      </c>
    </row>
    <row r="29" customFormat="false" ht="15" hidden="false" customHeight="false" outlineLevel="0" collapsed="false">
      <c r="R29" s="0" t="str">
        <f aca="false">IF('Plano de ação'!$B29="","",IF(AND('Plano de ação'!$K29="Alta",'Plano de ação'!$O29&lt;&gt;"Concluída"),-'Plano de ação'!$J29+ROW()/1000000,""))</f>
        <v/>
      </c>
    </row>
    <row r="30" customFormat="false" ht="15" hidden="false" customHeight="false" outlineLevel="0" collapsed="false">
      <c r="R30" s="0" t="str">
        <f aca="false">IF('Plano de ação'!$B30="","",IF(AND('Plano de ação'!$K30="Alta",'Plano de ação'!$O30&lt;&gt;"Concluída"),-'Plano de ação'!$J30+ROW()/1000000,""))</f>
        <v/>
      </c>
    </row>
    <row r="31" customFormat="false" ht="15" hidden="false" customHeight="false" outlineLevel="0" collapsed="false">
      <c r="R31" s="0" t="str">
        <f aca="false">IF('Plano de ação'!$B31="","",IF(AND('Plano de ação'!$K31="Alta",'Plano de ação'!$O31&lt;&gt;"Concluída"),-'Plano de ação'!$J31+ROW()/1000000,""))</f>
        <v/>
      </c>
    </row>
    <row r="32" customFormat="false" ht="15" hidden="false" customHeight="false" outlineLevel="0" collapsed="false">
      <c r="R32" s="0" t="str">
        <f aca="false">IF('Plano de ação'!$B32="","",IF(AND('Plano de ação'!$K32="Alta",'Plano de ação'!$O32&lt;&gt;"Concluída"),-'Plano de ação'!$J32+ROW()/1000000,""))</f>
        <v/>
      </c>
    </row>
    <row r="33" customFormat="false" ht="15" hidden="false" customHeight="false" outlineLevel="0" collapsed="false">
      <c r="R33" s="0" t="str">
        <f aca="false">IF('Plano de ação'!$B33="","",IF(AND('Plano de ação'!$K33="Alta",'Plano de ação'!$O33&lt;&gt;"Concluída"),-'Plano de ação'!$J33+ROW()/1000000,""))</f>
        <v/>
      </c>
    </row>
    <row r="34" customFormat="false" ht="15" hidden="false" customHeight="false" outlineLevel="0" collapsed="false">
      <c r="R34" s="0" t="str">
        <f aca="false">IF('Plano de ação'!$B34="","",IF(AND('Plano de ação'!$K34="Alta",'Plano de ação'!$O34&lt;&gt;"Concluída"),-'Plano de ação'!$J34+ROW()/1000000,""))</f>
        <v/>
      </c>
    </row>
    <row r="35" customFormat="false" ht="15" hidden="false" customHeight="false" outlineLevel="0" collapsed="false">
      <c r="R35" s="0" t="str">
        <f aca="false">IF('Plano de ação'!$B35="","",IF(AND('Plano de ação'!$K35="Alta",'Plano de ação'!$O35&lt;&gt;"Concluída"),-'Plano de ação'!$J35+ROW()/1000000,""))</f>
        <v/>
      </c>
    </row>
    <row r="36" customFormat="false" ht="15" hidden="false" customHeight="false" outlineLevel="0" collapsed="false">
      <c r="R36" s="0" t="str">
        <f aca="false">IF('Plano de ação'!$B36="","",IF(AND('Plano de ação'!$K36="Alta",'Plano de ação'!$O36&lt;&gt;"Concluída"),-'Plano de ação'!$J36+ROW()/1000000,""))</f>
        <v/>
      </c>
    </row>
    <row r="37" customFormat="false" ht="15" hidden="false" customHeight="false" outlineLevel="0" collapsed="false">
      <c r="R37" s="0" t="str">
        <f aca="false">IF('Plano de ação'!$B37="","",IF(AND('Plano de ação'!$K37="Alta",'Plano de ação'!$O37&lt;&gt;"Concluída"),-'Plano de ação'!$J37+ROW()/1000000,""))</f>
        <v/>
      </c>
    </row>
    <row r="38" customFormat="false" ht="15" hidden="false" customHeight="false" outlineLevel="0" collapsed="false">
      <c r="R38" s="0" t="str">
        <f aca="false">IF('Plano de ação'!$B38="","",IF(AND('Plano de ação'!$K38="Alta",'Plano de ação'!$O38&lt;&gt;"Concluída"),-'Plano de ação'!$J38+ROW()/1000000,""))</f>
        <v/>
      </c>
    </row>
    <row r="39" customFormat="false" ht="15" hidden="false" customHeight="false" outlineLevel="0" collapsed="false">
      <c r="R39" s="0" t="str">
        <f aca="false">IF('Plano de ação'!$B39="","",IF(AND('Plano de ação'!$K39="Alta",'Plano de ação'!$O39&lt;&gt;"Concluída"),-'Plano de ação'!$J39+ROW()/1000000,""))</f>
        <v/>
      </c>
    </row>
    <row r="40" customFormat="false" ht="25.5" hidden="false" customHeight="true" outlineLevel="0" collapsed="false">
      <c r="B40" s="96" t="s">
        <v>368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</row>
    <row r="41" customFormat="false" ht="15" hidden="false" customHeight="false" outlineLevel="0" collapsed="false">
      <c r="R41" s="0" t="str">
        <f aca="false">IF('Plano de ação'!$B41="","",IF(AND('Plano de ação'!$K41="Alta",'Plano de ação'!$O41&lt;&gt;"Concluída"),-'Plano de ação'!$J41+ROW()/1000000,""))</f>
        <v/>
      </c>
    </row>
    <row r="42" customFormat="false" ht="15" hidden="false" customHeight="false" outlineLevel="0" collapsed="false">
      <c r="R42" s="0" t="str">
        <f aca="false">IF('Plano de ação'!$B42="","",IF(AND('Plano de ação'!$K42="Alta",'Plano de ação'!$O42&lt;&gt;"Concluída"),-'Plano de ação'!$J42+ROW()/1000000,""))</f>
        <v/>
      </c>
    </row>
    <row r="43" customFormat="false" ht="15" hidden="false" customHeight="false" outlineLevel="0" collapsed="false">
      <c r="B43" s="73"/>
      <c r="R43" s="0" t="str">
        <f aca="false">IF('Plano de ação'!$B43="","",IF(AND('Plano de ação'!$K43="Alta",'Plano de ação'!$O43&lt;&gt;"Concluída"),-'Plano de ação'!$J43+ROW()/1000000,""))</f>
        <v/>
      </c>
    </row>
    <row r="44" customFormat="false" ht="15" hidden="false" customHeight="false" outlineLevel="0" collapsed="false">
      <c r="B44" s="51"/>
      <c r="R44" s="0" t="str">
        <f aca="false">IF('Plano de ação'!$B44="","",IF(AND('Plano de ação'!$K44="Alta",'Plano de ação'!$O44&lt;&gt;"Concluída"),-'Plano de ação'!$J44+ROW()/1000000,""))</f>
        <v/>
      </c>
    </row>
    <row r="45" customFormat="false" ht="15" hidden="false" customHeight="false" outlineLevel="0" collapsed="false">
      <c r="R45" s="0" t="str">
        <f aca="false">IF('Plano de ação'!$B45="","",IF(AND('Plano de ação'!$K45="Alta",'Plano de ação'!$O45&lt;&gt;"Concluída"),-'Plano de ação'!$J45+ROW()/1000000,""))</f>
        <v/>
      </c>
    </row>
    <row r="46" customFormat="false" ht="15" hidden="false" customHeight="false" outlineLevel="0" collapsed="false">
      <c r="R46" s="0" t="str">
        <f aca="false">IF('Plano de ação'!$B46="","",IF(AND('Plano de ação'!$K46="Alta",'Plano de ação'!$O46&lt;&gt;"Concluída"),-'Plano de ação'!$J46+ROW()/1000000,""))</f>
        <v/>
      </c>
    </row>
    <row r="47" customFormat="false" ht="15" hidden="false" customHeight="false" outlineLevel="0" collapsed="false">
      <c r="R47" s="0" t="str">
        <f aca="false">IF('Plano de ação'!$B47="","",IF(AND('Plano de ação'!$K47="Alta",'Plano de ação'!$O47&lt;&gt;"Concluída"),-'Plano de ação'!$J47+ROW()/1000000,""))</f>
        <v/>
      </c>
    </row>
    <row r="48" customFormat="false" ht="15" hidden="false" customHeight="false" outlineLevel="0" collapsed="false">
      <c r="R48" s="0" t="str">
        <f aca="false">IF('Plano de ação'!$B48="","",IF(AND('Plano de ação'!$K48="Alta",'Plano de ação'!$O48&lt;&gt;"Concluída"),-'Plano de ação'!$J48+ROW()/1000000,""))</f>
        <v/>
      </c>
    </row>
    <row r="49" customFormat="false" ht="15" hidden="false" customHeight="false" outlineLevel="0" collapsed="false">
      <c r="R49" s="0" t="str">
        <f aca="false">IF('Plano de ação'!$B49="","",IF(AND('Plano de ação'!$K49="Alta",'Plano de ação'!$O49&lt;&gt;"Concluída"),-'Plano de ação'!$J49+ROW()/1000000,""))</f>
        <v/>
      </c>
    </row>
    <row r="50" customFormat="false" ht="15" hidden="false" customHeight="false" outlineLevel="0" collapsed="false">
      <c r="R50" s="0" t="str">
        <f aca="false">IF('Plano de ação'!$B50="","",IF(AND('Plano de ação'!$K50="Alta",'Plano de ação'!$O50&lt;&gt;"Concluída"),-'Plano de ação'!$J50+ROW()/1000000,""))</f>
        <v/>
      </c>
    </row>
    <row r="51" customFormat="false" ht="15" hidden="false" customHeight="false" outlineLevel="0" collapsed="false">
      <c r="R51" s="0" t="str">
        <f aca="false">IF('Plano de ação'!$B51="","",IF(AND('Plano de ação'!$K51="Alta",'Plano de ação'!$O51&lt;&gt;"Concluída"),-'Plano de ação'!$J51+ROW()/1000000,""))</f>
        <v/>
      </c>
    </row>
    <row r="52" customFormat="false" ht="15" hidden="false" customHeight="false" outlineLevel="0" collapsed="false">
      <c r="R52" s="0" t="str">
        <f aca="false">IF('Plano de ação'!$B52="","",IF(AND('Plano de ação'!$K52="Alta",'Plano de ação'!$O52&lt;&gt;"Concluída"),-'Plano de ação'!$J52+ROW()/1000000,""))</f>
        <v/>
      </c>
    </row>
    <row r="53" customFormat="false" ht="15" hidden="false" customHeight="false" outlineLevel="0" collapsed="false">
      <c r="R53" s="0" t="str">
        <f aca="false">IF('Plano de ação'!$B53="","",IF(AND('Plano de ação'!$K53="Alta",'Plano de ação'!$O53&lt;&gt;"Concluída"),-'Plano de ação'!$J53+ROW()/1000000,""))</f>
        <v/>
      </c>
    </row>
    <row r="54" customFormat="false" ht="15" hidden="false" customHeight="false" outlineLevel="0" collapsed="false">
      <c r="R54" s="0" t="str">
        <f aca="false">IF('Plano de ação'!$B54="","",IF(AND('Plano de ação'!$K54="Alta",'Plano de ação'!$O54&lt;&gt;"Concluída"),-'Plano de ação'!$J54+ROW()/1000000,""))</f>
        <v/>
      </c>
    </row>
    <row r="55" customFormat="false" ht="15" hidden="false" customHeight="false" outlineLevel="0" collapsed="false">
      <c r="R55" s="0" t="str">
        <f aca="false">IF('Plano de ação'!$B55="","",IF(AND('Plano de ação'!$K55="Alta",'Plano de ação'!$O55&lt;&gt;"Concluída"),-'Plano de ação'!$J55+ROW()/1000000,""))</f>
        <v/>
      </c>
    </row>
    <row r="56" customFormat="false" ht="15" hidden="false" customHeight="false" outlineLevel="0" collapsed="false">
      <c r="R56" s="0" t="str">
        <f aca="false">IF('Plano de ação'!$B56="","",IF(AND('Plano de ação'!$K56="Alta",'Plano de ação'!$O56&lt;&gt;"Concluída"),-'Plano de ação'!$J56+ROW()/1000000,""))</f>
        <v/>
      </c>
    </row>
    <row r="57" customFormat="false" ht="15" hidden="false" customHeight="false" outlineLevel="0" collapsed="false">
      <c r="B57" s="0" t="s">
        <v>369</v>
      </c>
      <c r="R57" s="0" t="str">
        <f aca="false">IF('Plano de ação'!$B57="","",IF(AND('Plano de ação'!$K57="Alta",'Plano de ação'!$O57&lt;&gt;"Concluída"),-'Plano de ação'!$J57+ROW()/1000000,""))</f>
        <v/>
      </c>
    </row>
    <row r="58" customFormat="false" ht="15" hidden="false" customHeight="false" outlineLevel="0" collapsed="false">
      <c r="B58" s="0" t="s">
        <v>370</v>
      </c>
      <c r="R58" s="0" t="str">
        <f aca="false">IF('Plano de ação'!$B58="","",IF(AND('Plano de ação'!$K58="Alta",'Plano de ação'!$O58&lt;&gt;"Concluída"),-'Plano de ação'!$J58+ROW()/1000000,""))</f>
        <v/>
      </c>
    </row>
    <row r="59" customFormat="false" ht="15" hidden="false" customHeight="false" outlineLevel="0" collapsed="false">
      <c r="R59" s="0" t="str">
        <f aca="false">IF('Plano de ação'!$B59="","",IF(AND('Plano de ação'!$K59="Alta",'Plano de ação'!$O59&lt;&gt;"Concluída"),-'Plano de ação'!$J59+ROW()/1000000,""))</f>
        <v/>
      </c>
    </row>
    <row r="60" customFormat="false" ht="15" hidden="false" customHeight="false" outlineLevel="0" collapsed="false">
      <c r="B60" s="97" t="s">
        <v>371</v>
      </c>
      <c r="C60" s="97"/>
      <c r="D60" s="97" t="s">
        <v>372</v>
      </c>
      <c r="F60" s="97" t="s">
        <v>296</v>
      </c>
      <c r="G60" s="97" t="s">
        <v>346</v>
      </c>
      <c r="R60" s="0" t="str">
        <f aca="false">IF('Plano de ação'!$B60="","",IF(AND('Plano de ação'!$K60="Alta",'Plano de ação'!$O60&lt;&gt;"Concluída"),-'Plano de ação'!$J60+ROW()/1000000,""))</f>
        <v/>
      </c>
    </row>
    <row r="61" customFormat="false" ht="15" hidden="false" customHeight="false" outlineLevel="0" collapsed="false">
      <c r="B61" s="98" t="s">
        <v>373</v>
      </c>
      <c r="C61" s="98"/>
      <c r="D61" s="99" t="n">
        <f aca="false">COUNTIF(Equipamentos!$M$3:$M$52,$B61)</f>
        <v>3</v>
      </c>
      <c r="F61" s="98" t="s">
        <v>347</v>
      </c>
      <c r="G61" s="99" t="n">
        <f aca="false">IF(COUNTIFS('Lançar Resultado'!$O$3:$O$2002,"Sim",'Lançar Resultado'!$N$3:$N$2002,$F61)=0,NA(),COUNTIFS('Lançar Resultado'!$O$3:$O$2002,"Sim",'Lançar Resultado'!$N$3:$N$2002,$F61))</f>
        <v>4</v>
      </c>
      <c r="R61" s="0" t="str">
        <f aca="false">IF('Plano de ação'!$B61="","",IF(AND('Plano de ação'!$K61="Alta",'Plano de ação'!$O61&lt;&gt;"Concluída"),-'Plano de ação'!$J61+ROW()/1000000,""))</f>
        <v/>
      </c>
    </row>
    <row r="62" customFormat="false" ht="15" hidden="false" customHeight="false" outlineLevel="0" collapsed="false">
      <c r="B62" s="98" t="s">
        <v>374</v>
      </c>
      <c r="C62" s="98"/>
      <c r="D62" s="99" t="n">
        <f aca="false">COUNTIF(Equipamentos!$M$3:$M$52,$B62)</f>
        <v>1</v>
      </c>
      <c r="F62" s="98" t="s">
        <v>375</v>
      </c>
      <c r="G62" s="99" t="n">
        <f aca="false">IF(COUNTIFS('Lançar Resultado'!$O$3:$O$2002,"Sim",'Lançar Resultado'!$N$3:$N$2002,$F62)=0,NA(),COUNTIFS('Lançar Resultado'!$O$3:$O$2002,"Sim",'Lançar Resultado'!$N$3:$N$2002,$F62))</f>
        <v>8</v>
      </c>
      <c r="R62" s="0" t="str">
        <f aca="false">IF('Plano de ação'!$B62="","",IF(AND('Plano de ação'!$K62="Alta",'Plano de ação'!$O62&lt;&gt;"Concluída"),-'Plano de ação'!$J62+ROW()/1000000,""))</f>
        <v/>
      </c>
    </row>
    <row r="63" customFormat="false" ht="15" hidden="false" customHeight="false" outlineLevel="0" collapsed="false">
      <c r="B63" s="98" t="s">
        <v>376</v>
      </c>
      <c r="C63" s="98"/>
      <c r="D63" s="99" t="n">
        <f aca="false">COUNTIF(Equipamentos!$M$3:$M$52,$B63)</f>
        <v>1</v>
      </c>
      <c r="F63" s="98" t="s">
        <v>377</v>
      </c>
      <c r="G63" s="99" t="e">
        <f aca="false">IF(COUNTIFS('Lançar Resultado'!$O$3:$O$2002,"Sim",'Lançar Resultado'!$N$3:$N$2002,$F63)=0,NA(),COUNTIFS('Lançar Resultado'!$O$3:$O$2002,"Sim",'Lançar Resultado'!$N$3:$N$2002,$F63))</f>
        <v>#N/A</v>
      </c>
      <c r="R63" s="0" t="str">
        <f aca="false">IF('Plano de ação'!$B63="","",IF(AND('Plano de ação'!$K63="Alta",'Plano de ação'!$O63&lt;&gt;"Concluída"),-'Plano de ação'!$J63+ROW()/1000000,""))</f>
        <v/>
      </c>
    </row>
    <row r="64" customFormat="false" ht="15" hidden="false" customHeight="false" outlineLevel="0" collapsed="false">
      <c r="B64" s="98" t="s">
        <v>378</v>
      </c>
      <c r="C64" s="98"/>
      <c r="D64" s="99" t="n">
        <f aca="false">COUNTIF(Equipamentos!$M$3:$M$52,$B64)</f>
        <v>5</v>
      </c>
      <c r="R64" s="0" t="str">
        <f aca="false">IF('Plano de ação'!$B64="","",IF(AND('Plano de ação'!$K64="Alta",'Plano de ação'!$O64&lt;&gt;"Concluída"),-'Plano de ação'!$J64+ROW()/1000000,""))</f>
        <v/>
      </c>
    </row>
    <row r="65" customFormat="false" ht="15" hidden="false" customHeight="false" outlineLevel="0" collapsed="false">
      <c r="R65" s="0" t="str">
        <f aca="false">IF('Plano de ação'!$B65="","",IF(AND('Plano de ação'!$K65="Alta",'Plano de ação'!$O65&lt;&gt;"Concluída"),-'Plano de ação'!$J65+ROW()/1000000,""))</f>
        <v/>
      </c>
    </row>
    <row r="66" customFormat="false" ht="15" hidden="false" customHeight="false" outlineLevel="0" collapsed="false">
      <c r="R66" s="0" t="str">
        <f aca="false">IF('Plano de ação'!$B66="","",IF(AND('Plano de ação'!$K66="Alta",'Plano de ação'!$O66&lt;&gt;"Concluída"),-'Plano de ação'!$J66+ROW()/1000000,""))</f>
        <v/>
      </c>
    </row>
    <row r="67" customFormat="false" ht="15" hidden="false" customHeight="false" outlineLevel="0" collapsed="false">
      <c r="R67" s="0" t="str">
        <f aca="false">IF('Plano de ação'!$B67="","",IF(AND('Plano de ação'!$K67="Alta",'Plano de ação'!$O67&lt;&gt;"Concluída"),-'Plano de ação'!$J67+ROW()/1000000,""))</f>
        <v/>
      </c>
    </row>
    <row r="68" customFormat="false" ht="15" hidden="false" customHeight="false" outlineLevel="0" collapsed="false">
      <c r="R68" s="0" t="str">
        <f aca="false">IF('Plano de ação'!$B68="","",IF(AND('Plano de ação'!$K68="Alta",'Plano de ação'!$O68&lt;&gt;"Concluída"),-'Plano de ação'!$J68+ROW()/1000000,""))</f>
        <v/>
      </c>
    </row>
    <row r="69" customFormat="false" ht="15" hidden="false" customHeight="false" outlineLevel="0" collapsed="false">
      <c r="R69" s="0" t="str">
        <f aca="false">IF('Plano de ação'!$B69="","",IF(AND('Plano de ação'!$K69="Alta",'Plano de ação'!$O69&lt;&gt;"Concluída"),-'Plano de ação'!$J69+ROW()/1000000,""))</f>
        <v/>
      </c>
    </row>
    <row r="70" customFormat="false" ht="15" hidden="false" customHeight="false" outlineLevel="0" collapsed="false">
      <c r="R70" s="0" t="str">
        <f aca="false">IF('Plano de ação'!$B70="","",IF(AND('Plano de ação'!$K70="Alta",'Plano de ação'!$O70&lt;&gt;"Concluída"),-'Plano de ação'!$J70+ROW()/1000000,""))</f>
        <v/>
      </c>
    </row>
    <row r="71" customFormat="false" ht="15" hidden="false" customHeight="false" outlineLevel="0" collapsed="false">
      <c r="R71" s="0" t="str">
        <f aca="false">IF('Plano de ação'!$B71="","",IF(AND('Plano de ação'!$K71="Alta",'Plano de ação'!$O71&lt;&gt;"Concluída"),-'Plano de ação'!$J71+ROW()/1000000,""))</f>
        <v/>
      </c>
    </row>
    <row r="72" customFormat="false" ht="15" hidden="false" customHeight="false" outlineLevel="0" collapsed="false">
      <c r="R72" s="0" t="str">
        <f aca="false">IF('Plano de ação'!$B72="","",IF(AND('Plano de ação'!$K72="Alta",'Plano de ação'!$O72&lt;&gt;"Concluída"),-'Plano de ação'!$J72+ROW()/1000000,""))</f>
        <v/>
      </c>
    </row>
    <row r="73" customFormat="false" ht="15" hidden="false" customHeight="false" outlineLevel="0" collapsed="false">
      <c r="R73" s="0" t="str">
        <f aca="false">IF('Plano de ação'!$B73="","",IF(AND('Plano de ação'!$K73="Alta",'Plano de ação'!$O73&lt;&gt;"Concluída"),-'Plano de ação'!$J73+ROW()/1000000,""))</f>
        <v/>
      </c>
    </row>
    <row r="74" customFormat="false" ht="15" hidden="false" customHeight="false" outlineLevel="0" collapsed="false">
      <c r="R74" s="0" t="str">
        <f aca="false">IF('Plano de ação'!$B74="","",IF(AND('Plano de ação'!$K74="Alta",'Plano de ação'!$O74&lt;&gt;"Concluída"),-'Plano de ação'!$J74+ROW()/1000000,""))</f>
        <v/>
      </c>
    </row>
    <row r="75" customFormat="false" ht="15" hidden="false" customHeight="false" outlineLevel="0" collapsed="false">
      <c r="R75" s="0" t="str">
        <f aca="false">IF('Plano de ação'!$B75="","",IF(AND('Plano de ação'!$K75="Alta",'Plano de ação'!$O75&lt;&gt;"Concluída"),-'Plano de ação'!$J75+ROW()/1000000,""))</f>
        <v/>
      </c>
    </row>
    <row r="76" customFormat="false" ht="15" hidden="false" customHeight="false" outlineLevel="0" collapsed="false">
      <c r="R76" s="0" t="str">
        <f aca="false">IF('Plano de ação'!$B76="","",IF(AND('Plano de ação'!$K76="Alta",'Plano de ação'!$O76&lt;&gt;"Concluída"),-'Plano de ação'!$J76+ROW()/1000000,""))</f>
        <v/>
      </c>
    </row>
    <row r="77" customFormat="false" ht="15" hidden="false" customHeight="false" outlineLevel="0" collapsed="false">
      <c r="R77" s="0" t="str">
        <f aca="false">IF('Plano de ação'!$B77="","",IF(AND('Plano de ação'!$K77="Alta",'Plano de ação'!$O77&lt;&gt;"Concluída"),-'Plano de ação'!$J77+ROW()/1000000,""))</f>
        <v/>
      </c>
    </row>
    <row r="78" customFormat="false" ht="15" hidden="false" customHeight="false" outlineLevel="0" collapsed="false">
      <c r="R78" s="0" t="str">
        <f aca="false">IF('Plano de ação'!$B78="","",IF(AND('Plano de ação'!$K78="Alta",'Plano de ação'!$O78&lt;&gt;"Concluída"),-'Plano de ação'!$J78+ROW()/1000000,""))</f>
        <v/>
      </c>
    </row>
    <row r="79" customFormat="false" ht="15" hidden="false" customHeight="false" outlineLevel="0" collapsed="false">
      <c r="R79" s="0" t="str">
        <f aca="false">IF('Plano de ação'!$B79="","",IF(AND('Plano de ação'!$K79="Alta",'Plano de ação'!$O79&lt;&gt;"Concluída"),-'Plano de ação'!$J79+ROW()/1000000,""))</f>
        <v/>
      </c>
    </row>
    <row r="80" customFormat="false" ht="15" hidden="false" customHeight="false" outlineLevel="0" collapsed="false">
      <c r="R80" s="0" t="str">
        <f aca="false">IF('Plano de ação'!$B80="","",IF(AND('Plano de ação'!$K80="Alta",'Plano de ação'!$O80&lt;&gt;"Concluída"),-'Plano de ação'!$J80+ROW()/1000000,""))</f>
        <v/>
      </c>
    </row>
    <row r="81" customFormat="false" ht="15" hidden="false" customHeight="false" outlineLevel="0" collapsed="false">
      <c r="R81" s="0" t="str">
        <f aca="false">IF('Plano de ação'!$B81="","",IF(AND('Plano de ação'!$K81="Alta",'Plano de ação'!$O81&lt;&gt;"Concluída"),-'Plano de ação'!$J81+ROW()/1000000,""))</f>
        <v/>
      </c>
    </row>
    <row r="82" customFormat="false" ht="15" hidden="false" customHeight="false" outlineLevel="0" collapsed="false">
      <c r="R82" s="0" t="str">
        <f aca="false">IF('Plano de ação'!$B82="","",IF(AND('Plano de ação'!$K82="Alta",'Plano de ação'!$O82&lt;&gt;"Concluída"),-'Plano de ação'!$J82+ROW()/1000000,""))</f>
        <v/>
      </c>
    </row>
    <row r="83" customFormat="false" ht="15" hidden="false" customHeight="false" outlineLevel="0" collapsed="false">
      <c r="R83" s="0" t="str">
        <f aca="false">IF('Plano de ação'!$B83="","",IF(AND('Plano de ação'!$K83="Alta",'Plano de ação'!$O83&lt;&gt;"Concluída"),-'Plano de ação'!$J83+ROW()/1000000,""))</f>
        <v/>
      </c>
    </row>
    <row r="84" customFormat="false" ht="15" hidden="false" customHeight="false" outlineLevel="0" collapsed="false">
      <c r="R84" s="0" t="str">
        <f aca="false">IF('Plano de ação'!$B84="","",IF(AND('Plano de ação'!$K84="Alta",'Plano de ação'!$O84&lt;&gt;"Concluída"),-'Plano de ação'!$J84+ROW()/1000000,""))</f>
        <v/>
      </c>
    </row>
    <row r="85" customFormat="false" ht="15" hidden="false" customHeight="false" outlineLevel="0" collapsed="false">
      <c r="R85" s="0" t="str">
        <f aca="false">IF('Plano de ação'!$B85="","",IF(AND('Plano de ação'!$K85="Alta",'Plano de ação'!$O85&lt;&gt;"Concluída"),-'Plano de ação'!$J85+ROW()/1000000,""))</f>
        <v/>
      </c>
    </row>
    <row r="86" customFormat="false" ht="15" hidden="false" customHeight="false" outlineLevel="0" collapsed="false">
      <c r="R86" s="0" t="str">
        <f aca="false">IF('Plano de ação'!$B86="","",IF(AND('Plano de ação'!$K86="Alta",'Plano de ação'!$O86&lt;&gt;"Concluída"),-'Plano de ação'!$J86+ROW()/1000000,""))</f>
        <v/>
      </c>
    </row>
    <row r="87" customFormat="false" ht="15" hidden="false" customHeight="false" outlineLevel="0" collapsed="false">
      <c r="R87" s="0" t="str">
        <f aca="false">IF('Plano de ação'!$B87="","",IF(AND('Plano de ação'!$K87="Alta",'Plano de ação'!$O87&lt;&gt;"Concluída"),-'Plano de ação'!$J87+ROW()/1000000,""))</f>
        <v/>
      </c>
    </row>
    <row r="88" customFormat="false" ht="15" hidden="false" customHeight="false" outlineLevel="0" collapsed="false">
      <c r="R88" s="0" t="str">
        <f aca="false">IF('Plano de ação'!$B88="","",IF(AND('Plano de ação'!$K88="Alta",'Plano de ação'!$O88&lt;&gt;"Concluída"),-'Plano de ação'!$J88+ROW()/1000000,""))</f>
        <v/>
      </c>
    </row>
    <row r="89" customFormat="false" ht="15" hidden="false" customHeight="false" outlineLevel="0" collapsed="false">
      <c r="R89" s="0" t="str">
        <f aca="false">IF('Plano de ação'!$B89="","",IF(AND('Plano de ação'!$K89="Alta",'Plano de ação'!$O89&lt;&gt;"Concluída"),-'Plano de ação'!$J89+ROW()/1000000,""))</f>
        <v/>
      </c>
    </row>
    <row r="90" customFormat="false" ht="15" hidden="false" customHeight="false" outlineLevel="0" collapsed="false">
      <c r="R90" s="0" t="str">
        <f aca="false">IF('Plano de ação'!$B90="","",IF(AND('Plano de ação'!$K90="Alta",'Plano de ação'!$O90&lt;&gt;"Concluída"),-'Plano de ação'!$J90+ROW()/1000000,""))</f>
        <v/>
      </c>
    </row>
    <row r="91" customFormat="false" ht="15" hidden="false" customHeight="false" outlineLevel="0" collapsed="false">
      <c r="R91" s="0" t="str">
        <f aca="false">IF('Plano de ação'!$B91="","",IF(AND('Plano de ação'!$K91="Alta",'Plano de ação'!$O91&lt;&gt;"Concluída"),-'Plano de ação'!$J91+ROW()/1000000,""))</f>
        <v/>
      </c>
    </row>
    <row r="92" customFormat="false" ht="15" hidden="false" customHeight="false" outlineLevel="0" collapsed="false">
      <c r="R92" s="0" t="str">
        <f aca="false">IF('Plano de ação'!$B92="","",IF(AND('Plano de ação'!$K92="Alta",'Plano de ação'!$O92&lt;&gt;"Concluída"),-'Plano de ação'!$J92+ROW()/1000000,""))</f>
        <v/>
      </c>
    </row>
    <row r="93" customFormat="false" ht="15" hidden="false" customHeight="false" outlineLevel="0" collapsed="false">
      <c r="R93" s="0" t="str">
        <f aca="false">IF('Plano de ação'!$B93="","",IF(AND('Plano de ação'!$K93="Alta",'Plano de ação'!$O93&lt;&gt;"Concluída"),-'Plano de ação'!$J93+ROW()/1000000,""))</f>
        <v/>
      </c>
    </row>
    <row r="94" customFormat="false" ht="15" hidden="false" customHeight="false" outlineLevel="0" collapsed="false">
      <c r="R94" s="0" t="str">
        <f aca="false">IF('Plano de ação'!$B94="","",IF(AND('Plano de ação'!$K94="Alta",'Plano de ação'!$O94&lt;&gt;"Concluída"),-'Plano de ação'!$J94+ROW()/1000000,""))</f>
        <v/>
      </c>
    </row>
    <row r="95" customFormat="false" ht="15" hidden="false" customHeight="false" outlineLevel="0" collapsed="false">
      <c r="R95" s="0" t="str">
        <f aca="false">IF('Plano de ação'!$B95="","",IF(AND('Plano de ação'!$K95="Alta",'Plano de ação'!$O95&lt;&gt;"Concluída"),-'Plano de ação'!$J95+ROW()/1000000,""))</f>
        <v/>
      </c>
    </row>
    <row r="96" customFormat="false" ht="15" hidden="false" customHeight="false" outlineLevel="0" collapsed="false">
      <c r="R96" s="0" t="str">
        <f aca="false">IF('Plano de ação'!$B96="","",IF(AND('Plano de ação'!$K96="Alta",'Plano de ação'!$O96&lt;&gt;"Concluída"),-'Plano de ação'!$J96+ROW()/1000000,""))</f>
        <v/>
      </c>
    </row>
    <row r="97" customFormat="false" ht="15" hidden="false" customHeight="false" outlineLevel="0" collapsed="false">
      <c r="R97" s="0" t="str">
        <f aca="false">IF('Plano de ação'!$B97="","",IF(AND('Plano de ação'!$K97="Alta",'Plano de ação'!$O97&lt;&gt;"Concluída"),-'Plano de ação'!$J97+ROW()/1000000,""))</f>
        <v/>
      </c>
    </row>
    <row r="98" customFormat="false" ht="15" hidden="false" customHeight="false" outlineLevel="0" collapsed="false">
      <c r="R98" s="0" t="str">
        <f aca="false">IF('Plano de ação'!$B98="","",IF(AND('Plano de ação'!$K98="Alta",'Plano de ação'!$O98&lt;&gt;"Concluída"),-'Plano de ação'!$J98+ROW()/1000000,""))</f>
        <v/>
      </c>
    </row>
    <row r="99" customFormat="false" ht="15" hidden="false" customHeight="false" outlineLevel="0" collapsed="false">
      <c r="R99" s="0" t="str">
        <f aca="false">IF('Plano de ação'!$B99="","",IF(AND('Plano de ação'!$K99="Alta",'Plano de ação'!$O99&lt;&gt;"Concluída"),-'Plano de ação'!$J99+ROW()/1000000,""))</f>
        <v/>
      </c>
    </row>
    <row r="100" customFormat="false" ht="15" hidden="false" customHeight="false" outlineLevel="0" collapsed="false">
      <c r="R100" s="0" t="str">
        <f aca="false">IF('Plano de ação'!$B100="","",IF(AND('Plano de ação'!$K100="Alta",'Plano de ação'!$O100&lt;&gt;"Concluída"),-'Plano de ação'!$J100+ROW()/1000000,""))</f>
        <v/>
      </c>
    </row>
    <row r="101" customFormat="false" ht="15" hidden="false" customHeight="false" outlineLevel="0" collapsed="false">
      <c r="R101" s="0" t="str">
        <f aca="false">IF('Plano de ação'!$B101="","",IF(AND('Plano de ação'!$K101="Alta",'Plano de ação'!$O101&lt;&gt;"Concluída"),-'Plano de ação'!$J101+ROW()/1000000,""))</f>
        <v/>
      </c>
    </row>
    <row r="102" customFormat="false" ht="15" hidden="false" customHeight="false" outlineLevel="0" collapsed="false">
      <c r="R102" s="0" t="str">
        <f aca="false">IF('Plano de ação'!$B102="","",IF(AND('Plano de ação'!$K102="Alta",'Plano de ação'!$O102&lt;&gt;"Concluída"),-'Plano de ação'!$J102+ROW()/1000000,""))</f>
        <v/>
      </c>
    </row>
    <row r="103" customFormat="false" ht="15" hidden="false" customHeight="false" outlineLevel="0" collapsed="false">
      <c r="R103" s="0" t="str">
        <f aca="false">IF('Plano de ação'!$B103="","",IF(AND('Plano de ação'!$K103="Alta",'Plano de ação'!$O103&lt;&gt;"Concluída"),-'Plano de ação'!$J103+ROW()/1000000,""))</f>
        <v/>
      </c>
    </row>
    <row r="104" customFormat="false" ht="15" hidden="false" customHeight="false" outlineLevel="0" collapsed="false">
      <c r="R104" s="0" t="str">
        <f aca="false">IF('Plano de ação'!$B104="","",IF(AND('Plano de ação'!$K104="Alta",'Plano de ação'!$O104&lt;&gt;"Concluída"),-'Plano de ação'!$J104+ROW()/1000000,""))</f>
        <v/>
      </c>
    </row>
    <row r="105" customFormat="false" ht="15" hidden="false" customHeight="false" outlineLevel="0" collapsed="false">
      <c r="R105" s="0" t="str">
        <f aca="false">IF('Plano de ação'!$B105="","",IF(AND('Plano de ação'!$K105="Alta",'Plano de ação'!$O105&lt;&gt;"Concluída"),-'Plano de ação'!$J105+ROW()/1000000,""))</f>
        <v/>
      </c>
    </row>
    <row r="106" customFormat="false" ht="15" hidden="false" customHeight="false" outlineLevel="0" collapsed="false">
      <c r="R106" s="0" t="str">
        <f aca="false">IF('Plano de ação'!$B106="","",IF(AND('Plano de ação'!$K106="Alta",'Plano de ação'!$O106&lt;&gt;"Concluída"),-'Plano de ação'!$J106+ROW()/1000000,""))</f>
        <v/>
      </c>
    </row>
    <row r="107" customFormat="false" ht="15" hidden="false" customHeight="false" outlineLevel="0" collapsed="false">
      <c r="R107" s="0" t="str">
        <f aca="false">IF('Plano de ação'!$B107="","",IF(AND('Plano de ação'!$K107="Alta",'Plano de ação'!$O107&lt;&gt;"Concluída"),-'Plano de ação'!$J107+ROW()/1000000,""))</f>
        <v/>
      </c>
    </row>
    <row r="108" customFormat="false" ht="15" hidden="false" customHeight="false" outlineLevel="0" collapsed="false">
      <c r="R108" s="0" t="str">
        <f aca="false">IF('Plano de ação'!$B108="","",IF(AND('Plano de ação'!$K108="Alta",'Plano de ação'!$O108&lt;&gt;"Concluída"),-'Plano de ação'!$J108+ROW()/1000000,""))</f>
        <v/>
      </c>
    </row>
    <row r="109" customFormat="false" ht="15" hidden="false" customHeight="false" outlineLevel="0" collapsed="false">
      <c r="R109" s="0" t="str">
        <f aca="false">IF('Plano de ação'!$B109="","",IF(AND('Plano de ação'!$K109="Alta",'Plano de ação'!$O109&lt;&gt;"Concluída"),-'Plano de ação'!$J109+ROW()/1000000,""))</f>
        <v/>
      </c>
    </row>
    <row r="110" customFormat="false" ht="15" hidden="false" customHeight="false" outlineLevel="0" collapsed="false">
      <c r="R110" s="0" t="str">
        <f aca="false">IF('Plano de ação'!$B110="","",IF(AND('Plano de ação'!$K110="Alta",'Plano de ação'!$O110&lt;&gt;"Concluída"),-'Plano de ação'!$J110+ROW()/1000000,""))</f>
        <v/>
      </c>
    </row>
    <row r="111" customFormat="false" ht="15" hidden="false" customHeight="false" outlineLevel="0" collapsed="false">
      <c r="R111" s="0" t="str">
        <f aca="false">IF('Plano de ação'!$B111="","",IF(AND('Plano de ação'!$K111="Alta",'Plano de ação'!$O111&lt;&gt;"Concluída"),-'Plano de ação'!$J111+ROW()/1000000,""))</f>
        <v/>
      </c>
    </row>
    <row r="112" customFormat="false" ht="15" hidden="false" customHeight="false" outlineLevel="0" collapsed="false">
      <c r="R112" s="0" t="str">
        <f aca="false">IF('Plano de ação'!$B112="","",IF(AND('Plano de ação'!$K112="Alta",'Plano de ação'!$O112&lt;&gt;"Concluída"),-'Plano de ação'!$J112+ROW()/1000000,""))</f>
        <v/>
      </c>
    </row>
    <row r="113" customFormat="false" ht="15" hidden="false" customHeight="false" outlineLevel="0" collapsed="false">
      <c r="R113" s="0" t="str">
        <f aca="false">IF('Plano de ação'!$B113="","",IF(AND('Plano de ação'!$K113="Alta",'Plano de ação'!$O113&lt;&gt;"Concluída"),-'Plano de ação'!$J113+ROW()/1000000,""))</f>
        <v/>
      </c>
    </row>
    <row r="114" customFormat="false" ht="15" hidden="false" customHeight="false" outlineLevel="0" collapsed="false">
      <c r="R114" s="0" t="str">
        <f aca="false">IF('Plano de ação'!$B114="","",IF(AND('Plano de ação'!$K114="Alta",'Plano de ação'!$O114&lt;&gt;"Concluída"),-'Plano de ação'!$J114+ROW()/1000000,""))</f>
        <v/>
      </c>
    </row>
    <row r="115" customFormat="false" ht="15" hidden="false" customHeight="false" outlineLevel="0" collapsed="false">
      <c r="R115" s="0" t="str">
        <f aca="false">IF('Plano de ação'!$B115="","",IF(AND('Plano de ação'!$K115="Alta",'Plano de ação'!$O115&lt;&gt;"Concluída"),-'Plano de ação'!$J115+ROW()/1000000,""))</f>
        <v/>
      </c>
    </row>
    <row r="116" customFormat="false" ht="15" hidden="false" customHeight="false" outlineLevel="0" collapsed="false">
      <c r="R116" s="0" t="str">
        <f aca="false">IF('Plano de ação'!$B116="","",IF(AND('Plano de ação'!$K116="Alta",'Plano de ação'!$O116&lt;&gt;"Concluída"),-'Plano de ação'!$J116+ROW()/1000000,""))</f>
        <v/>
      </c>
    </row>
    <row r="117" customFormat="false" ht="15" hidden="false" customHeight="false" outlineLevel="0" collapsed="false">
      <c r="R117" s="0" t="str">
        <f aca="false">IF('Plano de ação'!$B117="","",IF(AND('Plano de ação'!$K117="Alta",'Plano de ação'!$O117&lt;&gt;"Concluída"),-'Plano de ação'!$J117+ROW()/1000000,""))</f>
        <v/>
      </c>
    </row>
    <row r="118" customFormat="false" ht="15" hidden="false" customHeight="false" outlineLevel="0" collapsed="false">
      <c r="R118" s="0" t="str">
        <f aca="false">IF('Plano de ação'!$B118="","",IF(AND('Plano de ação'!$K118="Alta",'Plano de ação'!$O118&lt;&gt;"Concluída"),-'Plano de ação'!$J118+ROW()/1000000,""))</f>
        <v/>
      </c>
    </row>
    <row r="119" customFormat="false" ht="15" hidden="false" customHeight="false" outlineLevel="0" collapsed="false">
      <c r="R119" s="0" t="str">
        <f aca="false">IF('Plano de ação'!$B119="","",IF(AND('Plano de ação'!$K119="Alta",'Plano de ação'!$O119&lt;&gt;"Concluída"),-'Plano de ação'!$J119+ROW()/1000000,""))</f>
        <v/>
      </c>
    </row>
    <row r="120" customFormat="false" ht="15" hidden="false" customHeight="false" outlineLevel="0" collapsed="false">
      <c r="R120" s="0" t="str">
        <f aca="false">IF('Plano de ação'!$B120="","",IF(AND('Plano de ação'!$K120="Alta",'Plano de ação'!$O120&lt;&gt;"Concluída"),-'Plano de ação'!$J120+ROW()/1000000,""))</f>
        <v/>
      </c>
    </row>
    <row r="121" customFormat="false" ht="15" hidden="false" customHeight="false" outlineLevel="0" collapsed="false">
      <c r="R121" s="0" t="str">
        <f aca="false">IF('Plano de ação'!$B121="","",IF(AND('Plano de ação'!$K121="Alta",'Plano de ação'!$O121&lt;&gt;"Concluída"),-'Plano de ação'!$J121+ROW()/1000000,""))</f>
        <v/>
      </c>
    </row>
    <row r="122" customFormat="false" ht="15" hidden="false" customHeight="false" outlineLevel="0" collapsed="false">
      <c r="R122" s="0" t="str">
        <f aca="false">IF('Plano de ação'!$B122="","",IF(AND('Plano de ação'!$K122="Alta",'Plano de ação'!$O122&lt;&gt;"Concluída"),-'Plano de ação'!$J122+ROW()/1000000,""))</f>
        <v/>
      </c>
    </row>
    <row r="123" customFormat="false" ht="15" hidden="false" customHeight="false" outlineLevel="0" collapsed="false">
      <c r="R123" s="0" t="str">
        <f aca="false">IF('Plano de ação'!$B123="","",IF(AND('Plano de ação'!$K123="Alta",'Plano de ação'!$O123&lt;&gt;"Concluída"),-'Plano de ação'!$J123+ROW()/1000000,""))</f>
        <v/>
      </c>
    </row>
    <row r="124" customFormat="false" ht="15" hidden="false" customHeight="false" outlineLevel="0" collapsed="false">
      <c r="R124" s="0" t="str">
        <f aca="false">IF('Plano de ação'!$B124="","",IF(AND('Plano de ação'!$K124="Alta",'Plano de ação'!$O124&lt;&gt;"Concluída"),-'Plano de ação'!$J124+ROW()/1000000,""))</f>
        <v/>
      </c>
    </row>
    <row r="125" customFormat="false" ht="15" hidden="false" customHeight="false" outlineLevel="0" collapsed="false">
      <c r="R125" s="0" t="str">
        <f aca="false">IF('Plano de ação'!$B125="","",IF(AND('Plano de ação'!$K125="Alta",'Plano de ação'!$O125&lt;&gt;"Concluída"),-'Plano de ação'!$J125+ROW()/1000000,""))</f>
        <v/>
      </c>
    </row>
    <row r="126" customFormat="false" ht="15" hidden="false" customHeight="false" outlineLevel="0" collapsed="false">
      <c r="R126" s="0" t="str">
        <f aca="false">IF('Plano de ação'!$B126="","",IF(AND('Plano de ação'!$K126="Alta",'Plano de ação'!$O126&lt;&gt;"Concluída"),-'Plano de ação'!$J126+ROW()/1000000,""))</f>
        <v/>
      </c>
    </row>
    <row r="127" customFormat="false" ht="15" hidden="false" customHeight="false" outlineLevel="0" collapsed="false">
      <c r="R127" s="0" t="str">
        <f aca="false">IF('Plano de ação'!$B127="","",IF(AND('Plano de ação'!$K127="Alta",'Plano de ação'!$O127&lt;&gt;"Concluída"),-'Plano de ação'!$J127+ROW()/1000000,""))</f>
        <v/>
      </c>
    </row>
    <row r="128" customFormat="false" ht="15" hidden="false" customHeight="false" outlineLevel="0" collapsed="false">
      <c r="R128" s="0" t="str">
        <f aca="false">IF('Plano de ação'!$B128="","",IF(AND('Plano de ação'!$K128="Alta",'Plano de ação'!$O128&lt;&gt;"Concluída"),-'Plano de ação'!$J128+ROW()/1000000,""))</f>
        <v/>
      </c>
    </row>
    <row r="129" customFormat="false" ht="15" hidden="false" customHeight="false" outlineLevel="0" collapsed="false">
      <c r="R129" s="0" t="str">
        <f aca="false">IF('Plano de ação'!$B129="","",IF(AND('Plano de ação'!$K129="Alta",'Plano de ação'!$O129&lt;&gt;"Concluída"),-'Plano de ação'!$J129+ROW()/1000000,""))</f>
        <v/>
      </c>
    </row>
    <row r="130" customFormat="false" ht="15" hidden="false" customHeight="false" outlineLevel="0" collapsed="false">
      <c r="R130" s="0" t="str">
        <f aca="false">IF('Plano de ação'!$B130="","",IF(AND('Plano de ação'!$K130="Alta",'Plano de ação'!$O130&lt;&gt;"Concluída"),-'Plano de ação'!$J130+ROW()/1000000,""))</f>
        <v/>
      </c>
    </row>
    <row r="131" customFormat="false" ht="15" hidden="false" customHeight="false" outlineLevel="0" collapsed="false">
      <c r="R131" s="0" t="str">
        <f aca="false">IF('Plano de ação'!$B131="","",IF(AND('Plano de ação'!$K131="Alta",'Plano de ação'!$O131&lt;&gt;"Concluída"),-'Plano de ação'!$J131+ROW()/1000000,""))</f>
        <v/>
      </c>
    </row>
    <row r="132" customFormat="false" ht="15" hidden="false" customHeight="false" outlineLevel="0" collapsed="false">
      <c r="R132" s="0" t="str">
        <f aca="false">IF('Plano de ação'!$B132="","",IF(AND('Plano de ação'!$K132="Alta",'Plano de ação'!$O132&lt;&gt;"Concluída"),-'Plano de ação'!$J132+ROW()/1000000,""))</f>
        <v/>
      </c>
    </row>
    <row r="133" customFormat="false" ht="15" hidden="false" customHeight="false" outlineLevel="0" collapsed="false">
      <c r="R133" s="0" t="str">
        <f aca="false">IF('Plano de ação'!$B133="","",IF(AND('Plano de ação'!$K133="Alta",'Plano de ação'!$O133&lt;&gt;"Concluída"),-'Plano de ação'!$J133+ROW()/1000000,""))</f>
        <v/>
      </c>
    </row>
    <row r="134" customFormat="false" ht="15" hidden="false" customHeight="false" outlineLevel="0" collapsed="false">
      <c r="R134" s="0" t="str">
        <f aca="false">IF('Plano de ação'!$B134="","",IF(AND('Plano de ação'!$K134="Alta",'Plano de ação'!$O134&lt;&gt;"Concluída"),-'Plano de ação'!$J134+ROW()/1000000,""))</f>
        <v/>
      </c>
    </row>
    <row r="135" customFormat="false" ht="15" hidden="false" customHeight="false" outlineLevel="0" collapsed="false">
      <c r="R135" s="0" t="str">
        <f aca="false">IF('Plano de ação'!$B135="","",IF(AND('Plano de ação'!$K135="Alta",'Plano de ação'!$O135&lt;&gt;"Concluída"),-'Plano de ação'!$J135+ROW()/1000000,""))</f>
        <v/>
      </c>
    </row>
    <row r="136" customFormat="false" ht="15" hidden="false" customHeight="false" outlineLevel="0" collapsed="false">
      <c r="R136" s="0" t="str">
        <f aca="false">IF('Plano de ação'!$B136="","",IF(AND('Plano de ação'!$K136="Alta",'Plano de ação'!$O136&lt;&gt;"Concluída"),-'Plano de ação'!$J136+ROW()/1000000,""))</f>
        <v/>
      </c>
    </row>
    <row r="137" customFormat="false" ht="15" hidden="false" customHeight="false" outlineLevel="0" collapsed="false">
      <c r="R137" s="0" t="str">
        <f aca="false">IF('Plano de ação'!$B137="","",IF(AND('Plano de ação'!$K137="Alta",'Plano de ação'!$O137&lt;&gt;"Concluída"),-'Plano de ação'!$J137+ROW()/1000000,""))</f>
        <v/>
      </c>
    </row>
    <row r="138" customFormat="false" ht="15" hidden="false" customHeight="false" outlineLevel="0" collapsed="false">
      <c r="R138" s="0" t="str">
        <f aca="false">IF('Plano de ação'!$B138="","",IF(AND('Plano de ação'!$K138="Alta",'Plano de ação'!$O138&lt;&gt;"Concluída"),-'Plano de ação'!$J138+ROW()/1000000,""))</f>
        <v/>
      </c>
    </row>
    <row r="139" customFormat="false" ht="15" hidden="false" customHeight="false" outlineLevel="0" collapsed="false">
      <c r="R139" s="0" t="str">
        <f aca="false">IF('Plano de ação'!$B139="","",IF(AND('Plano de ação'!$K139="Alta",'Plano de ação'!$O139&lt;&gt;"Concluída"),-'Plano de ação'!$J139+ROW()/1000000,""))</f>
        <v/>
      </c>
    </row>
    <row r="140" customFormat="false" ht="15" hidden="false" customHeight="false" outlineLevel="0" collapsed="false">
      <c r="R140" s="0" t="str">
        <f aca="false">IF('Plano de ação'!$B140="","",IF(AND('Plano de ação'!$K140="Alta",'Plano de ação'!$O140&lt;&gt;"Concluída"),-'Plano de ação'!$J140+ROW()/1000000,""))</f>
        <v/>
      </c>
    </row>
    <row r="141" customFormat="false" ht="15" hidden="false" customHeight="false" outlineLevel="0" collapsed="false">
      <c r="R141" s="0" t="str">
        <f aca="false">IF('Plano de ação'!$B141="","",IF(AND('Plano de ação'!$K141="Alta",'Plano de ação'!$O141&lt;&gt;"Concluída"),-'Plano de ação'!$J141+ROW()/1000000,""))</f>
        <v/>
      </c>
    </row>
    <row r="142" customFormat="false" ht="15" hidden="false" customHeight="false" outlineLevel="0" collapsed="false">
      <c r="R142" s="0" t="str">
        <f aca="false">IF('Plano de ação'!$B142="","",IF(AND('Plano de ação'!$K142="Alta",'Plano de ação'!$O142&lt;&gt;"Concluída"),-'Plano de ação'!$J142+ROW()/1000000,""))</f>
        <v/>
      </c>
    </row>
    <row r="143" customFormat="false" ht="15" hidden="false" customHeight="false" outlineLevel="0" collapsed="false">
      <c r="R143" s="0" t="str">
        <f aca="false">IF('Plano de ação'!$B143="","",IF(AND('Plano de ação'!$K143="Alta",'Plano de ação'!$O143&lt;&gt;"Concluída"),-'Plano de ação'!$J143+ROW()/1000000,""))</f>
        <v/>
      </c>
    </row>
    <row r="144" customFormat="false" ht="15" hidden="false" customHeight="false" outlineLevel="0" collapsed="false">
      <c r="R144" s="0" t="str">
        <f aca="false">IF('Plano de ação'!$B144="","",IF(AND('Plano de ação'!$K144="Alta",'Plano de ação'!$O144&lt;&gt;"Concluída"),-'Plano de ação'!$J144+ROW()/1000000,""))</f>
        <v/>
      </c>
    </row>
    <row r="145" customFormat="false" ht="15" hidden="false" customHeight="false" outlineLevel="0" collapsed="false">
      <c r="R145" s="0" t="str">
        <f aca="false">IF('Plano de ação'!$B145="","",IF(AND('Plano de ação'!$K145="Alta",'Plano de ação'!$O145&lt;&gt;"Concluída"),-'Plano de ação'!$J145+ROW()/1000000,""))</f>
        <v/>
      </c>
    </row>
    <row r="146" customFormat="false" ht="15" hidden="false" customHeight="false" outlineLevel="0" collapsed="false">
      <c r="R146" s="0" t="str">
        <f aca="false">IF('Plano de ação'!$B146="","",IF(AND('Plano de ação'!$K146="Alta",'Plano de ação'!$O146&lt;&gt;"Concluída"),-'Plano de ação'!$J146+ROW()/1000000,""))</f>
        <v/>
      </c>
    </row>
    <row r="147" customFormat="false" ht="15" hidden="false" customHeight="false" outlineLevel="0" collapsed="false">
      <c r="R147" s="0" t="str">
        <f aca="false">IF('Plano de ação'!$B147="","",IF(AND('Plano de ação'!$K147="Alta",'Plano de ação'!$O147&lt;&gt;"Concluída"),-'Plano de ação'!$J147+ROW()/1000000,""))</f>
        <v/>
      </c>
    </row>
    <row r="148" customFormat="false" ht="15" hidden="false" customHeight="false" outlineLevel="0" collapsed="false">
      <c r="R148" s="0" t="str">
        <f aca="false">IF('Plano de ação'!$B148="","",IF(AND('Plano de ação'!$K148="Alta",'Plano de ação'!$O148&lt;&gt;"Concluída"),-'Plano de ação'!$J148+ROW()/1000000,""))</f>
        <v/>
      </c>
    </row>
    <row r="149" customFormat="false" ht="15" hidden="false" customHeight="false" outlineLevel="0" collapsed="false">
      <c r="R149" s="0" t="str">
        <f aca="false">IF('Plano de ação'!$B149="","",IF(AND('Plano de ação'!$K149="Alta",'Plano de ação'!$O149&lt;&gt;"Concluída"),-'Plano de ação'!$J149+ROW()/1000000,""))</f>
        <v/>
      </c>
    </row>
    <row r="150" customFormat="false" ht="15" hidden="false" customHeight="false" outlineLevel="0" collapsed="false">
      <c r="R150" s="0" t="str">
        <f aca="false">IF('Plano de ação'!$B150="","",IF(AND('Plano de ação'!$K150="Alta",'Plano de ação'!$O150&lt;&gt;"Concluída"),-'Plano de ação'!$J150+ROW()/1000000,""))</f>
        <v/>
      </c>
    </row>
    <row r="151" customFormat="false" ht="15" hidden="false" customHeight="false" outlineLevel="0" collapsed="false">
      <c r="R151" s="0" t="str">
        <f aca="false">IF('Plano de ação'!$B151="","",IF(AND('Plano de ação'!$K151="Alta",'Plano de ação'!$O151&lt;&gt;"Concluída"),-'Plano de ação'!$J151+ROW()/1000000,""))</f>
        <v/>
      </c>
    </row>
    <row r="152" customFormat="false" ht="15" hidden="false" customHeight="false" outlineLevel="0" collapsed="false">
      <c r="R152" s="0" t="str">
        <f aca="false">IF('Plano de ação'!$B152="","",IF(AND('Plano de ação'!$K152="Alta",'Plano de ação'!$O152&lt;&gt;"Concluída"),-'Plano de ação'!$J152+ROW()/1000000,""))</f>
        <v/>
      </c>
    </row>
    <row r="153" customFormat="false" ht="15" hidden="false" customHeight="false" outlineLevel="0" collapsed="false">
      <c r="R153" s="0" t="str">
        <f aca="false">IF('Plano de ação'!$B153="","",IF(AND('Plano de ação'!$K153="Alta",'Plano de ação'!$O153&lt;&gt;"Concluída"),-'Plano de ação'!$J153+ROW()/1000000,""))</f>
        <v/>
      </c>
    </row>
    <row r="154" customFormat="false" ht="15" hidden="false" customHeight="false" outlineLevel="0" collapsed="false">
      <c r="R154" s="0" t="str">
        <f aca="false">IF('Plano de ação'!$B154="","",IF(AND('Plano de ação'!$K154="Alta",'Plano de ação'!$O154&lt;&gt;"Concluída"),-'Plano de ação'!$J154+ROW()/1000000,""))</f>
        <v/>
      </c>
    </row>
    <row r="155" customFormat="false" ht="15" hidden="false" customHeight="false" outlineLevel="0" collapsed="false">
      <c r="R155" s="0" t="str">
        <f aca="false">IF('Plano de ação'!$B155="","",IF(AND('Plano de ação'!$K155="Alta",'Plano de ação'!$O155&lt;&gt;"Concluída"),-'Plano de ação'!$J155+ROW()/1000000,""))</f>
        <v/>
      </c>
    </row>
    <row r="156" customFormat="false" ht="15" hidden="false" customHeight="false" outlineLevel="0" collapsed="false">
      <c r="R156" s="0" t="str">
        <f aca="false">IF('Plano de ação'!$B156="","",IF(AND('Plano de ação'!$K156="Alta",'Plano de ação'!$O156&lt;&gt;"Concluída"),-'Plano de ação'!$J156+ROW()/1000000,""))</f>
        <v/>
      </c>
    </row>
    <row r="157" customFormat="false" ht="15" hidden="false" customHeight="false" outlineLevel="0" collapsed="false">
      <c r="R157" s="0" t="str">
        <f aca="false">IF('Plano de ação'!$B157="","",IF(AND('Plano de ação'!$K157="Alta",'Plano de ação'!$O157&lt;&gt;"Concluída"),-'Plano de ação'!$J157+ROW()/1000000,""))</f>
        <v/>
      </c>
    </row>
    <row r="158" customFormat="false" ht="15" hidden="false" customHeight="false" outlineLevel="0" collapsed="false">
      <c r="R158" s="0" t="str">
        <f aca="false">IF('Plano de ação'!$B158="","",IF(AND('Plano de ação'!$K158="Alta",'Plano de ação'!$O158&lt;&gt;"Concluída"),-'Plano de ação'!$J158+ROW()/1000000,""))</f>
        <v/>
      </c>
    </row>
    <row r="159" customFormat="false" ht="15" hidden="false" customHeight="false" outlineLevel="0" collapsed="false">
      <c r="R159" s="0" t="str">
        <f aca="false">IF('Plano de ação'!$B159="","",IF(AND('Plano de ação'!$K159="Alta",'Plano de ação'!$O159&lt;&gt;"Concluída"),-'Plano de ação'!$J159+ROW()/1000000,""))</f>
        <v/>
      </c>
    </row>
    <row r="160" customFormat="false" ht="15" hidden="false" customHeight="false" outlineLevel="0" collapsed="false">
      <c r="R160" s="0" t="str">
        <f aca="false">IF('Plano de ação'!$B160="","",IF(AND('Plano de ação'!$K160="Alta",'Plano de ação'!$O160&lt;&gt;"Concluída"),-'Plano de ação'!$J160+ROW()/1000000,""))</f>
        <v/>
      </c>
    </row>
    <row r="161" customFormat="false" ht="15" hidden="false" customHeight="false" outlineLevel="0" collapsed="false">
      <c r="R161" s="0" t="str">
        <f aca="false">IF('Plano de ação'!$B161="","",IF(AND('Plano de ação'!$K161="Alta",'Plano de ação'!$O161&lt;&gt;"Concluída"),-'Plano de ação'!$J161+ROW()/1000000,""))</f>
        <v/>
      </c>
    </row>
    <row r="162" customFormat="false" ht="15" hidden="false" customHeight="false" outlineLevel="0" collapsed="false">
      <c r="R162" s="0" t="str">
        <f aca="false">IF('Plano de ação'!$B162="","",IF(AND('Plano de ação'!$K162="Alta",'Plano de ação'!$O162&lt;&gt;"Concluída"),-'Plano de ação'!$J162+ROW()/1000000,""))</f>
        <v/>
      </c>
    </row>
    <row r="163" customFormat="false" ht="15" hidden="false" customHeight="false" outlineLevel="0" collapsed="false">
      <c r="R163" s="0" t="str">
        <f aca="false">IF('Plano de ação'!$B163="","",IF(AND('Plano de ação'!$K163="Alta",'Plano de ação'!$O163&lt;&gt;"Concluída"),-'Plano de ação'!$J163+ROW()/1000000,""))</f>
        <v/>
      </c>
    </row>
    <row r="164" customFormat="false" ht="15" hidden="false" customHeight="false" outlineLevel="0" collapsed="false">
      <c r="R164" s="0" t="str">
        <f aca="false">IF('Plano de ação'!$B164="","",IF(AND('Plano de ação'!$K164="Alta",'Plano de ação'!$O164&lt;&gt;"Concluída"),-'Plano de ação'!$J164+ROW()/1000000,""))</f>
        <v/>
      </c>
    </row>
    <row r="165" customFormat="false" ht="15" hidden="false" customHeight="false" outlineLevel="0" collapsed="false">
      <c r="R165" s="0" t="str">
        <f aca="false">IF('Plano de ação'!$B165="","",IF(AND('Plano de ação'!$K165="Alta",'Plano de ação'!$O165&lt;&gt;"Concluída"),-'Plano de ação'!$J165+ROW()/1000000,""))</f>
        <v/>
      </c>
    </row>
    <row r="166" customFormat="false" ht="15" hidden="false" customHeight="false" outlineLevel="0" collapsed="false">
      <c r="R166" s="0" t="str">
        <f aca="false">IF('Plano de ação'!$B166="","",IF(AND('Plano de ação'!$K166="Alta",'Plano de ação'!$O166&lt;&gt;"Concluída"),-'Plano de ação'!$J166+ROW()/1000000,""))</f>
        <v/>
      </c>
    </row>
    <row r="167" customFormat="false" ht="15" hidden="false" customHeight="false" outlineLevel="0" collapsed="false">
      <c r="R167" s="0" t="str">
        <f aca="false">IF('Plano de ação'!$B167="","",IF(AND('Plano de ação'!$K167="Alta",'Plano de ação'!$O167&lt;&gt;"Concluída"),-'Plano de ação'!$J167+ROW()/1000000,""))</f>
        <v/>
      </c>
    </row>
    <row r="168" customFormat="false" ht="15" hidden="false" customHeight="false" outlineLevel="0" collapsed="false">
      <c r="R168" s="0" t="str">
        <f aca="false">IF('Plano de ação'!$B168="","",IF(AND('Plano de ação'!$K168="Alta",'Plano de ação'!$O168&lt;&gt;"Concluída"),-'Plano de ação'!$J168+ROW()/1000000,""))</f>
        <v/>
      </c>
    </row>
    <row r="169" customFormat="false" ht="15" hidden="false" customHeight="false" outlineLevel="0" collapsed="false">
      <c r="R169" s="0" t="str">
        <f aca="false">IF('Plano de ação'!$B169="","",IF(AND('Plano de ação'!$K169="Alta",'Plano de ação'!$O169&lt;&gt;"Concluída"),-'Plano de ação'!$J169+ROW()/1000000,""))</f>
        <v/>
      </c>
    </row>
    <row r="170" customFormat="false" ht="15" hidden="false" customHeight="false" outlineLevel="0" collapsed="false">
      <c r="R170" s="0" t="str">
        <f aca="false">IF('Plano de ação'!$B170="","",IF(AND('Plano de ação'!$K170="Alta",'Plano de ação'!$O170&lt;&gt;"Concluída"),-'Plano de ação'!$J170+ROW()/1000000,""))</f>
        <v/>
      </c>
    </row>
    <row r="171" customFormat="false" ht="15" hidden="false" customHeight="false" outlineLevel="0" collapsed="false">
      <c r="R171" s="0" t="str">
        <f aca="false">IF('Plano de ação'!$B171="","",IF(AND('Plano de ação'!$K171="Alta",'Plano de ação'!$O171&lt;&gt;"Concluída"),-'Plano de ação'!$J171+ROW()/1000000,""))</f>
        <v/>
      </c>
    </row>
    <row r="172" customFormat="false" ht="15" hidden="false" customHeight="false" outlineLevel="0" collapsed="false">
      <c r="R172" s="0" t="str">
        <f aca="false">IF('Plano de ação'!$B172="","",IF(AND('Plano de ação'!$K172="Alta",'Plano de ação'!$O172&lt;&gt;"Concluída"),-'Plano de ação'!$J172+ROW()/1000000,""))</f>
        <v/>
      </c>
    </row>
    <row r="173" customFormat="false" ht="15" hidden="false" customHeight="false" outlineLevel="0" collapsed="false">
      <c r="R173" s="0" t="str">
        <f aca="false">IF('Plano de ação'!$B173="","",IF(AND('Plano de ação'!$K173="Alta",'Plano de ação'!$O173&lt;&gt;"Concluída"),-'Plano de ação'!$J173+ROW()/1000000,""))</f>
        <v/>
      </c>
    </row>
    <row r="174" customFormat="false" ht="15" hidden="false" customHeight="false" outlineLevel="0" collapsed="false">
      <c r="R174" s="0" t="str">
        <f aca="false">IF('Plano de ação'!$B174="","",IF(AND('Plano de ação'!$K174="Alta",'Plano de ação'!$O174&lt;&gt;"Concluída"),-'Plano de ação'!$J174+ROW()/1000000,""))</f>
        <v/>
      </c>
    </row>
    <row r="175" customFormat="false" ht="15" hidden="false" customHeight="false" outlineLevel="0" collapsed="false">
      <c r="R175" s="0" t="str">
        <f aca="false">IF('Plano de ação'!$B175="","",IF(AND('Plano de ação'!$K175="Alta",'Plano de ação'!$O175&lt;&gt;"Concluída"),-'Plano de ação'!$J175+ROW()/1000000,""))</f>
        <v/>
      </c>
    </row>
    <row r="176" customFormat="false" ht="15" hidden="false" customHeight="false" outlineLevel="0" collapsed="false">
      <c r="R176" s="0" t="str">
        <f aca="false">IF('Plano de ação'!$B176="","",IF(AND('Plano de ação'!$K176="Alta",'Plano de ação'!$O176&lt;&gt;"Concluída"),-'Plano de ação'!$J176+ROW()/1000000,""))</f>
        <v/>
      </c>
    </row>
    <row r="177" customFormat="false" ht="15" hidden="false" customHeight="false" outlineLevel="0" collapsed="false">
      <c r="R177" s="0" t="str">
        <f aca="false">IF('Plano de ação'!$B177="","",IF(AND('Plano de ação'!$K177="Alta",'Plano de ação'!$O177&lt;&gt;"Concluída"),-'Plano de ação'!$J177+ROW()/1000000,""))</f>
        <v/>
      </c>
    </row>
    <row r="178" customFormat="false" ht="15" hidden="false" customHeight="false" outlineLevel="0" collapsed="false">
      <c r="R178" s="0" t="str">
        <f aca="false">IF('Plano de ação'!$B178="","",IF(AND('Plano de ação'!$K178="Alta",'Plano de ação'!$O178&lt;&gt;"Concluída"),-'Plano de ação'!$J178+ROW()/1000000,""))</f>
        <v/>
      </c>
    </row>
    <row r="179" customFormat="false" ht="15" hidden="false" customHeight="false" outlineLevel="0" collapsed="false">
      <c r="R179" s="0" t="str">
        <f aca="false">IF('Plano de ação'!$B179="","",IF(AND('Plano de ação'!$K179="Alta",'Plano de ação'!$O179&lt;&gt;"Concluída"),-'Plano de ação'!$J179+ROW()/1000000,""))</f>
        <v/>
      </c>
    </row>
    <row r="180" customFormat="false" ht="15" hidden="false" customHeight="false" outlineLevel="0" collapsed="false">
      <c r="R180" s="0" t="str">
        <f aca="false">IF('Plano de ação'!$B180="","",IF(AND('Plano de ação'!$K180="Alta",'Plano de ação'!$O180&lt;&gt;"Concluída"),-'Plano de ação'!$J180+ROW()/1000000,""))</f>
        <v/>
      </c>
    </row>
    <row r="181" customFormat="false" ht="15" hidden="false" customHeight="false" outlineLevel="0" collapsed="false">
      <c r="R181" s="0" t="str">
        <f aca="false">IF('Plano de ação'!$B181="","",IF(AND('Plano de ação'!$K181="Alta",'Plano de ação'!$O181&lt;&gt;"Concluída"),-'Plano de ação'!$J181+ROW()/1000000,""))</f>
        <v/>
      </c>
    </row>
    <row r="182" customFormat="false" ht="15" hidden="false" customHeight="false" outlineLevel="0" collapsed="false">
      <c r="R182" s="0" t="str">
        <f aca="false">IF('Plano de ação'!$B182="","",IF(AND('Plano de ação'!$K182="Alta",'Plano de ação'!$O182&lt;&gt;"Concluída"),-'Plano de ação'!$J182+ROW()/1000000,""))</f>
        <v/>
      </c>
    </row>
    <row r="183" customFormat="false" ht="15" hidden="false" customHeight="false" outlineLevel="0" collapsed="false">
      <c r="R183" s="0" t="str">
        <f aca="false">IF('Plano de ação'!$B183="","",IF(AND('Plano de ação'!$K183="Alta",'Plano de ação'!$O183&lt;&gt;"Concluída"),-'Plano de ação'!$J183+ROW()/1000000,""))</f>
        <v/>
      </c>
    </row>
    <row r="184" customFormat="false" ht="15" hidden="false" customHeight="false" outlineLevel="0" collapsed="false">
      <c r="R184" s="0" t="str">
        <f aca="false">IF('Plano de ação'!$B184="","",IF(AND('Plano de ação'!$K184="Alta",'Plano de ação'!$O184&lt;&gt;"Concluída"),-'Plano de ação'!$J184+ROW()/1000000,""))</f>
        <v/>
      </c>
    </row>
    <row r="185" customFormat="false" ht="15" hidden="false" customHeight="false" outlineLevel="0" collapsed="false">
      <c r="R185" s="0" t="str">
        <f aca="false">IF('Plano de ação'!$B185="","",IF(AND('Plano de ação'!$K185="Alta",'Plano de ação'!$O185&lt;&gt;"Concluída"),-'Plano de ação'!$J185+ROW()/1000000,""))</f>
        <v/>
      </c>
    </row>
    <row r="186" customFormat="false" ht="15" hidden="false" customHeight="false" outlineLevel="0" collapsed="false">
      <c r="R186" s="0" t="str">
        <f aca="false">IF('Plano de ação'!$B186="","",IF(AND('Plano de ação'!$K186="Alta",'Plano de ação'!$O186&lt;&gt;"Concluída"),-'Plano de ação'!$J186+ROW()/1000000,""))</f>
        <v/>
      </c>
    </row>
    <row r="187" customFormat="false" ht="15" hidden="false" customHeight="false" outlineLevel="0" collapsed="false">
      <c r="R187" s="0" t="str">
        <f aca="false">IF('Plano de ação'!$B187="","",IF(AND('Plano de ação'!$K187="Alta",'Plano de ação'!$O187&lt;&gt;"Concluída"),-'Plano de ação'!$J187+ROW()/1000000,""))</f>
        <v/>
      </c>
    </row>
    <row r="188" customFormat="false" ht="15" hidden="false" customHeight="false" outlineLevel="0" collapsed="false">
      <c r="R188" s="0" t="str">
        <f aca="false">IF('Plano de ação'!$B188="","",IF(AND('Plano de ação'!$K188="Alta",'Plano de ação'!$O188&lt;&gt;"Concluída"),-'Plano de ação'!$J188+ROW()/1000000,""))</f>
        <v/>
      </c>
    </row>
    <row r="189" customFormat="false" ht="15" hidden="false" customHeight="false" outlineLevel="0" collapsed="false">
      <c r="R189" s="0" t="str">
        <f aca="false">IF('Plano de ação'!$B189="","",IF(AND('Plano de ação'!$K189="Alta",'Plano de ação'!$O189&lt;&gt;"Concluída"),-'Plano de ação'!$J189+ROW()/1000000,""))</f>
        <v/>
      </c>
    </row>
    <row r="190" customFormat="false" ht="15" hidden="false" customHeight="false" outlineLevel="0" collapsed="false">
      <c r="R190" s="0" t="str">
        <f aca="false">IF('Plano de ação'!$B190="","",IF(AND('Plano de ação'!$K190="Alta",'Plano de ação'!$O190&lt;&gt;"Concluída"),-'Plano de ação'!$J190+ROW()/1000000,""))</f>
        <v/>
      </c>
    </row>
    <row r="191" customFormat="false" ht="15" hidden="false" customHeight="false" outlineLevel="0" collapsed="false">
      <c r="R191" s="0" t="str">
        <f aca="false">IF('Plano de ação'!$B191="","",IF(AND('Plano de ação'!$K191="Alta",'Plano de ação'!$O191&lt;&gt;"Concluída"),-'Plano de ação'!$J191+ROW()/1000000,""))</f>
        <v/>
      </c>
    </row>
    <row r="192" customFormat="false" ht="15" hidden="false" customHeight="false" outlineLevel="0" collapsed="false">
      <c r="R192" s="0" t="str">
        <f aca="false">IF('Plano de ação'!$B192="","",IF(AND('Plano de ação'!$K192="Alta",'Plano de ação'!$O192&lt;&gt;"Concluída"),-'Plano de ação'!$J192+ROW()/1000000,""))</f>
        <v/>
      </c>
    </row>
    <row r="193" customFormat="false" ht="15" hidden="false" customHeight="false" outlineLevel="0" collapsed="false">
      <c r="R193" s="0" t="str">
        <f aca="false">IF('Plano de ação'!$B193="","",IF(AND('Plano de ação'!$K193="Alta",'Plano de ação'!$O193&lt;&gt;"Concluída"),-'Plano de ação'!$J193+ROW()/1000000,""))</f>
        <v/>
      </c>
    </row>
    <row r="194" customFormat="false" ht="15" hidden="false" customHeight="false" outlineLevel="0" collapsed="false">
      <c r="R194" s="0" t="str">
        <f aca="false">IF('Plano de ação'!$B194="","",IF(AND('Plano de ação'!$K194="Alta",'Plano de ação'!$O194&lt;&gt;"Concluída"),-'Plano de ação'!$J194+ROW()/1000000,""))</f>
        <v/>
      </c>
    </row>
    <row r="195" customFormat="false" ht="15" hidden="false" customHeight="false" outlineLevel="0" collapsed="false">
      <c r="R195" s="0" t="str">
        <f aca="false">IF('Plano de ação'!$B195="","",IF(AND('Plano de ação'!$K195="Alta",'Plano de ação'!$O195&lt;&gt;"Concluída"),-'Plano de ação'!$J195+ROW()/1000000,""))</f>
        <v/>
      </c>
    </row>
    <row r="196" customFormat="false" ht="15" hidden="false" customHeight="false" outlineLevel="0" collapsed="false">
      <c r="R196" s="0" t="str">
        <f aca="false">IF('Plano de ação'!$B196="","",IF(AND('Plano de ação'!$K196="Alta",'Plano de ação'!$O196&lt;&gt;"Concluída"),-'Plano de ação'!$J196+ROW()/1000000,""))</f>
        <v/>
      </c>
    </row>
    <row r="197" customFormat="false" ht="15" hidden="false" customHeight="false" outlineLevel="0" collapsed="false">
      <c r="R197" s="0" t="str">
        <f aca="false">IF('Plano de ação'!$B197="","",IF(AND('Plano de ação'!$K197="Alta",'Plano de ação'!$O197&lt;&gt;"Concluída"),-'Plano de ação'!$J197+ROW()/1000000,""))</f>
        <v/>
      </c>
    </row>
    <row r="198" customFormat="false" ht="15" hidden="false" customHeight="false" outlineLevel="0" collapsed="false">
      <c r="R198" s="0" t="str">
        <f aca="false">IF('Plano de ação'!$B198="","",IF(AND('Plano de ação'!$K198="Alta",'Plano de ação'!$O198&lt;&gt;"Concluída"),-'Plano de ação'!$J198+ROW()/1000000,""))</f>
        <v/>
      </c>
    </row>
    <row r="199" customFormat="false" ht="15" hidden="false" customHeight="false" outlineLevel="0" collapsed="false">
      <c r="R199" s="0" t="str">
        <f aca="false">IF('Plano de ação'!$B199="","",IF(AND('Plano de ação'!$K199="Alta",'Plano de ação'!$O199&lt;&gt;"Concluída"),-'Plano de ação'!$J199+ROW()/1000000,""))</f>
        <v/>
      </c>
    </row>
    <row r="200" customFormat="false" ht="15" hidden="false" customHeight="false" outlineLevel="0" collapsed="false">
      <c r="R200" s="0" t="str">
        <f aca="false">IF('Plano de ação'!$B200="","",IF(AND('Plano de ação'!$K200="Alta",'Plano de ação'!$O200&lt;&gt;"Concluída"),-'Plano de ação'!$J200+ROW()/1000000,""))</f>
        <v/>
      </c>
    </row>
    <row r="201" customFormat="false" ht="15" hidden="false" customHeight="false" outlineLevel="0" collapsed="false">
      <c r="R201" s="0" t="str">
        <f aca="false">IF('Plano de ação'!$B201="","",IF(AND('Plano de ação'!$K201="Alta",'Plano de ação'!$O201&lt;&gt;"Concluída"),-'Plano de ação'!$J201+ROW()/1000000,""))</f>
        <v/>
      </c>
    </row>
    <row r="202" customFormat="false" ht="15" hidden="false" customHeight="false" outlineLevel="0" collapsed="false">
      <c r="R202" s="0" t="str">
        <f aca="false">IF('Plano de ação'!$B202="","",IF(AND('Plano de ação'!$K202="Alta",'Plano de ação'!$O202&lt;&gt;"Concluída"),-'Plano de ação'!$J202+ROW()/1000000,""))</f>
        <v/>
      </c>
    </row>
    <row r="203" customFormat="false" ht="15" hidden="false" customHeight="false" outlineLevel="0" collapsed="false">
      <c r="R203" s="0" t="str">
        <f aca="false">IF('Plano de ação'!$B203="","",IF(AND('Plano de ação'!$K203="Alta",'Plano de ação'!$O203&lt;&gt;"Concluída"),-'Plano de ação'!$J203+ROW()/1000000,""))</f>
        <v/>
      </c>
    </row>
    <row r="204" customFormat="false" ht="15" hidden="false" customHeight="false" outlineLevel="0" collapsed="false">
      <c r="R204" s="0" t="str">
        <f aca="false">IF('Plano de ação'!$B204="","",IF(AND('Plano de ação'!$K204="Alta",'Plano de ação'!$O204&lt;&gt;"Concluída"),-'Plano de ação'!$J204+ROW()/1000000,""))</f>
        <v/>
      </c>
    </row>
    <row r="205" customFormat="false" ht="15" hidden="false" customHeight="false" outlineLevel="0" collapsed="false">
      <c r="R205" s="0" t="str">
        <f aca="false">IF('Plano de ação'!$B205="","",IF(AND('Plano de ação'!$K205="Alta",'Plano de ação'!$O205&lt;&gt;"Concluída"),-'Plano de ação'!$J205+ROW()/1000000,""))</f>
        <v/>
      </c>
    </row>
    <row r="206" customFormat="false" ht="15" hidden="false" customHeight="false" outlineLevel="0" collapsed="false">
      <c r="R206" s="0" t="str">
        <f aca="false">IF('Plano de ação'!$B206="","",IF(AND('Plano de ação'!$K206="Alta",'Plano de ação'!$O206&lt;&gt;"Concluída"),-'Plano de ação'!$J206+ROW()/1000000,""))</f>
        <v/>
      </c>
    </row>
    <row r="207" customFormat="false" ht="15" hidden="false" customHeight="false" outlineLevel="0" collapsed="false">
      <c r="R207" s="0" t="str">
        <f aca="false">IF('Plano de ação'!$B207="","",IF(AND('Plano de ação'!$K207="Alta",'Plano de ação'!$O207&lt;&gt;"Concluída"),-'Plano de ação'!$J207+ROW()/1000000,""))</f>
        <v/>
      </c>
    </row>
    <row r="208" customFormat="false" ht="15" hidden="false" customHeight="false" outlineLevel="0" collapsed="false">
      <c r="R208" s="0" t="str">
        <f aca="false">IF('Plano de ação'!$B208="","",IF(AND('Plano de ação'!$K208="Alta",'Plano de ação'!$O208&lt;&gt;"Concluída"),-'Plano de ação'!$J208+ROW()/1000000,""))</f>
        <v/>
      </c>
    </row>
    <row r="209" customFormat="false" ht="15" hidden="false" customHeight="false" outlineLevel="0" collapsed="false">
      <c r="R209" s="0" t="str">
        <f aca="false">IF('Plano de ação'!$B209="","",IF(AND('Plano de ação'!$K209="Alta",'Plano de ação'!$O209&lt;&gt;"Concluída"),-'Plano de ação'!$J209+ROW()/1000000,""))</f>
        <v/>
      </c>
    </row>
    <row r="210" customFormat="false" ht="15" hidden="false" customHeight="false" outlineLevel="0" collapsed="false">
      <c r="R210" s="0" t="str">
        <f aca="false">IF('Plano de ação'!$B210="","",IF(AND('Plano de ação'!$K210="Alta",'Plano de ação'!$O210&lt;&gt;"Concluída"),-'Plano de ação'!$J210+ROW()/1000000,""))</f>
        <v/>
      </c>
    </row>
    <row r="211" customFormat="false" ht="15" hidden="false" customHeight="false" outlineLevel="0" collapsed="false">
      <c r="R211" s="0" t="str">
        <f aca="false">IF('Plano de ação'!$B211="","",IF(AND('Plano de ação'!$K211="Alta",'Plano de ação'!$O211&lt;&gt;"Concluída"),-'Plano de ação'!$J211+ROW()/1000000,""))</f>
        <v/>
      </c>
    </row>
    <row r="212" customFormat="false" ht="15" hidden="false" customHeight="false" outlineLevel="0" collapsed="false">
      <c r="R212" s="0" t="str">
        <f aca="false">IF('Plano de ação'!$B212="","",IF(AND('Plano de ação'!$K212="Alta",'Plano de ação'!$O212&lt;&gt;"Concluída"),-'Plano de ação'!$J212+ROW()/1000000,""))</f>
        <v/>
      </c>
    </row>
    <row r="213" customFormat="false" ht="15" hidden="false" customHeight="false" outlineLevel="0" collapsed="false">
      <c r="R213" s="0" t="str">
        <f aca="false">IF('Plano de ação'!$B213="","",IF(AND('Plano de ação'!$K213="Alta",'Plano de ação'!$O213&lt;&gt;"Concluída"),-'Plano de ação'!$J213+ROW()/1000000,""))</f>
        <v/>
      </c>
    </row>
    <row r="214" customFormat="false" ht="15" hidden="false" customHeight="false" outlineLevel="0" collapsed="false">
      <c r="R214" s="0" t="str">
        <f aca="false">IF('Plano de ação'!$B214="","",IF(AND('Plano de ação'!$K214="Alta",'Plano de ação'!$O214&lt;&gt;"Concluída"),-'Plano de ação'!$J214+ROW()/1000000,""))</f>
        <v/>
      </c>
    </row>
    <row r="215" customFormat="false" ht="15" hidden="false" customHeight="false" outlineLevel="0" collapsed="false">
      <c r="R215" s="0" t="str">
        <f aca="false">IF('Plano de ação'!$B215="","",IF(AND('Plano de ação'!$K215="Alta",'Plano de ação'!$O215&lt;&gt;"Concluída"),-'Plano de ação'!$J215+ROW()/1000000,""))</f>
        <v/>
      </c>
    </row>
    <row r="216" customFormat="false" ht="15" hidden="false" customHeight="false" outlineLevel="0" collapsed="false">
      <c r="R216" s="0" t="str">
        <f aca="false">IF('Plano de ação'!$B216="","",IF(AND('Plano de ação'!$K216="Alta",'Plano de ação'!$O216&lt;&gt;"Concluída"),-'Plano de ação'!$J216+ROW()/1000000,""))</f>
        <v/>
      </c>
    </row>
    <row r="217" customFormat="false" ht="15" hidden="false" customHeight="false" outlineLevel="0" collapsed="false">
      <c r="R217" s="0" t="str">
        <f aca="false">IF('Plano de ação'!$B217="","",IF(AND('Plano de ação'!$K217="Alta",'Plano de ação'!$O217&lt;&gt;"Concluída"),-'Plano de ação'!$J217+ROW()/1000000,""))</f>
        <v/>
      </c>
    </row>
    <row r="218" customFormat="false" ht="15" hidden="false" customHeight="false" outlineLevel="0" collapsed="false">
      <c r="R218" s="0" t="str">
        <f aca="false">IF('Plano de ação'!$B218="","",IF(AND('Plano de ação'!$K218="Alta",'Plano de ação'!$O218&lt;&gt;"Concluída"),-'Plano de ação'!$J218+ROW()/1000000,""))</f>
        <v/>
      </c>
    </row>
    <row r="219" customFormat="false" ht="15" hidden="false" customHeight="false" outlineLevel="0" collapsed="false">
      <c r="R219" s="0" t="str">
        <f aca="false">IF('Plano de ação'!$B219="","",IF(AND('Plano de ação'!$K219="Alta",'Plano de ação'!$O219&lt;&gt;"Concluída"),-'Plano de ação'!$J219+ROW()/1000000,""))</f>
        <v/>
      </c>
    </row>
    <row r="220" customFormat="false" ht="15" hidden="false" customHeight="false" outlineLevel="0" collapsed="false">
      <c r="R220" s="0" t="str">
        <f aca="false">IF('Plano de ação'!$B220="","",IF(AND('Plano de ação'!$K220="Alta",'Plano de ação'!$O220&lt;&gt;"Concluída"),-'Plano de ação'!$J220+ROW()/1000000,""))</f>
        <v/>
      </c>
    </row>
    <row r="221" customFormat="false" ht="15" hidden="false" customHeight="false" outlineLevel="0" collapsed="false">
      <c r="R221" s="0" t="str">
        <f aca="false">IF('Plano de ação'!$B221="","",IF(AND('Plano de ação'!$K221="Alta",'Plano de ação'!$O221&lt;&gt;"Concluída"),-'Plano de ação'!$J221+ROW()/1000000,""))</f>
        <v/>
      </c>
    </row>
    <row r="222" customFormat="false" ht="15" hidden="false" customHeight="false" outlineLevel="0" collapsed="false">
      <c r="R222" s="0" t="str">
        <f aca="false">IF('Plano de ação'!$B222="","",IF(AND('Plano de ação'!$K222="Alta",'Plano de ação'!$O222&lt;&gt;"Concluída"),-'Plano de ação'!$J222+ROW()/1000000,""))</f>
        <v/>
      </c>
    </row>
    <row r="223" customFormat="false" ht="15" hidden="false" customHeight="false" outlineLevel="0" collapsed="false">
      <c r="R223" s="0" t="str">
        <f aca="false">IF('Plano de ação'!$B223="","",IF(AND('Plano de ação'!$K223="Alta",'Plano de ação'!$O223&lt;&gt;"Concluída"),-'Plano de ação'!$J223+ROW()/1000000,""))</f>
        <v/>
      </c>
    </row>
    <row r="224" customFormat="false" ht="15" hidden="false" customHeight="false" outlineLevel="0" collapsed="false">
      <c r="R224" s="0" t="str">
        <f aca="false">IF('Plano de ação'!$B224="","",IF(AND('Plano de ação'!$K224="Alta",'Plano de ação'!$O224&lt;&gt;"Concluída"),-'Plano de ação'!$J224+ROW()/1000000,""))</f>
        <v/>
      </c>
    </row>
    <row r="225" customFormat="false" ht="15" hidden="false" customHeight="false" outlineLevel="0" collapsed="false">
      <c r="R225" s="0" t="str">
        <f aca="false">IF('Plano de ação'!$B225="","",IF(AND('Plano de ação'!$K225="Alta",'Plano de ação'!$O225&lt;&gt;"Concluída"),-'Plano de ação'!$J225+ROW()/1000000,""))</f>
        <v/>
      </c>
    </row>
    <row r="226" customFormat="false" ht="15" hidden="false" customHeight="false" outlineLevel="0" collapsed="false">
      <c r="R226" s="0" t="str">
        <f aca="false">IF('Plano de ação'!$B226="","",IF(AND('Plano de ação'!$K226="Alta",'Plano de ação'!$O226&lt;&gt;"Concluída"),-'Plano de ação'!$J226+ROW()/1000000,""))</f>
        <v/>
      </c>
    </row>
    <row r="227" customFormat="false" ht="15" hidden="false" customHeight="false" outlineLevel="0" collapsed="false">
      <c r="R227" s="0" t="str">
        <f aca="false">IF('Plano de ação'!$B227="","",IF(AND('Plano de ação'!$K227="Alta",'Plano de ação'!$O227&lt;&gt;"Concluída"),-'Plano de ação'!$J227+ROW()/1000000,""))</f>
        <v/>
      </c>
    </row>
    <row r="228" customFormat="false" ht="15" hidden="false" customHeight="false" outlineLevel="0" collapsed="false">
      <c r="R228" s="0" t="str">
        <f aca="false">IF('Plano de ação'!$B228="","",IF(AND('Plano de ação'!$K228="Alta",'Plano de ação'!$O228&lt;&gt;"Concluída"),-'Plano de ação'!$J228+ROW()/1000000,""))</f>
        <v/>
      </c>
    </row>
    <row r="229" customFormat="false" ht="15" hidden="false" customHeight="false" outlineLevel="0" collapsed="false">
      <c r="R229" s="0" t="str">
        <f aca="false">IF('Plano de ação'!$B229="","",IF(AND('Plano de ação'!$K229="Alta",'Plano de ação'!$O229&lt;&gt;"Concluída"),-'Plano de ação'!$J229+ROW()/1000000,""))</f>
        <v/>
      </c>
    </row>
    <row r="230" customFormat="false" ht="15" hidden="false" customHeight="false" outlineLevel="0" collapsed="false">
      <c r="R230" s="0" t="str">
        <f aca="false">IF('Plano de ação'!$B230="","",IF(AND('Plano de ação'!$K230="Alta",'Plano de ação'!$O230&lt;&gt;"Concluída"),-'Plano de ação'!$J230+ROW()/1000000,""))</f>
        <v/>
      </c>
    </row>
    <row r="231" customFormat="false" ht="15" hidden="false" customHeight="false" outlineLevel="0" collapsed="false">
      <c r="R231" s="0" t="str">
        <f aca="false">IF('Plano de ação'!$B231="","",IF(AND('Plano de ação'!$K231="Alta",'Plano de ação'!$O231&lt;&gt;"Concluída"),-'Plano de ação'!$J231+ROW()/1000000,""))</f>
        <v/>
      </c>
    </row>
    <row r="232" customFormat="false" ht="15" hidden="false" customHeight="false" outlineLevel="0" collapsed="false">
      <c r="R232" s="0" t="str">
        <f aca="false">IF('Plano de ação'!$B232="","",IF(AND('Plano de ação'!$K232="Alta",'Plano de ação'!$O232&lt;&gt;"Concluída"),-'Plano de ação'!$J232+ROW()/1000000,""))</f>
        <v/>
      </c>
    </row>
    <row r="233" customFormat="false" ht="15" hidden="false" customHeight="false" outlineLevel="0" collapsed="false">
      <c r="R233" s="0" t="str">
        <f aca="false">IF('Plano de ação'!$B233="","",IF(AND('Plano de ação'!$K233="Alta",'Plano de ação'!$O233&lt;&gt;"Concluída"),-'Plano de ação'!$J233+ROW()/1000000,""))</f>
        <v/>
      </c>
    </row>
    <row r="234" customFormat="false" ht="15" hidden="false" customHeight="false" outlineLevel="0" collapsed="false">
      <c r="R234" s="0" t="str">
        <f aca="false">IF('Plano de ação'!$B234="","",IF(AND('Plano de ação'!$K234="Alta",'Plano de ação'!$O234&lt;&gt;"Concluída"),-'Plano de ação'!$J234+ROW()/1000000,""))</f>
        <v/>
      </c>
    </row>
    <row r="235" customFormat="false" ht="15" hidden="false" customHeight="false" outlineLevel="0" collapsed="false">
      <c r="R235" s="0" t="str">
        <f aca="false">IF('Plano de ação'!$B235="","",IF(AND('Plano de ação'!$K235="Alta",'Plano de ação'!$O235&lt;&gt;"Concluída"),-'Plano de ação'!$J235+ROW()/1000000,""))</f>
        <v/>
      </c>
    </row>
    <row r="236" customFormat="false" ht="15" hidden="false" customHeight="false" outlineLevel="0" collapsed="false">
      <c r="R236" s="0" t="str">
        <f aca="false">IF('Plano de ação'!$B236="","",IF(AND('Plano de ação'!$K236="Alta",'Plano de ação'!$O236&lt;&gt;"Concluída"),-'Plano de ação'!$J236+ROW()/1000000,""))</f>
        <v/>
      </c>
    </row>
    <row r="237" customFormat="false" ht="15" hidden="false" customHeight="false" outlineLevel="0" collapsed="false">
      <c r="R237" s="0" t="str">
        <f aca="false">IF('Plano de ação'!$B237="","",IF(AND('Plano de ação'!$K237="Alta",'Plano de ação'!$O237&lt;&gt;"Concluída"),-'Plano de ação'!$J237+ROW()/1000000,""))</f>
        <v/>
      </c>
    </row>
    <row r="238" customFormat="false" ht="15" hidden="false" customHeight="false" outlineLevel="0" collapsed="false">
      <c r="R238" s="0" t="str">
        <f aca="false">IF('Plano de ação'!$B238="","",IF(AND('Plano de ação'!$K238="Alta",'Plano de ação'!$O238&lt;&gt;"Concluída"),-'Plano de ação'!$J238+ROW()/1000000,""))</f>
        <v/>
      </c>
    </row>
    <row r="239" customFormat="false" ht="15" hidden="false" customHeight="false" outlineLevel="0" collapsed="false">
      <c r="R239" s="0" t="str">
        <f aca="false">IF('Plano de ação'!$B239="","",IF(AND('Plano de ação'!$K239="Alta",'Plano de ação'!$O239&lt;&gt;"Concluída"),-'Plano de ação'!$J239+ROW()/1000000,""))</f>
        <v/>
      </c>
    </row>
    <row r="240" customFormat="false" ht="15" hidden="false" customHeight="false" outlineLevel="0" collapsed="false">
      <c r="R240" s="0" t="str">
        <f aca="false">IF('Plano de ação'!$B240="","",IF(AND('Plano de ação'!$K240="Alta",'Plano de ação'!$O240&lt;&gt;"Concluída"),-'Plano de ação'!$J240+ROW()/1000000,""))</f>
        <v/>
      </c>
    </row>
    <row r="241" customFormat="false" ht="15" hidden="false" customHeight="false" outlineLevel="0" collapsed="false">
      <c r="R241" s="0" t="str">
        <f aca="false">IF('Plano de ação'!$B241="","",IF(AND('Plano de ação'!$K241="Alta",'Plano de ação'!$O241&lt;&gt;"Concluída"),-'Plano de ação'!$J241+ROW()/1000000,""))</f>
        <v/>
      </c>
    </row>
    <row r="242" customFormat="false" ht="15" hidden="false" customHeight="false" outlineLevel="0" collapsed="false">
      <c r="R242" s="0" t="str">
        <f aca="false">IF('Plano de ação'!$B242="","",IF(AND('Plano de ação'!$K242="Alta",'Plano de ação'!$O242&lt;&gt;"Concluída"),-'Plano de ação'!$J242+ROW()/1000000,""))</f>
        <v/>
      </c>
    </row>
    <row r="243" customFormat="false" ht="15" hidden="false" customHeight="false" outlineLevel="0" collapsed="false">
      <c r="R243" s="0" t="str">
        <f aca="false">IF('Plano de ação'!$B243="","",IF(AND('Plano de ação'!$K243="Alta",'Plano de ação'!$O243&lt;&gt;"Concluída"),-'Plano de ação'!$J243+ROW()/1000000,""))</f>
        <v/>
      </c>
    </row>
    <row r="244" customFormat="false" ht="15" hidden="false" customHeight="false" outlineLevel="0" collapsed="false">
      <c r="R244" s="0" t="str">
        <f aca="false">IF('Plano de ação'!$B244="","",IF(AND('Plano de ação'!$K244="Alta",'Plano de ação'!$O244&lt;&gt;"Concluída"),-'Plano de ação'!$J244+ROW()/1000000,""))</f>
        <v/>
      </c>
    </row>
    <row r="245" customFormat="false" ht="15" hidden="false" customHeight="false" outlineLevel="0" collapsed="false">
      <c r="R245" s="0" t="str">
        <f aca="false">IF('Plano de ação'!$B245="","",IF(AND('Plano de ação'!$K245="Alta",'Plano de ação'!$O245&lt;&gt;"Concluída"),-'Plano de ação'!$J245+ROW()/1000000,""))</f>
        <v/>
      </c>
    </row>
    <row r="246" customFormat="false" ht="15" hidden="false" customHeight="false" outlineLevel="0" collapsed="false">
      <c r="R246" s="0" t="str">
        <f aca="false">IF('Plano de ação'!$B246="","",IF(AND('Plano de ação'!$K246="Alta",'Plano de ação'!$O246&lt;&gt;"Concluída"),-'Plano de ação'!$J246+ROW()/1000000,""))</f>
        <v/>
      </c>
    </row>
    <row r="247" customFormat="false" ht="15" hidden="false" customHeight="false" outlineLevel="0" collapsed="false">
      <c r="R247" s="0" t="str">
        <f aca="false">IF('Plano de ação'!$B247="","",IF(AND('Plano de ação'!$K247="Alta",'Plano de ação'!$O247&lt;&gt;"Concluída"),-'Plano de ação'!$J247+ROW()/1000000,""))</f>
        <v/>
      </c>
    </row>
    <row r="248" customFormat="false" ht="15" hidden="false" customHeight="false" outlineLevel="0" collapsed="false">
      <c r="R248" s="0" t="str">
        <f aca="false">IF('Plano de ação'!$B248="","",IF(AND('Plano de ação'!$K248="Alta",'Plano de ação'!$O248&lt;&gt;"Concluída"),-'Plano de ação'!$J248+ROW()/1000000,""))</f>
        <v/>
      </c>
    </row>
    <row r="249" customFormat="false" ht="15" hidden="false" customHeight="false" outlineLevel="0" collapsed="false">
      <c r="R249" s="0" t="str">
        <f aca="false">IF('Plano de ação'!$B249="","",IF(AND('Plano de ação'!$K249="Alta",'Plano de ação'!$O249&lt;&gt;"Concluída"),-'Plano de ação'!$J249+ROW()/1000000,""))</f>
        <v/>
      </c>
    </row>
    <row r="250" customFormat="false" ht="15" hidden="false" customHeight="false" outlineLevel="0" collapsed="false">
      <c r="R250" s="0" t="str">
        <f aca="false">IF('Plano de ação'!$B250="","",IF(AND('Plano de ação'!$K250="Alta",'Plano de ação'!$O250&lt;&gt;"Concluída"),-'Plano de ação'!$J250+ROW()/1000000,""))</f>
        <v/>
      </c>
    </row>
    <row r="251" customFormat="false" ht="15" hidden="false" customHeight="false" outlineLevel="0" collapsed="false">
      <c r="R251" s="0" t="str">
        <f aca="false">IF('Plano de ação'!$B251="","",IF(AND('Plano de ação'!$K251="Alta",'Plano de ação'!$O251&lt;&gt;"Concluída"),-'Plano de ação'!$J251+ROW()/1000000,""))</f>
        <v/>
      </c>
    </row>
    <row r="252" customFormat="false" ht="15" hidden="false" customHeight="false" outlineLevel="0" collapsed="false">
      <c r="R252" s="0" t="str">
        <f aca="false">IF('Plano de ação'!$B252="","",IF(AND('Plano de ação'!$K252="Alta",'Plano de ação'!$O252&lt;&gt;"Concluída"),-'Plano de ação'!$J252+ROW()/1000000,""))</f>
        <v/>
      </c>
    </row>
    <row r="253" customFormat="false" ht="15" hidden="false" customHeight="false" outlineLevel="0" collapsed="false">
      <c r="R253" s="0" t="str">
        <f aca="false">IF('Plano de ação'!$B253="","",IF(AND('Plano de ação'!$K253="Alta",'Plano de ação'!$O253&lt;&gt;"Concluída"),-'Plano de ação'!$J253+ROW()/1000000,""))</f>
        <v/>
      </c>
    </row>
    <row r="254" customFormat="false" ht="15" hidden="false" customHeight="false" outlineLevel="0" collapsed="false">
      <c r="R254" s="0" t="str">
        <f aca="false">IF('Plano de ação'!$B254="","",IF(AND('Plano de ação'!$K254="Alta",'Plano de ação'!$O254&lt;&gt;"Concluída"),-'Plano de ação'!$J254+ROW()/1000000,""))</f>
        <v/>
      </c>
    </row>
    <row r="255" customFormat="false" ht="15" hidden="false" customHeight="false" outlineLevel="0" collapsed="false">
      <c r="R255" s="0" t="str">
        <f aca="false">IF('Plano de ação'!$B255="","",IF(AND('Plano de ação'!$K255="Alta",'Plano de ação'!$O255&lt;&gt;"Concluída"),-'Plano de ação'!$J255+ROW()/1000000,""))</f>
        <v/>
      </c>
    </row>
    <row r="256" customFormat="false" ht="15" hidden="false" customHeight="false" outlineLevel="0" collapsed="false">
      <c r="R256" s="0" t="str">
        <f aca="false">IF('Plano de ação'!$B256="","",IF(AND('Plano de ação'!$K256="Alta",'Plano de ação'!$O256&lt;&gt;"Concluída"),-'Plano de ação'!$J256+ROW()/1000000,""))</f>
        <v/>
      </c>
    </row>
    <row r="257" customFormat="false" ht="15" hidden="false" customHeight="false" outlineLevel="0" collapsed="false">
      <c r="R257" s="0" t="str">
        <f aca="false">IF('Plano de ação'!$B257="","",IF(AND('Plano de ação'!$K257="Alta",'Plano de ação'!$O257&lt;&gt;"Concluída"),-'Plano de ação'!$J257+ROW()/1000000,""))</f>
        <v/>
      </c>
    </row>
    <row r="258" customFormat="false" ht="15" hidden="false" customHeight="false" outlineLevel="0" collapsed="false">
      <c r="R258" s="0" t="str">
        <f aca="false">IF('Plano de ação'!$B258="","",IF(AND('Plano de ação'!$K258="Alta",'Plano de ação'!$O258&lt;&gt;"Concluída"),-'Plano de ação'!$J258+ROW()/1000000,""))</f>
        <v/>
      </c>
    </row>
    <row r="259" customFormat="false" ht="15" hidden="false" customHeight="false" outlineLevel="0" collapsed="false">
      <c r="R259" s="0" t="str">
        <f aca="false">IF('Plano de ação'!$B259="","",IF(AND('Plano de ação'!$K259="Alta",'Plano de ação'!$O259&lt;&gt;"Concluída"),-'Plano de ação'!$J259+ROW()/1000000,""))</f>
        <v/>
      </c>
    </row>
    <row r="260" customFormat="false" ht="15" hidden="false" customHeight="false" outlineLevel="0" collapsed="false">
      <c r="R260" s="0" t="str">
        <f aca="false">IF('Plano de ação'!$B260="","",IF(AND('Plano de ação'!$K260="Alta",'Plano de ação'!$O260&lt;&gt;"Concluída"),-'Plano de ação'!$J260+ROW()/1000000,""))</f>
        <v/>
      </c>
    </row>
    <row r="261" customFormat="false" ht="15" hidden="false" customHeight="false" outlineLevel="0" collapsed="false">
      <c r="R261" s="0" t="str">
        <f aca="false">IF('Plano de ação'!$B261="","",IF(AND('Plano de ação'!$K261="Alta",'Plano de ação'!$O261&lt;&gt;"Concluída"),-'Plano de ação'!$J261+ROW()/1000000,""))</f>
        <v/>
      </c>
    </row>
    <row r="262" customFormat="false" ht="15" hidden="false" customHeight="false" outlineLevel="0" collapsed="false">
      <c r="R262" s="0" t="str">
        <f aca="false">IF('Plano de ação'!$B262="","",IF(AND('Plano de ação'!$K262="Alta",'Plano de ação'!$O262&lt;&gt;"Concluída"),-'Plano de ação'!$J262+ROW()/1000000,""))</f>
        <v/>
      </c>
    </row>
    <row r="263" customFormat="false" ht="15" hidden="false" customHeight="false" outlineLevel="0" collapsed="false">
      <c r="R263" s="0" t="str">
        <f aca="false">IF('Plano de ação'!$B263="","",IF(AND('Plano de ação'!$K263="Alta",'Plano de ação'!$O263&lt;&gt;"Concluída"),-'Plano de ação'!$J263+ROW()/1000000,""))</f>
        <v/>
      </c>
    </row>
    <row r="264" customFormat="false" ht="15" hidden="false" customHeight="false" outlineLevel="0" collapsed="false">
      <c r="R264" s="0" t="str">
        <f aca="false">IF('Plano de ação'!$B264="","",IF(AND('Plano de ação'!$K264="Alta",'Plano de ação'!$O264&lt;&gt;"Concluída"),-'Plano de ação'!$J264+ROW()/1000000,""))</f>
        <v/>
      </c>
    </row>
    <row r="265" customFormat="false" ht="15" hidden="false" customHeight="false" outlineLevel="0" collapsed="false">
      <c r="R265" s="0" t="str">
        <f aca="false">IF('Plano de ação'!$B265="","",IF(AND('Plano de ação'!$K265="Alta",'Plano de ação'!$O265&lt;&gt;"Concluída"),-'Plano de ação'!$J265+ROW()/1000000,""))</f>
        <v/>
      </c>
    </row>
    <row r="266" customFormat="false" ht="15" hidden="false" customHeight="false" outlineLevel="0" collapsed="false">
      <c r="R266" s="0" t="str">
        <f aca="false">IF('Plano de ação'!$B266="","",IF(AND('Plano de ação'!$K266="Alta",'Plano de ação'!$O266&lt;&gt;"Concluída"),-'Plano de ação'!$J266+ROW()/1000000,""))</f>
        <v/>
      </c>
    </row>
    <row r="267" customFormat="false" ht="15" hidden="false" customHeight="false" outlineLevel="0" collapsed="false">
      <c r="R267" s="0" t="str">
        <f aca="false">IF('Plano de ação'!$B267="","",IF(AND('Plano de ação'!$K267="Alta",'Plano de ação'!$O267&lt;&gt;"Concluída"),-'Plano de ação'!$J267+ROW()/1000000,""))</f>
        <v/>
      </c>
    </row>
    <row r="268" customFormat="false" ht="15" hidden="false" customHeight="false" outlineLevel="0" collapsed="false">
      <c r="R268" s="0" t="str">
        <f aca="false">IF('Plano de ação'!$B268="","",IF(AND('Plano de ação'!$K268="Alta",'Plano de ação'!$O268&lt;&gt;"Concluída"),-'Plano de ação'!$J268+ROW()/1000000,""))</f>
        <v/>
      </c>
    </row>
    <row r="269" customFormat="false" ht="15" hidden="false" customHeight="false" outlineLevel="0" collapsed="false">
      <c r="R269" s="0" t="str">
        <f aca="false">IF('Plano de ação'!$B269="","",IF(AND('Plano de ação'!$K269="Alta",'Plano de ação'!$O269&lt;&gt;"Concluída"),-'Plano de ação'!$J269+ROW()/1000000,""))</f>
        <v/>
      </c>
    </row>
    <row r="270" customFormat="false" ht="15" hidden="false" customHeight="false" outlineLevel="0" collapsed="false">
      <c r="R270" s="0" t="str">
        <f aca="false">IF('Plano de ação'!$B270="","",IF(AND('Plano de ação'!$K270="Alta",'Plano de ação'!$O270&lt;&gt;"Concluída"),-'Plano de ação'!$J270+ROW()/1000000,""))</f>
        <v/>
      </c>
    </row>
    <row r="271" customFormat="false" ht="15" hidden="false" customHeight="false" outlineLevel="0" collapsed="false">
      <c r="R271" s="0" t="str">
        <f aca="false">IF('Plano de ação'!$B271="","",IF(AND('Plano de ação'!$K271="Alta",'Plano de ação'!$O271&lt;&gt;"Concluída"),-'Plano de ação'!$J271+ROW()/1000000,""))</f>
        <v/>
      </c>
    </row>
    <row r="272" customFormat="false" ht="15" hidden="false" customHeight="false" outlineLevel="0" collapsed="false">
      <c r="R272" s="0" t="str">
        <f aca="false">IF('Plano de ação'!$B272="","",IF(AND('Plano de ação'!$K272="Alta",'Plano de ação'!$O272&lt;&gt;"Concluída"),-'Plano de ação'!$J272+ROW()/1000000,""))</f>
        <v/>
      </c>
    </row>
    <row r="273" customFormat="false" ht="15" hidden="false" customHeight="false" outlineLevel="0" collapsed="false">
      <c r="R273" s="0" t="str">
        <f aca="false">IF('Plano de ação'!$B273="","",IF(AND('Plano de ação'!$K273="Alta",'Plano de ação'!$O273&lt;&gt;"Concluída"),-'Plano de ação'!$J273+ROW()/1000000,""))</f>
        <v/>
      </c>
    </row>
    <row r="274" customFormat="false" ht="15" hidden="false" customHeight="false" outlineLevel="0" collapsed="false">
      <c r="R274" s="0" t="str">
        <f aca="false">IF('Plano de ação'!$B274="","",IF(AND('Plano de ação'!$K274="Alta",'Plano de ação'!$O274&lt;&gt;"Concluída"),-'Plano de ação'!$J274+ROW()/1000000,""))</f>
        <v/>
      </c>
    </row>
    <row r="275" customFormat="false" ht="15" hidden="false" customHeight="false" outlineLevel="0" collapsed="false">
      <c r="R275" s="0" t="str">
        <f aca="false">IF('Plano de ação'!$B275="","",IF(AND('Plano de ação'!$K275="Alta",'Plano de ação'!$O275&lt;&gt;"Concluída"),-'Plano de ação'!$J275+ROW()/1000000,""))</f>
        <v/>
      </c>
    </row>
    <row r="276" customFormat="false" ht="15" hidden="false" customHeight="false" outlineLevel="0" collapsed="false">
      <c r="R276" s="0" t="str">
        <f aca="false">IF('Plano de ação'!$B276="","",IF(AND('Plano de ação'!$K276="Alta",'Plano de ação'!$O276&lt;&gt;"Concluída"),-'Plano de ação'!$J276+ROW()/1000000,""))</f>
        <v/>
      </c>
    </row>
    <row r="277" customFormat="false" ht="15" hidden="false" customHeight="false" outlineLevel="0" collapsed="false">
      <c r="R277" s="0" t="str">
        <f aca="false">IF('Plano de ação'!$B277="","",IF(AND('Plano de ação'!$K277="Alta",'Plano de ação'!$O277&lt;&gt;"Concluída"),-'Plano de ação'!$J277+ROW()/1000000,""))</f>
        <v/>
      </c>
    </row>
    <row r="278" customFormat="false" ht="15" hidden="false" customHeight="false" outlineLevel="0" collapsed="false">
      <c r="R278" s="0" t="str">
        <f aca="false">IF('Plano de ação'!$B278="","",IF(AND('Plano de ação'!$K278="Alta",'Plano de ação'!$O278&lt;&gt;"Concluída"),-'Plano de ação'!$J278+ROW()/1000000,""))</f>
        <v/>
      </c>
    </row>
    <row r="279" customFormat="false" ht="15" hidden="false" customHeight="false" outlineLevel="0" collapsed="false">
      <c r="R279" s="0" t="str">
        <f aca="false">IF('Plano de ação'!$B279="","",IF(AND('Plano de ação'!$K279="Alta",'Plano de ação'!$O279&lt;&gt;"Concluída"),-'Plano de ação'!$J279+ROW()/1000000,""))</f>
        <v/>
      </c>
    </row>
    <row r="280" customFormat="false" ht="15" hidden="false" customHeight="false" outlineLevel="0" collapsed="false">
      <c r="R280" s="0" t="str">
        <f aca="false">IF('Plano de ação'!$B280="","",IF(AND('Plano de ação'!$K280="Alta",'Plano de ação'!$O280&lt;&gt;"Concluída"),-'Plano de ação'!$J280+ROW()/1000000,""))</f>
        <v/>
      </c>
    </row>
    <row r="281" customFormat="false" ht="15" hidden="false" customHeight="false" outlineLevel="0" collapsed="false">
      <c r="R281" s="0" t="str">
        <f aca="false">IF('Plano de ação'!$B281="","",IF(AND('Plano de ação'!$K281="Alta",'Plano de ação'!$O281&lt;&gt;"Concluída"),-'Plano de ação'!$J281+ROW()/1000000,""))</f>
        <v/>
      </c>
    </row>
    <row r="282" customFormat="false" ht="15" hidden="false" customHeight="false" outlineLevel="0" collapsed="false">
      <c r="R282" s="0" t="str">
        <f aca="false">IF('Plano de ação'!$B282="","",IF(AND('Plano de ação'!$K282="Alta",'Plano de ação'!$O282&lt;&gt;"Concluída"),-'Plano de ação'!$J282+ROW()/1000000,""))</f>
        <v/>
      </c>
    </row>
    <row r="283" customFormat="false" ht="15" hidden="false" customHeight="false" outlineLevel="0" collapsed="false">
      <c r="R283" s="0" t="str">
        <f aca="false">IF('Plano de ação'!$B283="","",IF(AND('Plano de ação'!$K283="Alta",'Plano de ação'!$O283&lt;&gt;"Concluída"),-'Plano de ação'!$J283+ROW()/1000000,""))</f>
        <v/>
      </c>
    </row>
    <row r="284" customFormat="false" ht="15" hidden="false" customHeight="false" outlineLevel="0" collapsed="false">
      <c r="R284" s="0" t="str">
        <f aca="false">IF('Plano de ação'!$B284="","",IF(AND('Plano de ação'!$K284="Alta",'Plano de ação'!$O284&lt;&gt;"Concluída"),-'Plano de ação'!$J284+ROW()/1000000,""))</f>
        <v/>
      </c>
    </row>
    <row r="285" customFormat="false" ht="15" hidden="false" customHeight="false" outlineLevel="0" collapsed="false">
      <c r="R285" s="0" t="str">
        <f aca="false">IF('Plano de ação'!$B285="","",IF(AND('Plano de ação'!$K285="Alta",'Plano de ação'!$O285&lt;&gt;"Concluída"),-'Plano de ação'!$J285+ROW()/1000000,""))</f>
        <v/>
      </c>
    </row>
    <row r="286" customFormat="false" ht="15" hidden="false" customHeight="false" outlineLevel="0" collapsed="false">
      <c r="R286" s="0" t="str">
        <f aca="false">IF('Plano de ação'!$B286="","",IF(AND('Plano de ação'!$K286="Alta",'Plano de ação'!$O286&lt;&gt;"Concluída"),-'Plano de ação'!$J286+ROW()/1000000,""))</f>
        <v/>
      </c>
    </row>
    <row r="287" customFormat="false" ht="15" hidden="false" customHeight="false" outlineLevel="0" collapsed="false">
      <c r="R287" s="0" t="str">
        <f aca="false">IF('Plano de ação'!$B287="","",IF(AND('Plano de ação'!$K287="Alta",'Plano de ação'!$O287&lt;&gt;"Concluída"),-'Plano de ação'!$J287+ROW()/1000000,""))</f>
        <v/>
      </c>
    </row>
    <row r="288" customFormat="false" ht="15" hidden="false" customHeight="false" outlineLevel="0" collapsed="false">
      <c r="R288" s="0" t="str">
        <f aca="false">IF('Plano de ação'!$B288="","",IF(AND('Plano de ação'!$K288="Alta",'Plano de ação'!$O288&lt;&gt;"Concluída"),-'Plano de ação'!$J288+ROW()/1000000,""))</f>
        <v/>
      </c>
    </row>
    <row r="289" customFormat="false" ht="15" hidden="false" customHeight="false" outlineLevel="0" collapsed="false">
      <c r="R289" s="0" t="str">
        <f aca="false">IF('Plano de ação'!$B289="","",IF(AND('Plano de ação'!$K289="Alta",'Plano de ação'!$O289&lt;&gt;"Concluída"),-'Plano de ação'!$J289+ROW()/1000000,""))</f>
        <v/>
      </c>
    </row>
    <row r="290" customFormat="false" ht="15" hidden="false" customHeight="false" outlineLevel="0" collapsed="false">
      <c r="R290" s="0" t="str">
        <f aca="false">IF('Plano de ação'!$B290="","",IF(AND('Plano de ação'!$K290="Alta",'Plano de ação'!$O290&lt;&gt;"Concluída"),-'Plano de ação'!$J290+ROW()/1000000,""))</f>
        <v/>
      </c>
    </row>
    <row r="291" customFormat="false" ht="15" hidden="false" customHeight="false" outlineLevel="0" collapsed="false">
      <c r="R291" s="0" t="str">
        <f aca="false">IF('Plano de ação'!$B291="","",IF(AND('Plano de ação'!$K291="Alta",'Plano de ação'!$O291&lt;&gt;"Concluída"),-'Plano de ação'!$J291+ROW()/1000000,""))</f>
        <v/>
      </c>
    </row>
    <row r="292" customFormat="false" ht="15" hidden="false" customHeight="false" outlineLevel="0" collapsed="false">
      <c r="R292" s="0" t="str">
        <f aca="false">IF('Plano de ação'!$B292="","",IF(AND('Plano de ação'!$K292="Alta",'Plano de ação'!$O292&lt;&gt;"Concluída"),-'Plano de ação'!$J292+ROW()/1000000,""))</f>
        <v/>
      </c>
    </row>
    <row r="293" customFormat="false" ht="15" hidden="false" customHeight="false" outlineLevel="0" collapsed="false">
      <c r="R293" s="0" t="str">
        <f aca="false">IF('Plano de ação'!$B293="","",IF(AND('Plano de ação'!$K293="Alta",'Plano de ação'!$O293&lt;&gt;"Concluída"),-'Plano de ação'!$J293+ROW()/1000000,""))</f>
        <v/>
      </c>
    </row>
    <row r="294" customFormat="false" ht="15" hidden="false" customHeight="false" outlineLevel="0" collapsed="false">
      <c r="R294" s="0" t="str">
        <f aca="false">IF('Plano de ação'!$B294="","",IF(AND('Plano de ação'!$K294="Alta",'Plano de ação'!$O294&lt;&gt;"Concluída"),-'Plano de ação'!$J294+ROW()/1000000,""))</f>
        <v/>
      </c>
    </row>
    <row r="295" customFormat="false" ht="15" hidden="false" customHeight="false" outlineLevel="0" collapsed="false">
      <c r="R295" s="0" t="str">
        <f aca="false">IF('Plano de ação'!$B295="","",IF(AND('Plano de ação'!$K295="Alta",'Plano de ação'!$O295&lt;&gt;"Concluída"),-'Plano de ação'!$J295+ROW()/1000000,""))</f>
        <v/>
      </c>
    </row>
    <row r="296" customFormat="false" ht="15" hidden="false" customHeight="false" outlineLevel="0" collapsed="false">
      <c r="R296" s="0" t="str">
        <f aca="false">IF('Plano de ação'!$B296="","",IF(AND('Plano de ação'!$K296="Alta",'Plano de ação'!$O296&lt;&gt;"Concluída"),-'Plano de ação'!$J296+ROW()/1000000,""))</f>
        <v/>
      </c>
    </row>
    <row r="297" customFormat="false" ht="15" hidden="false" customHeight="false" outlineLevel="0" collapsed="false">
      <c r="R297" s="0" t="str">
        <f aca="false">IF('Plano de ação'!$B297="","",IF(AND('Plano de ação'!$K297="Alta",'Plano de ação'!$O297&lt;&gt;"Concluída"),-'Plano de ação'!$J297+ROW()/1000000,""))</f>
        <v/>
      </c>
    </row>
    <row r="298" customFormat="false" ht="15" hidden="false" customHeight="false" outlineLevel="0" collapsed="false">
      <c r="R298" s="0" t="str">
        <f aca="false">IF('Plano de ação'!$B298="","",IF(AND('Plano de ação'!$K298="Alta",'Plano de ação'!$O298&lt;&gt;"Concluída"),-'Plano de ação'!$J298+ROW()/1000000,""))</f>
        <v/>
      </c>
    </row>
    <row r="299" customFormat="false" ht="15" hidden="false" customHeight="false" outlineLevel="0" collapsed="false">
      <c r="R299" s="0" t="str">
        <f aca="false">IF('Plano de ação'!$B299="","",IF(AND('Plano de ação'!$K299="Alta",'Plano de ação'!$O299&lt;&gt;"Concluída"),-'Plano de ação'!$J299+ROW()/1000000,""))</f>
        <v/>
      </c>
    </row>
    <row r="300" customFormat="false" ht="15" hidden="false" customHeight="false" outlineLevel="0" collapsed="false">
      <c r="R300" s="0" t="str">
        <f aca="false">IF('Plano de ação'!$B300="","",IF(AND('Plano de ação'!$K300="Alta",'Plano de ação'!$O300&lt;&gt;"Concluída"),-'Plano de ação'!$J300+ROW()/1000000,""))</f>
        <v/>
      </c>
    </row>
    <row r="301" customFormat="false" ht="15" hidden="false" customHeight="false" outlineLevel="0" collapsed="false">
      <c r="R301" s="0" t="str">
        <f aca="false">IF('Plano de ação'!$B301="","",IF(AND('Plano de ação'!$K301="Alta",'Plano de ação'!$O301&lt;&gt;"Concluída"),-'Plano de ação'!$J301+ROW()/1000000,""))</f>
        <v/>
      </c>
    </row>
    <row r="302" customFormat="false" ht="15" hidden="false" customHeight="false" outlineLevel="0" collapsed="false">
      <c r="R302" s="0" t="str">
        <f aca="false">IF('Plano de ação'!$B302="","",IF(AND('Plano de ação'!$K302="Alta",'Plano de ação'!$O302&lt;&gt;"Concluída"),-'Plano de ação'!$J302+ROW()/1000000,""))</f>
        <v/>
      </c>
    </row>
  </sheetData>
  <sheetProtection sheet="true"/>
  <mergeCells count="42">
    <mergeCell ref="B5:D5"/>
    <mergeCell ref="F5:H5"/>
    <mergeCell ref="J5:L5"/>
    <mergeCell ref="N5:P5"/>
    <mergeCell ref="B6:D6"/>
    <mergeCell ref="F6:H6"/>
    <mergeCell ref="J6:L6"/>
    <mergeCell ref="N6:P6"/>
    <mergeCell ref="B7:D7"/>
    <mergeCell ref="F7:H7"/>
    <mergeCell ref="J7:L7"/>
    <mergeCell ref="N7:P7"/>
    <mergeCell ref="B9:D9"/>
    <mergeCell ref="F9:H9"/>
    <mergeCell ref="J9:L9"/>
    <mergeCell ref="N9:P9"/>
    <mergeCell ref="B10:D10"/>
    <mergeCell ref="F10:H10"/>
    <mergeCell ref="J10:L10"/>
    <mergeCell ref="N10:P10"/>
    <mergeCell ref="B11:D11"/>
    <mergeCell ref="F11:H11"/>
    <mergeCell ref="J11:L11"/>
    <mergeCell ref="N11:P11"/>
    <mergeCell ref="D15:H15"/>
    <mergeCell ref="J15:K15"/>
    <mergeCell ref="D16:H16"/>
    <mergeCell ref="J16:K16"/>
    <mergeCell ref="D17:H17"/>
    <mergeCell ref="J17:K17"/>
    <mergeCell ref="D18:H18"/>
    <mergeCell ref="J18:K18"/>
    <mergeCell ref="D19:H19"/>
    <mergeCell ref="J19:K19"/>
    <mergeCell ref="D20:H20"/>
    <mergeCell ref="J20:K20"/>
    <mergeCell ref="B40:R40"/>
    <mergeCell ref="B60:C60"/>
    <mergeCell ref="B61:C61"/>
    <mergeCell ref="B62:C62"/>
    <mergeCell ref="B63:C63"/>
    <mergeCell ref="B64:C64"/>
  </mergeCells>
  <conditionalFormatting sqref="G61:G63">
    <cfRule type="expression" priority="2" aboveAverage="0" equalAverage="0" bottom="0" percent="0" rank="0" text="" dxfId="23">
      <formula>ISNA(G61)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9AB5"/>
    <pageSetUpPr fitToPage="true"/>
  </sheetPr>
  <dimension ref="B2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32"/>
    <col collapsed="false" customWidth="true" hidden="false" outlineLevel="0" max="6" min="6" style="0" width="26"/>
    <col collapsed="false" customWidth="true" hidden="false" outlineLevel="0" max="7" min="7" style="0" width="28"/>
    <col collapsed="false" customWidth="true" hidden="false" outlineLevel="0" max="8" min="8" style="0" width="20"/>
    <col collapsed="false" customWidth="true" hidden="false" outlineLevel="0" max="9" min="9" style="0" width="3"/>
    <col collapsed="false" customWidth="true" hidden="false" outlineLevel="0" max="10" min="10" style="0" width="26"/>
    <col collapsed="false" customWidth="true" hidden="false" outlineLevel="0" max="11" min="11" style="0" width="3"/>
    <col collapsed="false" customWidth="true" hidden="false" outlineLevel="0" max="12" min="12" style="0" width="14"/>
    <col collapsed="false" customWidth="true" hidden="false" outlineLevel="0" max="13" min="13" style="0" width="3"/>
    <col collapsed="false" customWidth="true" hidden="false" outlineLevel="0" max="14" min="14" style="0" width="22"/>
  </cols>
  <sheetData>
    <row r="2" customFormat="false" ht="17.35" hidden="false" customHeight="false" outlineLevel="0" collapsed="false">
      <c r="B2" s="13" t="s">
        <v>52</v>
      </c>
    </row>
    <row r="3" customFormat="false" ht="15" hidden="false" customHeight="false" outlineLevel="0" collapsed="false">
      <c r="J3" s="14" t="s">
        <v>53</v>
      </c>
    </row>
    <row r="4" customFormat="false" ht="27.75" hidden="false" customHeight="true" outlineLevel="0" collapsed="false">
      <c r="B4" s="15" t="s">
        <v>54</v>
      </c>
      <c r="C4" s="16" t="n">
        <f aca="true">NOW()</f>
        <v>46234.0407692336</v>
      </c>
      <c r="E4" s="17" t="s">
        <v>55</v>
      </c>
      <c r="F4" s="17"/>
      <c r="G4" s="17"/>
      <c r="H4" s="17"/>
      <c r="J4" s="18" t="s">
        <v>56</v>
      </c>
      <c r="L4" s="18" t="s">
        <v>57</v>
      </c>
      <c r="N4" s="18" t="s">
        <v>58</v>
      </c>
    </row>
    <row r="5" customFormat="false" ht="24" hidden="false" customHeight="true" outlineLevel="0" collapsed="false">
      <c r="B5" s="15" t="s">
        <v>59</v>
      </c>
      <c r="C5" s="19" t="n">
        <v>5</v>
      </c>
      <c r="E5" s="17" t="s">
        <v>60</v>
      </c>
      <c r="F5" s="17"/>
      <c r="G5" s="17"/>
      <c r="H5" s="17"/>
      <c r="J5" s="20" t="s">
        <v>61</v>
      </c>
      <c r="L5" s="20" t="s">
        <v>62</v>
      </c>
      <c r="N5" s="20" t="s">
        <v>63</v>
      </c>
    </row>
    <row r="6" customFormat="false" ht="24" hidden="false" customHeight="true" outlineLevel="0" collapsed="false">
      <c r="B6" s="15" t="s">
        <v>64</v>
      </c>
      <c r="C6" s="19" t="n">
        <v>7</v>
      </c>
      <c r="E6" s="17" t="s">
        <v>65</v>
      </c>
      <c r="F6" s="17"/>
      <c r="G6" s="17"/>
      <c r="H6" s="17"/>
      <c r="J6" s="20" t="s">
        <v>66</v>
      </c>
      <c r="L6" s="20" t="s">
        <v>67</v>
      </c>
      <c r="N6" s="20" t="s">
        <v>68</v>
      </c>
    </row>
    <row r="7" customFormat="false" ht="24" hidden="false" customHeight="true" outlineLevel="0" collapsed="false">
      <c r="B7" s="15" t="s">
        <v>69</v>
      </c>
      <c r="C7" s="19" t="n">
        <v>90</v>
      </c>
      <c r="E7" s="17" t="s">
        <v>70</v>
      </c>
      <c r="F7" s="17"/>
      <c r="G7" s="17"/>
      <c r="H7" s="17"/>
      <c r="J7" s="20" t="s">
        <v>71</v>
      </c>
      <c r="L7" s="20" t="s">
        <v>72</v>
      </c>
    </row>
    <row r="8" customFormat="false" ht="24" hidden="false" customHeight="true" outlineLevel="0" collapsed="false">
      <c r="B8" s="15" t="s">
        <v>73</v>
      </c>
      <c r="C8" s="19" t="n">
        <v>70</v>
      </c>
      <c r="E8" s="17" t="s">
        <v>74</v>
      </c>
      <c r="F8" s="17"/>
      <c r="G8" s="17"/>
      <c r="H8" s="17"/>
      <c r="J8" s="20" t="s">
        <v>75</v>
      </c>
    </row>
    <row r="9" customFormat="false" ht="15" hidden="false" customHeight="false" outlineLevel="0" collapsed="false">
      <c r="J9" s="20" t="s">
        <v>76</v>
      </c>
    </row>
    <row r="10" customFormat="false" ht="15" hidden="false" customHeight="false" outlineLevel="0" collapsed="false">
      <c r="J10" s="20" t="s">
        <v>77</v>
      </c>
    </row>
    <row r="11" customFormat="false" ht="15" hidden="false" customHeight="false" outlineLevel="0" collapsed="false">
      <c r="B11" s="14" t="s">
        <v>78</v>
      </c>
      <c r="J11" s="20" t="s">
        <v>79</v>
      </c>
    </row>
    <row r="12" customFormat="false" ht="15" hidden="false" customHeight="false" outlineLevel="0" collapsed="false">
      <c r="B12" s="21" t="s">
        <v>80</v>
      </c>
      <c r="C12" s="21"/>
      <c r="D12" s="21"/>
      <c r="E12" s="21"/>
      <c r="F12" s="21"/>
      <c r="G12" s="21"/>
      <c r="H12" s="21"/>
      <c r="J12" s="20" t="s">
        <v>81</v>
      </c>
    </row>
    <row r="14" customFormat="false" ht="15" hidden="false" customHeight="false" outlineLevel="0" collapsed="false">
      <c r="B14" s="22" t="s">
        <v>82</v>
      </c>
      <c r="C14" s="22" t="s">
        <v>83</v>
      </c>
      <c r="E14" s="22" t="s">
        <v>84</v>
      </c>
      <c r="F14" s="22"/>
      <c r="G14" s="22"/>
      <c r="H14" s="22"/>
    </row>
    <row r="15" customFormat="false" ht="19.5" hidden="false" customHeight="true" outlineLevel="0" collapsed="false">
      <c r="B15" s="23" t="n">
        <v>0</v>
      </c>
      <c r="C15" s="24" t="s">
        <v>85</v>
      </c>
      <c r="E15" s="25" t="s">
        <v>86</v>
      </c>
      <c r="F15" s="25"/>
      <c r="G15" s="25"/>
      <c r="H15" s="25"/>
    </row>
    <row r="16" customFormat="false" ht="19.5" hidden="false" customHeight="true" outlineLevel="0" collapsed="false">
      <c r="B16" s="26" t="n">
        <v>3</v>
      </c>
      <c r="C16" s="27" t="s">
        <v>87</v>
      </c>
      <c r="E16" s="28" t="s">
        <v>88</v>
      </c>
      <c r="F16" s="28"/>
      <c r="G16" s="28"/>
      <c r="H16" s="28"/>
    </row>
    <row r="17" customFormat="false" ht="19.5" hidden="false" customHeight="true" outlineLevel="0" collapsed="false">
      <c r="B17" s="29" t="n">
        <v>5</v>
      </c>
      <c r="C17" s="30" t="s">
        <v>89</v>
      </c>
      <c r="E17" s="31" t="s">
        <v>90</v>
      </c>
      <c r="F17" s="31"/>
      <c r="G17" s="31"/>
      <c r="H17" s="31"/>
    </row>
    <row r="18" customFormat="false" ht="19.5" hidden="false" customHeight="true" outlineLevel="0" collapsed="false">
      <c r="B18" s="32" t="n">
        <v>7</v>
      </c>
      <c r="C18" s="33" t="s">
        <v>91</v>
      </c>
      <c r="E18" s="34" t="s">
        <v>92</v>
      </c>
      <c r="F18" s="34"/>
      <c r="G18" s="34"/>
      <c r="H18" s="34"/>
    </row>
    <row r="19" customFormat="false" ht="19.5" hidden="false" customHeight="true" outlineLevel="0" collapsed="false">
      <c r="B19" s="35" t="n">
        <v>9</v>
      </c>
      <c r="C19" s="36" t="s">
        <v>93</v>
      </c>
      <c r="E19" s="37" t="s">
        <v>94</v>
      </c>
      <c r="F19" s="37"/>
      <c r="G19" s="37"/>
      <c r="H19" s="37"/>
    </row>
    <row r="20" customFormat="false" ht="19.5" hidden="false" customHeight="true" outlineLevel="0" collapsed="false">
      <c r="B20" s="35" t="n">
        <v>10</v>
      </c>
      <c r="C20" s="36" t="s">
        <v>95</v>
      </c>
      <c r="E20" s="37" t="s">
        <v>96</v>
      </c>
      <c r="F20" s="37"/>
      <c r="G20" s="37"/>
      <c r="H20" s="37"/>
    </row>
  </sheetData>
  <mergeCells count="13">
    <mergeCell ref="E4:H4"/>
    <mergeCell ref="E5:H5"/>
    <mergeCell ref="E6:H6"/>
    <mergeCell ref="E7:H7"/>
    <mergeCell ref="E8:H8"/>
    <mergeCell ref="B12:H12"/>
    <mergeCell ref="E14:H14"/>
    <mergeCell ref="E15:H15"/>
    <mergeCell ref="E16:H16"/>
    <mergeCell ref="E17:H17"/>
    <mergeCell ref="E18:H18"/>
    <mergeCell ref="E19:H19"/>
    <mergeCell ref="E20:H20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M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4"/>
    <col collapsed="false" customWidth="true" hidden="false" outlineLevel="0" max="3" min="3" style="0" width="24"/>
    <col collapsed="false" customWidth="true" hidden="false" outlineLevel="0" max="4" min="4" style="0" width="16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16"/>
    <col collapsed="false" customWidth="true" hidden="false" outlineLevel="0" max="8" min="8" style="0" width="30"/>
    <col collapsed="false" customWidth="true" hidden="false" outlineLevel="0" max="9" min="9" style="0" width="17"/>
    <col collapsed="false" customWidth="true" hidden="false" outlineLevel="0" max="11" min="10" style="0" width="16"/>
    <col collapsed="false" customWidth="true" hidden="false" outlineLevel="0" max="12" min="12" style="0" width="12"/>
    <col collapsed="false" customWidth="true" hidden="false" outlineLevel="0" max="13" min="13" style="0" width="18"/>
  </cols>
  <sheetData>
    <row r="1" customFormat="false" ht="17.35" hidden="false" customHeight="false" outlineLevel="0" collapsed="false">
      <c r="A1" s="13" t="s">
        <v>97</v>
      </c>
      <c r="C1" s="38" t="s">
        <v>98</v>
      </c>
    </row>
    <row r="2" customFormat="false" ht="33.75" hidden="false" customHeight="true" outlineLevel="0" collapsed="false">
      <c r="A2" s="18" t="s">
        <v>99</v>
      </c>
      <c r="B2" s="18" t="s">
        <v>100</v>
      </c>
      <c r="C2" s="18" t="s">
        <v>101</v>
      </c>
      <c r="D2" s="18" t="s">
        <v>102</v>
      </c>
      <c r="E2" s="18" t="s">
        <v>103</v>
      </c>
      <c r="F2" s="18" t="s">
        <v>104</v>
      </c>
      <c r="G2" s="18" t="s">
        <v>105</v>
      </c>
      <c r="H2" s="18" t="s">
        <v>106</v>
      </c>
      <c r="I2" s="18" t="s">
        <v>107</v>
      </c>
      <c r="J2" s="18" t="s">
        <v>108</v>
      </c>
      <c r="K2" s="18" t="s">
        <v>109</v>
      </c>
      <c r="L2" s="18" t="s">
        <v>110</v>
      </c>
      <c r="M2" s="18" t="s">
        <v>111</v>
      </c>
    </row>
    <row r="3" customFormat="false" ht="18" hidden="false" customHeight="true" outlineLevel="0" collapsed="false">
      <c r="A3" s="39" t="s">
        <v>112</v>
      </c>
      <c r="B3" s="40" t="s">
        <v>113</v>
      </c>
      <c r="C3" s="40" t="s">
        <v>66</v>
      </c>
      <c r="D3" s="40" t="s">
        <v>114</v>
      </c>
      <c r="E3" s="40" t="s">
        <v>115</v>
      </c>
      <c r="F3" s="40" t="s">
        <v>116</v>
      </c>
      <c r="G3" s="41" t="n">
        <f aca="false">INT(Parâmetros!$C$4)-400</f>
        <v>45834</v>
      </c>
      <c r="H3" s="40"/>
      <c r="I3" s="42" t="n">
        <v>30</v>
      </c>
      <c r="J3" s="43" t="n">
        <f aca="false">IF($A3="","",SUMPRODUCT(MAX((Inspeções!$B$3:$B$122=$A3)*Inspeções!$A$3:$A$122)))</f>
        <v>46232</v>
      </c>
      <c r="K3" s="44" t="n">
        <f aca="false">IF($A3="","",IF(OR($J3=0,$I3=""),"",$J3+$I3))</f>
        <v>46262</v>
      </c>
      <c r="L3" s="45" t="n">
        <f aca="false">IF($A3="","",IF($K3="","",$K3-INT(Parâmetros!$C$4)))</f>
        <v>28</v>
      </c>
      <c r="M3" s="46" t="str">
        <f aca="false">IF($A3="","",IF($J3=0,"Sem histórico",IF($K3="","Sem periodicidade",IF($L3&lt;0,"Atrasada",IF($L3&lt;=Parâmetros!$C$6,"Vence em breve","Em dia")))))</f>
        <v>Em dia</v>
      </c>
    </row>
    <row r="4" customFormat="false" ht="18" hidden="false" customHeight="true" outlineLevel="0" collapsed="false">
      <c r="A4" s="39" t="s">
        <v>117</v>
      </c>
      <c r="B4" s="40" t="s">
        <v>118</v>
      </c>
      <c r="C4" s="40" t="s">
        <v>66</v>
      </c>
      <c r="D4" s="40" t="s">
        <v>114</v>
      </c>
      <c r="E4" s="40" t="s">
        <v>119</v>
      </c>
      <c r="F4" s="40" t="s">
        <v>116</v>
      </c>
      <c r="G4" s="41" t="n">
        <f aca="false">INT(Parâmetros!$C$4)-400</f>
        <v>45834</v>
      </c>
      <c r="H4" s="40"/>
      <c r="I4" s="42" t="n">
        <v>30</v>
      </c>
      <c r="J4" s="43" t="n">
        <f aca="false">IF($A4="","",SUMPRODUCT(MAX((Inspeções!$B$3:$B$122=$A4)*Inspeções!$A$3:$A$122)))</f>
        <v>0</v>
      </c>
      <c r="K4" s="44" t="str">
        <f aca="false">IF($A4="","",IF(OR($J4=0,$I4=""),"",$J4+$I4))</f>
        <v/>
      </c>
      <c r="L4" s="45" t="str">
        <f aca="false">IF($A4="","",IF($K4="","",$K4-INT(Parâmetros!$C$4)))</f>
        <v/>
      </c>
      <c r="M4" s="46" t="str">
        <f aca="false">IF($A4="","",IF($J4=0,"Sem histórico",IF($K4="","Sem periodicidade",IF($L4&lt;0,"Atrasada",IF($L4&lt;=Parâmetros!$C$6,"Vence em breve","Em dia")))))</f>
        <v>Sem histórico</v>
      </c>
    </row>
    <row r="5" customFormat="false" ht="18" hidden="false" customHeight="true" outlineLevel="0" collapsed="false">
      <c r="A5" s="39" t="s">
        <v>120</v>
      </c>
      <c r="B5" s="40" t="s">
        <v>121</v>
      </c>
      <c r="C5" s="40" t="s">
        <v>75</v>
      </c>
      <c r="D5" s="40" t="s">
        <v>122</v>
      </c>
      <c r="E5" s="40" t="s">
        <v>123</v>
      </c>
      <c r="F5" s="40" t="s">
        <v>116</v>
      </c>
      <c r="G5" s="41" t="n">
        <f aca="false">INT(Parâmetros!$C$4)-400</f>
        <v>45834</v>
      </c>
      <c r="H5" s="40"/>
      <c r="I5" s="42" t="n">
        <v>60</v>
      </c>
      <c r="J5" s="43" t="n">
        <f aca="false">IF($A5="","",SUMPRODUCT(MAX((Inspeções!$B$3:$B$122=$A5)*Inspeções!$A$3:$A$122)))</f>
        <v>0</v>
      </c>
      <c r="K5" s="44" t="str">
        <f aca="false">IF($A5="","",IF(OR($J5=0,$I5=""),"",$J5+$I5))</f>
        <v/>
      </c>
      <c r="L5" s="45" t="str">
        <f aca="false">IF($A5="","",IF($K5="","",$K5-INT(Parâmetros!$C$4)))</f>
        <v/>
      </c>
      <c r="M5" s="46" t="str">
        <f aca="false">IF($A5="","",IF($J5=0,"Sem histórico",IF($K5="","Sem periodicidade",IF($L5&lt;0,"Atrasada",IF($L5&lt;=Parâmetros!$C$6,"Vence em breve","Em dia")))))</f>
        <v>Sem histórico</v>
      </c>
    </row>
    <row r="6" customFormat="false" ht="18" hidden="false" customHeight="true" outlineLevel="0" collapsed="false">
      <c r="A6" s="39" t="s">
        <v>124</v>
      </c>
      <c r="B6" s="40" t="s">
        <v>125</v>
      </c>
      <c r="C6" s="40" t="s">
        <v>75</v>
      </c>
      <c r="D6" s="40" t="s">
        <v>122</v>
      </c>
      <c r="E6" s="40" t="s">
        <v>126</v>
      </c>
      <c r="F6" s="40" t="s">
        <v>116</v>
      </c>
      <c r="G6" s="41" t="n">
        <f aca="false">INT(Parâmetros!$C$4)-400</f>
        <v>45834</v>
      </c>
      <c r="H6" s="40"/>
      <c r="I6" s="42" t="n">
        <v>60</v>
      </c>
      <c r="J6" s="43" t="n">
        <f aca="false">IF($A6="","",SUMPRODUCT(MAX((Inspeções!$B$3:$B$122=$A6)*Inspeções!$A$3:$A$122)))</f>
        <v>46228</v>
      </c>
      <c r="K6" s="44" t="n">
        <f aca="false">IF($A6="","",IF(OR($J6=0,$I6=""),"",$J6+$I6))</f>
        <v>46288</v>
      </c>
      <c r="L6" s="45" t="n">
        <f aca="false">IF($A6="","",IF($K6="","",$K6-INT(Parâmetros!$C$4)))</f>
        <v>54</v>
      </c>
      <c r="M6" s="46" t="str">
        <f aca="false">IF($A6="","",IF($J6=0,"Sem histórico",IF($K6="","Sem periodicidade",IF($L6&lt;0,"Atrasada",IF($L6&lt;=Parâmetros!$C$6,"Vence em breve","Em dia")))))</f>
        <v>Em dia</v>
      </c>
    </row>
    <row r="7" customFormat="false" ht="18" hidden="false" customHeight="true" outlineLevel="0" collapsed="false">
      <c r="A7" s="39" t="s">
        <v>127</v>
      </c>
      <c r="B7" s="40" t="s">
        <v>128</v>
      </c>
      <c r="C7" s="40" t="s">
        <v>76</v>
      </c>
      <c r="D7" s="40" t="s">
        <v>129</v>
      </c>
      <c r="E7" s="40" t="s">
        <v>123</v>
      </c>
      <c r="F7" s="40" t="s">
        <v>116</v>
      </c>
      <c r="G7" s="41" t="n">
        <f aca="false">INT(Parâmetros!$C$4)-45</f>
        <v>46189</v>
      </c>
      <c r="H7" s="40" t="s">
        <v>130</v>
      </c>
      <c r="I7" s="42" t="n">
        <v>60</v>
      </c>
      <c r="J7" s="43" t="n">
        <f aca="false">IF($A7="","",SUMPRODUCT(MAX((Inspeções!$B$3:$B$122=$A7)*Inspeções!$A$3:$A$122)))</f>
        <v>0</v>
      </c>
      <c r="K7" s="44" t="str">
        <f aca="false">IF($A7="","",IF(OR($J7=0,$I7=""),"",$J7+$I7))</f>
        <v/>
      </c>
      <c r="L7" s="45" t="str">
        <f aca="false">IF($A7="","",IF($K7="","",$K7-INT(Parâmetros!$C$4)))</f>
        <v/>
      </c>
      <c r="M7" s="46" t="str">
        <f aca="false">IF($A7="","",IF($J7=0,"Sem histórico",IF($K7="","Sem periodicidade",IF($L7&lt;0,"Atrasada",IF($L7&lt;=Parâmetros!$C$6,"Vence em breve","Em dia")))))</f>
        <v>Sem histórico</v>
      </c>
    </row>
    <row r="8" customFormat="false" ht="18" hidden="false" customHeight="true" outlineLevel="0" collapsed="false">
      <c r="A8" s="39" t="s">
        <v>131</v>
      </c>
      <c r="B8" s="40" t="s">
        <v>132</v>
      </c>
      <c r="C8" s="40" t="s">
        <v>77</v>
      </c>
      <c r="D8" s="40" t="s">
        <v>133</v>
      </c>
      <c r="E8" s="40" t="s">
        <v>134</v>
      </c>
      <c r="F8" s="40" t="s">
        <v>116</v>
      </c>
      <c r="G8" s="41" t="n">
        <f aca="false">INT(Parâmetros!$C$4)-400</f>
        <v>45834</v>
      </c>
      <c r="H8" s="40"/>
      <c r="I8" s="42" t="n">
        <v>30</v>
      </c>
      <c r="J8" s="43" t="n">
        <f aca="false">IF($A8="","",SUMPRODUCT(MAX((Inspeções!$B$3:$B$122=$A8)*Inspeções!$A$3:$A$122)))</f>
        <v>46194</v>
      </c>
      <c r="K8" s="44" t="n">
        <f aca="false">IF($A8="","",IF(OR($J8=0,$I8=""),"",$J8+$I8))</f>
        <v>46224</v>
      </c>
      <c r="L8" s="45" t="n">
        <f aca="false">IF($A8="","",IF($K8="","",$K8-INT(Parâmetros!$C$4)))</f>
        <v>-10</v>
      </c>
      <c r="M8" s="46" t="str">
        <f aca="false">IF($A8="","",IF($J8=0,"Sem histórico",IF($K8="","Sem periodicidade",IF($L8&lt;0,"Atrasada",IF($L8&lt;=Parâmetros!$C$6,"Vence em breve","Em dia")))))</f>
        <v>Atrasada</v>
      </c>
    </row>
    <row r="9" customFormat="false" ht="18" hidden="false" customHeight="true" outlineLevel="0" collapsed="false">
      <c r="A9" s="39" t="s">
        <v>135</v>
      </c>
      <c r="B9" s="40" t="s">
        <v>136</v>
      </c>
      <c r="C9" s="40" t="s">
        <v>71</v>
      </c>
      <c r="D9" s="40" t="s">
        <v>137</v>
      </c>
      <c r="E9" s="40" t="s">
        <v>138</v>
      </c>
      <c r="F9" s="40" t="s">
        <v>116</v>
      </c>
      <c r="G9" s="41" t="n">
        <f aca="false">INT(Parâmetros!$C$4)-260</f>
        <v>45974</v>
      </c>
      <c r="H9" s="40"/>
      <c r="I9" s="42" t="n">
        <v>30</v>
      </c>
      <c r="J9" s="43" t="n">
        <f aca="false">IF($A9="","",SUMPRODUCT(MAX((Inspeções!$B$3:$B$122=$A9)*Inspeções!$A$3:$A$122)))</f>
        <v>46209</v>
      </c>
      <c r="K9" s="44" t="n">
        <f aca="false">IF($A9="","",IF(OR($J9=0,$I9=""),"",$J9+$I9))</f>
        <v>46239</v>
      </c>
      <c r="L9" s="45" t="n">
        <f aca="false">IF($A9="","",IF($K9="","",$K9-INT(Parâmetros!$C$4)))</f>
        <v>5</v>
      </c>
      <c r="M9" s="46" t="str">
        <f aca="false">IF($A9="","",IF($J9=0,"Sem histórico",IF($K9="","Sem periodicidade",IF($L9&lt;0,"Atrasada",IF($L9&lt;=Parâmetros!$C$6,"Vence em breve","Em dia")))))</f>
        <v>Vence em breve</v>
      </c>
    </row>
    <row r="10" customFormat="false" ht="18" hidden="false" customHeight="true" outlineLevel="0" collapsed="false">
      <c r="A10" s="39" t="s">
        <v>139</v>
      </c>
      <c r="B10" s="40" t="s">
        <v>140</v>
      </c>
      <c r="C10" s="40" t="s">
        <v>61</v>
      </c>
      <c r="D10" s="40" t="s">
        <v>141</v>
      </c>
      <c r="E10" s="40" t="s">
        <v>138</v>
      </c>
      <c r="F10" s="40" t="s">
        <v>116</v>
      </c>
      <c r="G10" s="41" t="n">
        <f aca="false">INT(Parâmetros!$C$4)-400</f>
        <v>45834</v>
      </c>
      <c r="H10" s="40"/>
      <c r="I10" s="42" t="n">
        <v>30</v>
      </c>
      <c r="J10" s="43" t="n">
        <f aca="false">IF($A10="","",SUMPRODUCT(MAX((Inspeções!$B$3:$B$122=$A10)*Inspeções!$A$3:$A$122)))</f>
        <v>46223</v>
      </c>
      <c r="K10" s="44" t="n">
        <f aca="false">IF($A10="","",IF(OR($J10=0,$I10=""),"",$J10+$I10))</f>
        <v>46253</v>
      </c>
      <c r="L10" s="45" t="n">
        <f aca="false">IF($A10="","",IF($K10="","",$K10-INT(Parâmetros!$C$4)))</f>
        <v>19</v>
      </c>
      <c r="M10" s="46" t="str">
        <f aca="false">IF($A10="","",IF($J10=0,"Sem histórico",IF($K10="","Sem periodicidade",IF($L10&lt;0,"Atrasada",IF($L10&lt;=Parâmetros!$C$6,"Vence em breve","Em dia")))))</f>
        <v>Em dia</v>
      </c>
    </row>
    <row r="11" customFormat="false" ht="18" hidden="false" customHeight="true" outlineLevel="0" collapsed="false">
      <c r="A11" s="39" t="s">
        <v>142</v>
      </c>
      <c r="B11" s="40" t="s">
        <v>143</v>
      </c>
      <c r="C11" s="40" t="s">
        <v>79</v>
      </c>
      <c r="D11" s="40" t="s">
        <v>144</v>
      </c>
      <c r="E11" s="40" t="s">
        <v>145</v>
      </c>
      <c r="F11" s="40" t="s">
        <v>116</v>
      </c>
      <c r="G11" s="41" t="n">
        <f aca="false">INT(Parâmetros!$C$4)-400</f>
        <v>45834</v>
      </c>
      <c r="H11" s="40"/>
      <c r="I11" s="42" t="n">
        <v>90</v>
      </c>
      <c r="J11" s="43" t="n">
        <f aca="false">IF($A11="","",SUMPRODUCT(MAX((Inspeções!$B$3:$B$122=$A11)*Inspeções!$A$3:$A$122)))</f>
        <v>0</v>
      </c>
      <c r="K11" s="44" t="str">
        <f aca="false">IF($A11="","",IF(OR($J11=0,$I11=""),"",$J11+$I11))</f>
        <v/>
      </c>
      <c r="L11" s="45" t="str">
        <f aca="false">IF($A11="","",IF($K11="","",$K11-INT(Parâmetros!$C$4)))</f>
        <v/>
      </c>
      <c r="M11" s="46" t="str">
        <f aca="false">IF($A11="","",IF($J11=0,"Sem histórico",IF($K11="","Sem periodicidade",IF($L11&lt;0,"Atrasada",IF($L11&lt;=Parâmetros!$C$6,"Vence em breve","Em dia")))))</f>
        <v>Sem histórico</v>
      </c>
    </row>
    <row r="12" customFormat="false" ht="18" hidden="false" customHeight="true" outlineLevel="0" collapsed="false">
      <c r="A12" s="39" t="s">
        <v>146</v>
      </c>
      <c r="B12" s="40" t="s">
        <v>147</v>
      </c>
      <c r="C12" s="40" t="s">
        <v>81</v>
      </c>
      <c r="D12" s="40" t="s">
        <v>148</v>
      </c>
      <c r="E12" s="40" t="s">
        <v>149</v>
      </c>
      <c r="F12" s="40" t="s">
        <v>116</v>
      </c>
      <c r="G12" s="41" t="n">
        <f aca="false">INT(Parâmetros!$C$4)-400</f>
        <v>45834</v>
      </c>
      <c r="H12" s="40"/>
      <c r="I12" s="42" t="n">
        <v>90</v>
      </c>
      <c r="J12" s="43" t="n">
        <f aca="false">IF($A12="","",SUMPRODUCT(MAX((Inspeções!$B$3:$B$122=$A12)*Inspeções!$A$3:$A$122)))</f>
        <v>0</v>
      </c>
      <c r="K12" s="44" t="str">
        <f aca="false">IF($A12="","",IF(OR($J12=0,$I12=""),"",$J12+$I12))</f>
        <v/>
      </c>
      <c r="L12" s="45" t="str">
        <f aca="false">IF($A12="","",IF($K12="","",$K12-INT(Parâmetros!$C$4)))</f>
        <v/>
      </c>
      <c r="M12" s="46" t="str">
        <f aca="false">IF($A12="","",IF($J12=0,"Sem histórico",IF($K12="","Sem periodicidade",IF($L12&lt;0,"Atrasada",IF($L12&lt;=Parâmetros!$C$6,"Vence em breve","Em dia")))))</f>
        <v>Sem histórico</v>
      </c>
    </row>
    <row r="13" customFormat="false" ht="18" hidden="false" customHeight="true" outlineLevel="0" collapsed="false">
      <c r="A13" s="39"/>
      <c r="B13" s="40"/>
      <c r="C13" s="40"/>
      <c r="D13" s="40"/>
      <c r="E13" s="40"/>
      <c r="F13" s="40"/>
      <c r="G13" s="41"/>
      <c r="H13" s="40"/>
      <c r="I13" s="42"/>
      <c r="J13" s="43" t="str">
        <f aca="false">IF($A13="","",SUMPRODUCT(MAX((Inspeções!$B$3:$B$122=$A13)*Inspeções!$A$3:$A$122)))</f>
        <v/>
      </c>
      <c r="K13" s="44" t="str">
        <f aca="false">IF($A13="","",IF(OR($J13=0,$I13=""),"",$J13+$I13))</f>
        <v/>
      </c>
      <c r="L13" s="45" t="str">
        <f aca="false">IF($A13="","",IF($K13="","",$K13-INT(Parâmetros!$C$4)))</f>
        <v/>
      </c>
      <c r="M13" s="46" t="str">
        <f aca="false">IF($A13="","",IF($J13=0,"Sem histórico",IF($K13="","Sem periodicidade",IF($L13&lt;0,"Atrasada",IF($L13&lt;=Parâmetros!$C$6,"Vence em breve","Em dia")))))</f>
        <v/>
      </c>
    </row>
    <row r="14" customFormat="false" ht="18" hidden="false" customHeight="true" outlineLevel="0" collapsed="false">
      <c r="A14" s="39"/>
      <c r="B14" s="40"/>
      <c r="C14" s="40"/>
      <c r="D14" s="40"/>
      <c r="E14" s="40"/>
      <c r="F14" s="40"/>
      <c r="G14" s="41"/>
      <c r="H14" s="40"/>
      <c r="I14" s="42"/>
      <c r="J14" s="43" t="str">
        <f aca="false">IF($A14="","",SUMPRODUCT(MAX((Inspeções!$B$3:$B$122=$A14)*Inspeções!$A$3:$A$122)))</f>
        <v/>
      </c>
      <c r="K14" s="44" t="str">
        <f aca="false">IF($A14="","",IF(OR($J14=0,$I14=""),"",$J14+$I14))</f>
        <v/>
      </c>
      <c r="L14" s="45" t="str">
        <f aca="false">IF($A14="","",IF($K14="","",$K14-INT(Parâmetros!$C$4)))</f>
        <v/>
      </c>
      <c r="M14" s="46" t="str">
        <f aca="false">IF($A14="","",IF($J14=0,"Sem histórico",IF($K14="","Sem periodicidade",IF($L14&lt;0,"Atrasada",IF($L14&lt;=Parâmetros!$C$6,"Vence em breve","Em dia")))))</f>
        <v/>
      </c>
    </row>
    <row r="15" customFormat="false" ht="18" hidden="false" customHeight="true" outlineLevel="0" collapsed="false">
      <c r="A15" s="39"/>
      <c r="B15" s="40"/>
      <c r="C15" s="40"/>
      <c r="D15" s="40"/>
      <c r="E15" s="40"/>
      <c r="F15" s="40"/>
      <c r="G15" s="41"/>
      <c r="H15" s="40"/>
      <c r="I15" s="42"/>
      <c r="J15" s="43" t="str">
        <f aca="false">IF($A15="","",SUMPRODUCT(MAX((Inspeções!$B$3:$B$122=$A15)*Inspeções!$A$3:$A$122)))</f>
        <v/>
      </c>
      <c r="K15" s="44" t="str">
        <f aca="false">IF($A15="","",IF(OR($J15=0,$I15=""),"",$J15+$I15))</f>
        <v/>
      </c>
      <c r="L15" s="45" t="str">
        <f aca="false">IF($A15="","",IF($K15="","",$K15-INT(Parâmetros!$C$4)))</f>
        <v/>
      </c>
      <c r="M15" s="46" t="str">
        <f aca="false">IF($A15="","",IF($J15=0,"Sem histórico",IF($K15="","Sem periodicidade",IF($L15&lt;0,"Atrasada",IF($L15&lt;=Parâmetros!$C$6,"Vence em breve","Em dia")))))</f>
        <v/>
      </c>
    </row>
    <row r="16" customFormat="false" ht="18" hidden="false" customHeight="true" outlineLevel="0" collapsed="false">
      <c r="A16" s="39"/>
      <c r="B16" s="40"/>
      <c r="C16" s="40"/>
      <c r="D16" s="40"/>
      <c r="E16" s="40"/>
      <c r="F16" s="40"/>
      <c r="G16" s="41"/>
      <c r="H16" s="40"/>
      <c r="I16" s="42"/>
      <c r="J16" s="43" t="str">
        <f aca="false">IF($A16="","",SUMPRODUCT(MAX((Inspeções!$B$3:$B$122=$A16)*Inspeções!$A$3:$A$122)))</f>
        <v/>
      </c>
      <c r="K16" s="44" t="str">
        <f aca="false">IF($A16="","",IF(OR($J16=0,$I16=""),"",$J16+$I16))</f>
        <v/>
      </c>
      <c r="L16" s="45" t="str">
        <f aca="false">IF($A16="","",IF($K16="","",$K16-INT(Parâmetros!$C$4)))</f>
        <v/>
      </c>
      <c r="M16" s="46" t="str">
        <f aca="false">IF($A16="","",IF($J16=0,"Sem histórico",IF($K16="","Sem periodicidade",IF($L16&lt;0,"Atrasada",IF($L16&lt;=Parâmetros!$C$6,"Vence em breve","Em dia")))))</f>
        <v/>
      </c>
    </row>
    <row r="17" customFormat="false" ht="18" hidden="false" customHeight="true" outlineLevel="0" collapsed="false">
      <c r="A17" s="39"/>
      <c r="B17" s="40"/>
      <c r="C17" s="40"/>
      <c r="D17" s="40"/>
      <c r="E17" s="40"/>
      <c r="F17" s="40"/>
      <c r="G17" s="41"/>
      <c r="H17" s="40"/>
      <c r="I17" s="42"/>
      <c r="J17" s="43" t="str">
        <f aca="false">IF($A17="","",SUMPRODUCT(MAX((Inspeções!$B$3:$B$122=$A17)*Inspeções!$A$3:$A$122)))</f>
        <v/>
      </c>
      <c r="K17" s="44" t="str">
        <f aca="false">IF($A17="","",IF(OR($J17=0,$I17=""),"",$J17+$I17))</f>
        <v/>
      </c>
      <c r="L17" s="45" t="str">
        <f aca="false">IF($A17="","",IF($K17="","",$K17-INT(Parâmetros!$C$4)))</f>
        <v/>
      </c>
      <c r="M17" s="46" t="str">
        <f aca="false">IF($A17="","",IF($J17=0,"Sem histórico",IF($K17="","Sem periodicidade",IF($L17&lt;0,"Atrasada",IF($L17&lt;=Parâmetros!$C$6,"Vence em breve","Em dia")))))</f>
        <v/>
      </c>
    </row>
    <row r="18" customFormat="false" ht="18" hidden="false" customHeight="true" outlineLevel="0" collapsed="false">
      <c r="A18" s="39"/>
      <c r="B18" s="40"/>
      <c r="C18" s="40"/>
      <c r="D18" s="40"/>
      <c r="E18" s="40"/>
      <c r="F18" s="40"/>
      <c r="G18" s="41"/>
      <c r="H18" s="40"/>
      <c r="I18" s="42"/>
      <c r="J18" s="43" t="str">
        <f aca="false">IF($A18="","",SUMPRODUCT(MAX((Inspeções!$B$3:$B$122=$A18)*Inspeções!$A$3:$A$122)))</f>
        <v/>
      </c>
      <c r="K18" s="44" t="str">
        <f aca="false">IF($A18="","",IF(OR($J18=0,$I18=""),"",$J18+$I18))</f>
        <v/>
      </c>
      <c r="L18" s="45" t="str">
        <f aca="false">IF($A18="","",IF($K18="","",$K18-INT(Parâmetros!$C$4)))</f>
        <v/>
      </c>
      <c r="M18" s="46" t="str">
        <f aca="false">IF($A18="","",IF($J18=0,"Sem histórico",IF($K18="","Sem periodicidade",IF($L18&lt;0,"Atrasada",IF($L18&lt;=Parâmetros!$C$6,"Vence em breve","Em dia")))))</f>
        <v/>
      </c>
    </row>
    <row r="19" customFormat="false" ht="18" hidden="false" customHeight="true" outlineLevel="0" collapsed="false">
      <c r="A19" s="39"/>
      <c r="B19" s="40"/>
      <c r="C19" s="40"/>
      <c r="D19" s="40"/>
      <c r="E19" s="40"/>
      <c r="F19" s="40"/>
      <c r="G19" s="41"/>
      <c r="H19" s="40"/>
      <c r="I19" s="42"/>
      <c r="J19" s="43" t="str">
        <f aca="false">IF($A19="","",SUMPRODUCT(MAX((Inspeções!$B$3:$B$122=$A19)*Inspeções!$A$3:$A$122)))</f>
        <v/>
      </c>
      <c r="K19" s="44" t="str">
        <f aca="false">IF($A19="","",IF(OR($J19=0,$I19=""),"",$J19+$I19))</f>
        <v/>
      </c>
      <c r="L19" s="45" t="str">
        <f aca="false">IF($A19="","",IF($K19="","",$K19-INT(Parâmetros!$C$4)))</f>
        <v/>
      </c>
      <c r="M19" s="46" t="str">
        <f aca="false">IF($A19="","",IF($J19=0,"Sem histórico",IF($K19="","Sem periodicidade",IF($L19&lt;0,"Atrasada",IF($L19&lt;=Parâmetros!$C$6,"Vence em breve","Em dia")))))</f>
        <v/>
      </c>
    </row>
    <row r="20" customFormat="false" ht="18" hidden="false" customHeight="true" outlineLevel="0" collapsed="false">
      <c r="A20" s="39"/>
      <c r="B20" s="40"/>
      <c r="C20" s="40"/>
      <c r="D20" s="40"/>
      <c r="E20" s="40"/>
      <c r="F20" s="40"/>
      <c r="G20" s="41"/>
      <c r="H20" s="40"/>
      <c r="I20" s="42"/>
      <c r="J20" s="43" t="str">
        <f aca="false">IF($A20="","",SUMPRODUCT(MAX((Inspeções!$B$3:$B$122=$A20)*Inspeções!$A$3:$A$122)))</f>
        <v/>
      </c>
      <c r="K20" s="44" t="str">
        <f aca="false">IF($A20="","",IF(OR($J20=0,$I20=""),"",$J20+$I20))</f>
        <v/>
      </c>
      <c r="L20" s="45" t="str">
        <f aca="false">IF($A20="","",IF($K20="","",$K20-INT(Parâmetros!$C$4)))</f>
        <v/>
      </c>
      <c r="M20" s="46" t="str">
        <f aca="false">IF($A20="","",IF($J20=0,"Sem histórico",IF($K20="","Sem periodicidade",IF($L20&lt;0,"Atrasada",IF($L20&lt;=Parâmetros!$C$6,"Vence em breve","Em dia")))))</f>
        <v/>
      </c>
    </row>
    <row r="21" customFormat="false" ht="18" hidden="false" customHeight="true" outlineLevel="0" collapsed="false">
      <c r="A21" s="39"/>
      <c r="B21" s="40"/>
      <c r="C21" s="40"/>
      <c r="D21" s="40"/>
      <c r="E21" s="40"/>
      <c r="F21" s="40"/>
      <c r="G21" s="41"/>
      <c r="H21" s="40"/>
      <c r="I21" s="42"/>
      <c r="J21" s="43" t="str">
        <f aca="false">IF($A21="","",SUMPRODUCT(MAX((Inspeções!$B$3:$B$122=$A21)*Inspeções!$A$3:$A$122)))</f>
        <v/>
      </c>
      <c r="K21" s="44" t="str">
        <f aca="false">IF($A21="","",IF(OR($J21=0,$I21=""),"",$J21+$I21))</f>
        <v/>
      </c>
      <c r="L21" s="45" t="str">
        <f aca="false">IF($A21="","",IF($K21="","",$K21-INT(Parâmetros!$C$4)))</f>
        <v/>
      </c>
      <c r="M21" s="46" t="str">
        <f aca="false">IF($A21="","",IF($J21=0,"Sem histórico",IF($K21="","Sem periodicidade",IF($L21&lt;0,"Atrasada",IF($L21&lt;=Parâmetros!$C$6,"Vence em breve","Em dia")))))</f>
        <v/>
      </c>
    </row>
    <row r="22" customFormat="false" ht="18" hidden="false" customHeight="true" outlineLevel="0" collapsed="false">
      <c r="A22" s="39"/>
      <c r="B22" s="40"/>
      <c r="C22" s="40"/>
      <c r="D22" s="40"/>
      <c r="E22" s="40"/>
      <c r="F22" s="40"/>
      <c r="G22" s="41"/>
      <c r="H22" s="40"/>
      <c r="I22" s="42"/>
      <c r="J22" s="43" t="str">
        <f aca="false">IF($A22="","",SUMPRODUCT(MAX((Inspeções!$B$3:$B$122=$A22)*Inspeções!$A$3:$A$122)))</f>
        <v/>
      </c>
      <c r="K22" s="44" t="str">
        <f aca="false">IF($A22="","",IF(OR($J22=0,$I22=""),"",$J22+$I22))</f>
        <v/>
      </c>
      <c r="L22" s="45" t="str">
        <f aca="false">IF($A22="","",IF($K22="","",$K22-INT(Parâmetros!$C$4)))</f>
        <v/>
      </c>
      <c r="M22" s="46" t="str">
        <f aca="false">IF($A22="","",IF($J22=0,"Sem histórico",IF($K22="","Sem periodicidade",IF($L22&lt;0,"Atrasada",IF($L22&lt;=Parâmetros!$C$6,"Vence em breve","Em dia")))))</f>
        <v/>
      </c>
    </row>
    <row r="23" customFormat="false" ht="18" hidden="false" customHeight="true" outlineLevel="0" collapsed="false">
      <c r="A23" s="39"/>
      <c r="B23" s="40"/>
      <c r="C23" s="40"/>
      <c r="D23" s="40"/>
      <c r="E23" s="40"/>
      <c r="F23" s="40"/>
      <c r="G23" s="41"/>
      <c r="H23" s="40"/>
      <c r="I23" s="42"/>
      <c r="J23" s="43" t="str">
        <f aca="false">IF($A23="","",SUMPRODUCT(MAX((Inspeções!$B$3:$B$122=$A23)*Inspeções!$A$3:$A$122)))</f>
        <v/>
      </c>
      <c r="K23" s="44" t="str">
        <f aca="false">IF($A23="","",IF(OR($J23=0,$I23=""),"",$J23+$I23))</f>
        <v/>
      </c>
      <c r="L23" s="45" t="str">
        <f aca="false">IF($A23="","",IF($K23="","",$K23-INT(Parâmetros!$C$4)))</f>
        <v/>
      </c>
      <c r="M23" s="46" t="str">
        <f aca="false">IF($A23="","",IF($J23=0,"Sem histórico",IF($K23="","Sem periodicidade",IF($L23&lt;0,"Atrasada",IF($L23&lt;=Parâmetros!$C$6,"Vence em breve","Em dia")))))</f>
        <v/>
      </c>
    </row>
    <row r="24" customFormat="false" ht="18" hidden="false" customHeight="true" outlineLevel="0" collapsed="false">
      <c r="A24" s="39"/>
      <c r="B24" s="40"/>
      <c r="C24" s="40"/>
      <c r="D24" s="40"/>
      <c r="E24" s="40"/>
      <c r="F24" s="40"/>
      <c r="G24" s="41"/>
      <c r="H24" s="40"/>
      <c r="I24" s="42"/>
      <c r="J24" s="43" t="str">
        <f aca="false">IF($A24="","",SUMPRODUCT(MAX((Inspeções!$B$3:$B$122=$A24)*Inspeções!$A$3:$A$122)))</f>
        <v/>
      </c>
      <c r="K24" s="44" t="str">
        <f aca="false">IF($A24="","",IF(OR($J24=0,$I24=""),"",$J24+$I24))</f>
        <v/>
      </c>
      <c r="L24" s="45" t="str">
        <f aca="false">IF($A24="","",IF($K24="","",$K24-INT(Parâmetros!$C$4)))</f>
        <v/>
      </c>
      <c r="M24" s="46" t="str">
        <f aca="false">IF($A24="","",IF($J24=0,"Sem histórico",IF($K24="","Sem periodicidade",IF($L24&lt;0,"Atrasada",IF($L24&lt;=Parâmetros!$C$6,"Vence em breve","Em dia")))))</f>
        <v/>
      </c>
    </row>
    <row r="25" customFormat="false" ht="18" hidden="false" customHeight="true" outlineLevel="0" collapsed="false">
      <c r="A25" s="39"/>
      <c r="B25" s="40"/>
      <c r="C25" s="40"/>
      <c r="D25" s="40"/>
      <c r="E25" s="40"/>
      <c r="F25" s="40"/>
      <c r="G25" s="41"/>
      <c r="H25" s="40"/>
      <c r="I25" s="42"/>
      <c r="J25" s="43" t="str">
        <f aca="false">IF($A25="","",SUMPRODUCT(MAX((Inspeções!$B$3:$B$122=$A25)*Inspeções!$A$3:$A$122)))</f>
        <v/>
      </c>
      <c r="K25" s="44" t="str">
        <f aca="false">IF($A25="","",IF(OR($J25=0,$I25=""),"",$J25+$I25))</f>
        <v/>
      </c>
      <c r="L25" s="45" t="str">
        <f aca="false">IF($A25="","",IF($K25="","",$K25-INT(Parâmetros!$C$4)))</f>
        <v/>
      </c>
      <c r="M25" s="46" t="str">
        <f aca="false">IF($A25="","",IF($J25=0,"Sem histórico",IF($K25="","Sem periodicidade",IF($L25&lt;0,"Atrasada",IF($L25&lt;=Parâmetros!$C$6,"Vence em breve","Em dia")))))</f>
        <v/>
      </c>
    </row>
    <row r="26" customFormat="false" ht="18" hidden="false" customHeight="true" outlineLevel="0" collapsed="false">
      <c r="A26" s="39"/>
      <c r="B26" s="40"/>
      <c r="C26" s="40"/>
      <c r="D26" s="40"/>
      <c r="E26" s="40"/>
      <c r="F26" s="40"/>
      <c r="G26" s="41"/>
      <c r="H26" s="40"/>
      <c r="I26" s="42"/>
      <c r="J26" s="43" t="str">
        <f aca="false">IF($A26="","",SUMPRODUCT(MAX((Inspeções!$B$3:$B$122=$A26)*Inspeções!$A$3:$A$122)))</f>
        <v/>
      </c>
      <c r="K26" s="44" t="str">
        <f aca="false">IF($A26="","",IF(OR($J26=0,$I26=""),"",$J26+$I26))</f>
        <v/>
      </c>
      <c r="L26" s="45" t="str">
        <f aca="false">IF($A26="","",IF($K26="","",$K26-INT(Parâmetros!$C$4)))</f>
        <v/>
      </c>
      <c r="M26" s="46" t="str">
        <f aca="false">IF($A26="","",IF($J26=0,"Sem histórico",IF($K26="","Sem periodicidade",IF($L26&lt;0,"Atrasada",IF($L26&lt;=Parâmetros!$C$6,"Vence em breve","Em dia")))))</f>
        <v/>
      </c>
    </row>
    <row r="27" customFormat="false" ht="18" hidden="false" customHeight="true" outlineLevel="0" collapsed="false">
      <c r="A27" s="39"/>
      <c r="B27" s="40"/>
      <c r="C27" s="40"/>
      <c r="D27" s="40"/>
      <c r="E27" s="40"/>
      <c r="F27" s="40"/>
      <c r="G27" s="41"/>
      <c r="H27" s="40"/>
      <c r="I27" s="42"/>
      <c r="J27" s="43" t="str">
        <f aca="false">IF($A27="","",SUMPRODUCT(MAX((Inspeções!$B$3:$B$122=$A27)*Inspeções!$A$3:$A$122)))</f>
        <v/>
      </c>
      <c r="K27" s="44" t="str">
        <f aca="false">IF($A27="","",IF(OR($J27=0,$I27=""),"",$J27+$I27))</f>
        <v/>
      </c>
      <c r="L27" s="45" t="str">
        <f aca="false">IF($A27="","",IF($K27="","",$K27-INT(Parâmetros!$C$4)))</f>
        <v/>
      </c>
      <c r="M27" s="46" t="str">
        <f aca="false">IF($A27="","",IF($J27=0,"Sem histórico",IF($K27="","Sem periodicidade",IF($L27&lt;0,"Atrasada",IF($L27&lt;=Parâmetros!$C$6,"Vence em breve","Em dia")))))</f>
        <v/>
      </c>
    </row>
    <row r="28" customFormat="false" ht="18" hidden="false" customHeight="true" outlineLevel="0" collapsed="false">
      <c r="A28" s="39"/>
      <c r="B28" s="40"/>
      <c r="C28" s="40"/>
      <c r="D28" s="40"/>
      <c r="E28" s="40"/>
      <c r="F28" s="40"/>
      <c r="G28" s="41"/>
      <c r="H28" s="40"/>
      <c r="I28" s="42"/>
      <c r="J28" s="43" t="str">
        <f aca="false">IF($A28="","",SUMPRODUCT(MAX((Inspeções!$B$3:$B$122=$A28)*Inspeções!$A$3:$A$122)))</f>
        <v/>
      </c>
      <c r="K28" s="44" t="str">
        <f aca="false">IF($A28="","",IF(OR($J28=0,$I28=""),"",$J28+$I28))</f>
        <v/>
      </c>
      <c r="L28" s="45" t="str">
        <f aca="false">IF($A28="","",IF($K28="","",$K28-INT(Parâmetros!$C$4)))</f>
        <v/>
      </c>
      <c r="M28" s="46" t="str">
        <f aca="false">IF($A28="","",IF($J28=0,"Sem histórico",IF($K28="","Sem periodicidade",IF($L28&lt;0,"Atrasada",IF($L28&lt;=Parâmetros!$C$6,"Vence em breve","Em dia")))))</f>
        <v/>
      </c>
    </row>
    <row r="29" customFormat="false" ht="18" hidden="false" customHeight="true" outlineLevel="0" collapsed="false">
      <c r="A29" s="39"/>
      <c r="B29" s="40"/>
      <c r="C29" s="40"/>
      <c r="D29" s="40"/>
      <c r="E29" s="40"/>
      <c r="F29" s="40"/>
      <c r="G29" s="41"/>
      <c r="H29" s="40"/>
      <c r="I29" s="42"/>
      <c r="J29" s="43" t="str">
        <f aca="false">IF($A29="","",SUMPRODUCT(MAX((Inspeções!$B$3:$B$122=$A29)*Inspeções!$A$3:$A$122)))</f>
        <v/>
      </c>
      <c r="K29" s="44" t="str">
        <f aca="false">IF($A29="","",IF(OR($J29=0,$I29=""),"",$J29+$I29))</f>
        <v/>
      </c>
      <c r="L29" s="45" t="str">
        <f aca="false">IF($A29="","",IF($K29="","",$K29-INT(Parâmetros!$C$4)))</f>
        <v/>
      </c>
      <c r="M29" s="46" t="str">
        <f aca="false">IF($A29="","",IF($J29=0,"Sem histórico",IF($K29="","Sem periodicidade",IF($L29&lt;0,"Atrasada",IF($L29&lt;=Parâmetros!$C$6,"Vence em breve","Em dia")))))</f>
        <v/>
      </c>
    </row>
    <row r="30" customFormat="false" ht="18" hidden="false" customHeight="true" outlineLevel="0" collapsed="false">
      <c r="A30" s="39"/>
      <c r="B30" s="40"/>
      <c r="C30" s="40"/>
      <c r="D30" s="40"/>
      <c r="E30" s="40"/>
      <c r="F30" s="40"/>
      <c r="G30" s="41"/>
      <c r="H30" s="40"/>
      <c r="I30" s="42"/>
      <c r="J30" s="43" t="str">
        <f aca="false">IF($A30="","",SUMPRODUCT(MAX((Inspeções!$B$3:$B$122=$A30)*Inspeções!$A$3:$A$122)))</f>
        <v/>
      </c>
      <c r="K30" s="44" t="str">
        <f aca="false">IF($A30="","",IF(OR($J30=0,$I30=""),"",$J30+$I30))</f>
        <v/>
      </c>
      <c r="L30" s="45" t="str">
        <f aca="false">IF($A30="","",IF($K30="","",$K30-INT(Parâmetros!$C$4)))</f>
        <v/>
      </c>
      <c r="M30" s="46" t="str">
        <f aca="false">IF($A30="","",IF($J30=0,"Sem histórico",IF($K30="","Sem periodicidade",IF($L30&lt;0,"Atrasada",IF($L30&lt;=Parâmetros!$C$6,"Vence em breve","Em dia")))))</f>
        <v/>
      </c>
    </row>
    <row r="31" customFormat="false" ht="18" hidden="false" customHeight="true" outlineLevel="0" collapsed="false">
      <c r="A31" s="39"/>
      <c r="B31" s="40"/>
      <c r="C31" s="40"/>
      <c r="D31" s="40"/>
      <c r="E31" s="40"/>
      <c r="F31" s="40"/>
      <c r="G31" s="41"/>
      <c r="H31" s="40"/>
      <c r="I31" s="42"/>
      <c r="J31" s="43" t="str">
        <f aca="false">IF($A31="","",SUMPRODUCT(MAX((Inspeções!$B$3:$B$122=$A31)*Inspeções!$A$3:$A$122)))</f>
        <v/>
      </c>
      <c r="K31" s="44" t="str">
        <f aca="false">IF($A31="","",IF(OR($J31=0,$I31=""),"",$J31+$I31))</f>
        <v/>
      </c>
      <c r="L31" s="45" t="str">
        <f aca="false">IF($A31="","",IF($K31="","",$K31-INT(Parâmetros!$C$4)))</f>
        <v/>
      </c>
      <c r="M31" s="46" t="str">
        <f aca="false">IF($A31="","",IF($J31=0,"Sem histórico",IF($K31="","Sem periodicidade",IF($L31&lt;0,"Atrasada",IF($L31&lt;=Parâmetros!$C$6,"Vence em breve","Em dia")))))</f>
        <v/>
      </c>
    </row>
    <row r="32" customFormat="false" ht="18" hidden="false" customHeight="true" outlineLevel="0" collapsed="false">
      <c r="A32" s="39"/>
      <c r="B32" s="40"/>
      <c r="C32" s="40"/>
      <c r="D32" s="40"/>
      <c r="E32" s="40"/>
      <c r="F32" s="40"/>
      <c r="G32" s="41"/>
      <c r="H32" s="40"/>
      <c r="I32" s="42"/>
      <c r="J32" s="43" t="str">
        <f aca="false">IF($A32="","",SUMPRODUCT(MAX((Inspeções!$B$3:$B$122=$A32)*Inspeções!$A$3:$A$122)))</f>
        <v/>
      </c>
      <c r="K32" s="44" t="str">
        <f aca="false">IF($A32="","",IF(OR($J32=0,$I32=""),"",$J32+$I32))</f>
        <v/>
      </c>
      <c r="L32" s="45" t="str">
        <f aca="false">IF($A32="","",IF($K32="","",$K32-INT(Parâmetros!$C$4)))</f>
        <v/>
      </c>
      <c r="M32" s="46" t="str">
        <f aca="false">IF($A32="","",IF($J32=0,"Sem histórico",IF($K32="","Sem periodicidade",IF($L32&lt;0,"Atrasada",IF($L32&lt;=Parâmetros!$C$6,"Vence em breve","Em dia")))))</f>
        <v/>
      </c>
    </row>
    <row r="33" customFormat="false" ht="18" hidden="false" customHeight="true" outlineLevel="0" collapsed="false">
      <c r="A33" s="39"/>
      <c r="B33" s="40"/>
      <c r="C33" s="40"/>
      <c r="D33" s="40"/>
      <c r="E33" s="40"/>
      <c r="F33" s="40"/>
      <c r="G33" s="41"/>
      <c r="H33" s="40"/>
      <c r="I33" s="42"/>
      <c r="J33" s="43" t="str">
        <f aca="false">IF($A33="","",SUMPRODUCT(MAX((Inspeções!$B$3:$B$122=$A33)*Inspeções!$A$3:$A$122)))</f>
        <v/>
      </c>
      <c r="K33" s="44" t="str">
        <f aca="false">IF($A33="","",IF(OR($J33=0,$I33=""),"",$J33+$I33))</f>
        <v/>
      </c>
      <c r="L33" s="45" t="str">
        <f aca="false">IF($A33="","",IF($K33="","",$K33-INT(Parâmetros!$C$4)))</f>
        <v/>
      </c>
      <c r="M33" s="46" t="str">
        <f aca="false">IF($A33="","",IF($J33=0,"Sem histórico",IF($K33="","Sem periodicidade",IF($L33&lt;0,"Atrasada",IF($L33&lt;=Parâmetros!$C$6,"Vence em breve","Em dia")))))</f>
        <v/>
      </c>
    </row>
    <row r="34" customFormat="false" ht="18" hidden="false" customHeight="true" outlineLevel="0" collapsed="false">
      <c r="A34" s="39"/>
      <c r="B34" s="40"/>
      <c r="C34" s="40"/>
      <c r="D34" s="40"/>
      <c r="E34" s="40"/>
      <c r="F34" s="40"/>
      <c r="G34" s="41"/>
      <c r="H34" s="40"/>
      <c r="I34" s="42"/>
      <c r="J34" s="43" t="str">
        <f aca="false">IF($A34="","",SUMPRODUCT(MAX((Inspeções!$B$3:$B$122=$A34)*Inspeções!$A$3:$A$122)))</f>
        <v/>
      </c>
      <c r="K34" s="44" t="str">
        <f aca="false">IF($A34="","",IF(OR($J34=0,$I34=""),"",$J34+$I34))</f>
        <v/>
      </c>
      <c r="L34" s="45" t="str">
        <f aca="false">IF($A34="","",IF($K34="","",$K34-INT(Parâmetros!$C$4)))</f>
        <v/>
      </c>
      <c r="M34" s="46" t="str">
        <f aca="false">IF($A34="","",IF($J34=0,"Sem histórico",IF($K34="","Sem periodicidade",IF($L34&lt;0,"Atrasada",IF($L34&lt;=Parâmetros!$C$6,"Vence em breve","Em dia")))))</f>
        <v/>
      </c>
    </row>
    <row r="35" customFormat="false" ht="18" hidden="false" customHeight="true" outlineLevel="0" collapsed="false">
      <c r="A35" s="39"/>
      <c r="B35" s="40"/>
      <c r="C35" s="40"/>
      <c r="D35" s="40"/>
      <c r="E35" s="40"/>
      <c r="F35" s="40"/>
      <c r="G35" s="41"/>
      <c r="H35" s="40"/>
      <c r="I35" s="42"/>
      <c r="J35" s="43" t="str">
        <f aca="false">IF($A35="","",SUMPRODUCT(MAX((Inspeções!$B$3:$B$122=$A35)*Inspeções!$A$3:$A$122)))</f>
        <v/>
      </c>
      <c r="K35" s="44" t="str">
        <f aca="false">IF($A35="","",IF(OR($J35=0,$I35=""),"",$J35+$I35))</f>
        <v/>
      </c>
      <c r="L35" s="45" t="str">
        <f aca="false">IF($A35="","",IF($K35="","",$K35-INT(Parâmetros!$C$4)))</f>
        <v/>
      </c>
      <c r="M35" s="46" t="str">
        <f aca="false">IF($A35="","",IF($J35=0,"Sem histórico",IF($K35="","Sem periodicidade",IF($L35&lt;0,"Atrasada",IF($L35&lt;=Parâmetros!$C$6,"Vence em breve","Em dia")))))</f>
        <v/>
      </c>
    </row>
    <row r="36" customFormat="false" ht="18" hidden="false" customHeight="true" outlineLevel="0" collapsed="false">
      <c r="A36" s="39"/>
      <c r="B36" s="40"/>
      <c r="C36" s="40"/>
      <c r="D36" s="40"/>
      <c r="E36" s="40"/>
      <c r="F36" s="40"/>
      <c r="G36" s="41"/>
      <c r="H36" s="40"/>
      <c r="I36" s="42"/>
      <c r="J36" s="43" t="str">
        <f aca="false">IF($A36="","",SUMPRODUCT(MAX((Inspeções!$B$3:$B$122=$A36)*Inspeções!$A$3:$A$122)))</f>
        <v/>
      </c>
      <c r="K36" s="44" t="str">
        <f aca="false">IF($A36="","",IF(OR($J36=0,$I36=""),"",$J36+$I36))</f>
        <v/>
      </c>
      <c r="L36" s="45" t="str">
        <f aca="false">IF($A36="","",IF($K36="","",$K36-INT(Parâmetros!$C$4)))</f>
        <v/>
      </c>
      <c r="M36" s="46" t="str">
        <f aca="false">IF($A36="","",IF($J36=0,"Sem histórico",IF($K36="","Sem periodicidade",IF($L36&lt;0,"Atrasada",IF($L36&lt;=Parâmetros!$C$6,"Vence em breve","Em dia")))))</f>
        <v/>
      </c>
    </row>
    <row r="37" customFormat="false" ht="18" hidden="false" customHeight="true" outlineLevel="0" collapsed="false">
      <c r="A37" s="39"/>
      <c r="B37" s="40"/>
      <c r="C37" s="40"/>
      <c r="D37" s="40"/>
      <c r="E37" s="40"/>
      <c r="F37" s="40"/>
      <c r="G37" s="41"/>
      <c r="H37" s="40"/>
      <c r="I37" s="42"/>
      <c r="J37" s="43" t="str">
        <f aca="false">IF($A37="","",SUMPRODUCT(MAX((Inspeções!$B$3:$B$122=$A37)*Inspeções!$A$3:$A$122)))</f>
        <v/>
      </c>
      <c r="K37" s="44" t="str">
        <f aca="false">IF($A37="","",IF(OR($J37=0,$I37=""),"",$J37+$I37))</f>
        <v/>
      </c>
      <c r="L37" s="45" t="str">
        <f aca="false">IF($A37="","",IF($K37="","",$K37-INT(Parâmetros!$C$4)))</f>
        <v/>
      </c>
      <c r="M37" s="46" t="str">
        <f aca="false">IF($A37="","",IF($J37=0,"Sem histórico",IF($K37="","Sem periodicidade",IF($L37&lt;0,"Atrasada",IF($L37&lt;=Parâmetros!$C$6,"Vence em breve","Em dia")))))</f>
        <v/>
      </c>
    </row>
    <row r="38" customFormat="false" ht="18" hidden="false" customHeight="true" outlineLevel="0" collapsed="false">
      <c r="A38" s="39"/>
      <c r="B38" s="40"/>
      <c r="C38" s="40"/>
      <c r="D38" s="40"/>
      <c r="E38" s="40"/>
      <c r="F38" s="40"/>
      <c r="G38" s="41"/>
      <c r="H38" s="40"/>
      <c r="I38" s="42"/>
      <c r="J38" s="43" t="str">
        <f aca="false">IF($A38="","",SUMPRODUCT(MAX((Inspeções!$B$3:$B$122=$A38)*Inspeções!$A$3:$A$122)))</f>
        <v/>
      </c>
      <c r="K38" s="44" t="str">
        <f aca="false">IF($A38="","",IF(OR($J38=0,$I38=""),"",$J38+$I38))</f>
        <v/>
      </c>
      <c r="L38" s="45" t="str">
        <f aca="false">IF($A38="","",IF($K38="","",$K38-INT(Parâmetros!$C$4)))</f>
        <v/>
      </c>
      <c r="M38" s="46" t="str">
        <f aca="false">IF($A38="","",IF($J38=0,"Sem histórico",IF($K38="","Sem periodicidade",IF($L38&lt;0,"Atrasada",IF($L38&lt;=Parâmetros!$C$6,"Vence em breve","Em dia")))))</f>
        <v/>
      </c>
    </row>
    <row r="39" customFormat="false" ht="18" hidden="false" customHeight="true" outlineLevel="0" collapsed="false">
      <c r="A39" s="39"/>
      <c r="B39" s="40"/>
      <c r="C39" s="40"/>
      <c r="D39" s="40"/>
      <c r="E39" s="40"/>
      <c r="F39" s="40"/>
      <c r="G39" s="41"/>
      <c r="H39" s="40"/>
      <c r="I39" s="42"/>
      <c r="J39" s="43" t="str">
        <f aca="false">IF($A39="","",SUMPRODUCT(MAX((Inspeções!$B$3:$B$122=$A39)*Inspeções!$A$3:$A$122)))</f>
        <v/>
      </c>
      <c r="K39" s="44" t="str">
        <f aca="false">IF($A39="","",IF(OR($J39=0,$I39=""),"",$J39+$I39))</f>
        <v/>
      </c>
      <c r="L39" s="45" t="str">
        <f aca="false">IF($A39="","",IF($K39="","",$K39-INT(Parâmetros!$C$4)))</f>
        <v/>
      </c>
      <c r="M39" s="46" t="str">
        <f aca="false">IF($A39="","",IF($J39=0,"Sem histórico",IF($K39="","Sem periodicidade",IF($L39&lt;0,"Atrasada",IF($L39&lt;=Parâmetros!$C$6,"Vence em breve","Em dia")))))</f>
        <v/>
      </c>
    </row>
    <row r="40" customFormat="false" ht="18" hidden="false" customHeight="true" outlineLevel="0" collapsed="false">
      <c r="A40" s="39"/>
      <c r="B40" s="40"/>
      <c r="C40" s="40"/>
      <c r="D40" s="40"/>
      <c r="E40" s="40"/>
      <c r="F40" s="40"/>
      <c r="G40" s="41"/>
      <c r="H40" s="40"/>
      <c r="I40" s="42"/>
      <c r="J40" s="43" t="str">
        <f aca="false">IF($A40="","",SUMPRODUCT(MAX((Inspeções!$B$3:$B$122=$A40)*Inspeções!$A$3:$A$122)))</f>
        <v/>
      </c>
      <c r="K40" s="44" t="str">
        <f aca="false">IF($A40="","",IF(OR($J40=0,$I40=""),"",$J40+$I40))</f>
        <v/>
      </c>
      <c r="L40" s="45" t="str">
        <f aca="false">IF($A40="","",IF($K40="","",$K40-INT(Parâmetros!$C$4)))</f>
        <v/>
      </c>
      <c r="M40" s="46" t="str">
        <f aca="false">IF($A40="","",IF($J40=0,"Sem histórico",IF($K40="","Sem periodicidade",IF($L40&lt;0,"Atrasada",IF($L40&lt;=Parâmetros!$C$6,"Vence em breve","Em dia")))))</f>
        <v/>
      </c>
    </row>
    <row r="41" customFormat="false" ht="18" hidden="false" customHeight="true" outlineLevel="0" collapsed="false">
      <c r="A41" s="39"/>
      <c r="B41" s="40"/>
      <c r="C41" s="40"/>
      <c r="D41" s="40"/>
      <c r="E41" s="40"/>
      <c r="F41" s="40"/>
      <c r="G41" s="41"/>
      <c r="H41" s="40"/>
      <c r="I41" s="42"/>
      <c r="J41" s="43" t="str">
        <f aca="false">IF($A41="","",SUMPRODUCT(MAX((Inspeções!$B$3:$B$122=$A41)*Inspeções!$A$3:$A$122)))</f>
        <v/>
      </c>
      <c r="K41" s="44" t="str">
        <f aca="false">IF($A41="","",IF(OR($J41=0,$I41=""),"",$J41+$I41))</f>
        <v/>
      </c>
      <c r="L41" s="45" t="str">
        <f aca="false">IF($A41="","",IF($K41="","",$K41-INT(Parâmetros!$C$4)))</f>
        <v/>
      </c>
      <c r="M41" s="46" t="str">
        <f aca="false">IF($A41="","",IF($J41=0,"Sem histórico",IF($K41="","Sem periodicidade",IF($L41&lt;0,"Atrasada",IF($L41&lt;=Parâmetros!$C$6,"Vence em breve","Em dia")))))</f>
        <v/>
      </c>
    </row>
    <row r="42" customFormat="false" ht="18" hidden="false" customHeight="true" outlineLevel="0" collapsed="false">
      <c r="A42" s="39"/>
      <c r="B42" s="40"/>
      <c r="C42" s="40"/>
      <c r="D42" s="40"/>
      <c r="E42" s="40"/>
      <c r="F42" s="40"/>
      <c r="G42" s="41"/>
      <c r="H42" s="40"/>
      <c r="I42" s="42"/>
      <c r="J42" s="43" t="str">
        <f aca="false">IF($A42="","",SUMPRODUCT(MAX((Inspeções!$B$3:$B$122=$A42)*Inspeções!$A$3:$A$122)))</f>
        <v/>
      </c>
      <c r="K42" s="44" t="str">
        <f aca="false">IF($A42="","",IF(OR($J42=0,$I42=""),"",$J42+$I42))</f>
        <v/>
      </c>
      <c r="L42" s="45" t="str">
        <f aca="false">IF($A42="","",IF($K42="","",$K42-INT(Parâmetros!$C$4)))</f>
        <v/>
      </c>
      <c r="M42" s="46" t="str">
        <f aca="false">IF($A42="","",IF($J42=0,"Sem histórico",IF($K42="","Sem periodicidade",IF($L42&lt;0,"Atrasada",IF($L42&lt;=Parâmetros!$C$6,"Vence em breve","Em dia")))))</f>
        <v/>
      </c>
    </row>
    <row r="43" customFormat="false" ht="18" hidden="false" customHeight="true" outlineLevel="0" collapsed="false">
      <c r="A43" s="39"/>
      <c r="B43" s="40"/>
      <c r="C43" s="40"/>
      <c r="D43" s="40"/>
      <c r="E43" s="40"/>
      <c r="F43" s="40"/>
      <c r="G43" s="41"/>
      <c r="H43" s="40"/>
      <c r="I43" s="42"/>
      <c r="J43" s="43" t="str">
        <f aca="false">IF($A43="","",SUMPRODUCT(MAX((Inspeções!$B$3:$B$122=$A43)*Inspeções!$A$3:$A$122)))</f>
        <v/>
      </c>
      <c r="K43" s="44" t="str">
        <f aca="false">IF($A43="","",IF(OR($J43=0,$I43=""),"",$J43+$I43))</f>
        <v/>
      </c>
      <c r="L43" s="45" t="str">
        <f aca="false">IF($A43="","",IF($K43="","",$K43-INT(Parâmetros!$C$4)))</f>
        <v/>
      </c>
      <c r="M43" s="46" t="str">
        <f aca="false">IF($A43="","",IF($J43=0,"Sem histórico",IF($K43="","Sem periodicidade",IF($L43&lt;0,"Atrasada",IF($L43&lt;=Parâmetros!$C$6,"Vence em breve","Em dia")))))</f>
        <v/>
      </c>
    </row>
    <row r="44" customFormat="false" ht="18" hidden="false" customHeight="true" outlineLevel="0" collapsed="false">
      <c r="A44" s="39"/>
      <c r="B44" s="40"/>
      <c r="C44" s="40"/>
      <c r="D44" s="40"/>
      <c r="E44" s="40"/>
      <c r="F44" s="40"/>
      <c r="G44" s="41"/>
      <c r="H44" s="40"/>
      <c r="I44" s="42"/>
      <c r="J44" s="43" t="str">
        <f aca="false">IF($A44="","",SUMPRODUCT(MAX((Inspeções!$B$3:$B$122=$A44)*Inspeções!$A$3:$A$122)))</f>
        <v/>
      </c>
      <c r="K44" s="44" t="str">
        <f aca="false">IF($A44="","",IF(OR($J44=0,$I44=""),"",$J44+$I44))</f>
        <v/>
      </c>
      <c r="L44" s="45" t="str">
        <f aca="false">IF($A44="","",IF($K44="","",$K44-INT(Parâmetros!$C$4)))</f>
        <v/>
      </c>
      <c r="M44" s="46" t="str">
        <f aca="false">IF($A44="","",IF($J44=0,"Sem histórico",IF($K44="","Sem periodicidade",IF($L44&lt;0,"Atrasada",IF($L44&lt;=Parâmetros!$C$6,"Vence em breve","Em dia")))))</f>
        <v/>
      </c>
    </row>
    <row r="45" customFormat="false" ht="18" hidden="false" customHeight="true" outlineLevel="0" collapsed="false">
      <c r="A45" s="39"/>
      <c r="B45" s="40"/>
      <c r="C45" s="40"/>
      <c r="D45" s="40"/>
      <c r="E45" s="40"/>
      <c r="F45" s="40"/>
      <c r="G45" s="41"/>
      <c r="H45" s="40"/>
      <c r="I45" s="42"/>
      <c r="J45" s="43" t="str">
        <f aca="false">IF($A45="","",SUMPRODUCT(MAX((Inspeções!$B$3:$B$122=$A45)*Inspeções!$A$3:$A$122)))</f>
        <v/>
      </c>
      <c r="K45" s="44" t="str">
        <f aca="false">IF($A45="","",IF(OR($J45=0,$I45=""),"",$J45+$I45))</f>
        <v/>
      </c>
      <c r="L45" s="45" t="str">
        <f aca="false">IF($A45="","",IF($K45="","",$K45-INT(Parâmetros!$C$4)))</f>
        <v/>
      </c>
      <c r="M45" s="46" t="str">
        <f aca="false">IF($A45="","",IF($J45=0,"Sem histórico",IF($K45="","Sem periodicidade",IF($L45&lt;0,"Atrasada",IF($L45&lt;=Parâmetros!$C$6,"Vence em breve","Em dia")))))</f>
        <v/>
      </c>
    </row>
    <row r="46" customFormat="false" ht="18" hidden="false" customHeight="true" outlineLevel="0" collapsed="false">
      <c r="A46" s="39"/>
      <c r="B46" s="40"/>
      <c r="C46" s="40"/>
      <c r="D46" s="40"/>
      <c r="E46" s="40"/>
      <c r="F46" s="40"/>
      <c r="G46" s="41"/>
      <c r="H46" s="40"/>
      <c r="I46" s="42"/>
      <c r="J46" s="43" t="str">
        <f aca="false">IF($A46="","",SUMPRODUCT(MAX((Inspeções!$B$3:$B$122=$A46)*Inspeções!$A$3:$A$122)))</f>
        <v/>
      </c>
      <c r="K46" s="44" t="str">
        <f aca="false">IF($A46="","",IF(OR($J46=0,$I46=""),"",$J46+$I46))</f>
        <v/>
      </c>
      <c r="L46" s="45" t="str">
        <f aca="false">IF($A46="","",IF($K46="","",$K46-INT(Parâmetros!$C$4)))</f>
        <v/>
      </c>
      <c r="M46" s="46" t="str">
        <f aca="false">IF($A46="","",IF($J46=0,"Sem histórico",IF($K46="","Sem periodicidade",IF($L46&lt;0,"Atrasada",IF($L46&lt;=Parâmetros!$C$6,"Vence em breve","Em dia")))))</f>
        <v/>
      </c>
    </row>
    <row r="47" customFormat="false" ht="18" hidden="false" customHeight="true" outlineLevel="0" collapsed="false">
      <c r="A47" s="39"/>
      <c r="B47" s="40"/>
      <c r="C47" s="40"/>
      <c r="D47" s="40"/>
      <c r="E47" s="40"/>
      <c r="F47" s="40"/>
      <c r="G47" s="41"/>
      <c r="H47" s="40"/>
      <c r="I47" s="42"/>
      <c r="J47" s="43" t="str">
        <f aca="false">IF($A47="","",SUMPRODUCT(MAX((Inspeções!$B$3:$B$122=$A47)*Inspeções!$A$3:$A$122)))</f>
        <v/>
      </c>
      <c r="K47" s="44" t="str">
        <f aca="false">IF($A47="","",IF(OR($J47=0,$I47=""),"",$J47+$I47))</f>
        <v/>
      </c>
      <c r="L47" s="45" t="str">
        <f aca="false">IF($A47="","",IF($K47="","",$K47-INT(Parâmetros!$C$4)))</f>
        <v/>
      </c>
      <c r="M47" s="46" t="str">
        <f aca="false">IF($A47="","",IF($J47=0,"Sem histórico",IF($K47="","Sem periodicidade",IF($L47&lt;0,"Atrasada",IF($L47&lt;=Parâmetros!$C$6,"Vence em breve","Em dia")))))</f>
        <v/>
      </c>
    </row>
    <row r="48" customFormat="false" ht="18" hidden="false" customHeight="true" outlineLevel="0" collapsed="false">
      <c r="A48" s="39"/>
      <c r="B48" s="40"/>
      <c r="C48" s="40"/>
      <c r="D48" s="40"/>
      <c r="E48" s="40"/>
      <c r="F48" s="40"/>
      <c r="G48" s="41"/>
      <c r="H48" s="40"/>
      <c r="I48" s="42"/>
      <c r="J48" s="43" t="str">
        <f aca="false">IF($A48="","",SUMPRODUCT(MAX((Inspeções!$B$3:$B$122=$A48)*Inspeções!$A$3:$A$122)))</f>
        <v/>
      </c>
      <c r="K48" s="44" t="str">
        <f aca="false">IF($A48="","",IF(OR($J48=0,$I48=""),"",$J48+$I48))</f>
        <v/>
      </c>
      <c r="L48" s="45" t="str">
        <f aca="false">IF($A48="","",IF($K48="","",$K48-INT(Parâmetros!$C$4)))</f>
        <v/>
      </c>
      <c r="M48" s="46" t="str">
        <f aca="false">IF($A48="","",IF($J48=0,"Sem histórico",IF($K48="","Sem periodicidade",IF($L48&lt;0,"Atrasada",IF($L48&lt;=Parâmetros!$C$6,"Vence em breve","Em dia")))))</f>
        <v/>
      </c>
    </row>
    <row r="49" customFormat="false" ht="18" hidden="false" customHeight="true" outlineLevel="0" collapsed="false">
      <c r="A49" s="39"/>
      <c r="B49" s="40"/>
      <c r="C49" s="40"/>
      <c r="D49" s="40"/>
      <c r="E49" s="40"/>
      <c r="F49" s="40"/>
      <c r="G49" s="41"/>
      <c r="H49" s="40"/>
      <c r="I49" s="42"/>
      <c r="J49" s="43" t="str">
        <f aca="false">IF($A49="","",SUMPRODUCT(MAX((Inspeções!$B$3:$B$122=$A49)*Inspeções!$A$3:$A$122)))</f>
        <v/>
      </c>
      <c r="K49" s="44" t="str">
        <f aca="false">IF($A49="","",IF(OR($J49=0,$I49=""),"",$J49+$I49))</f>
        <v/>
      </c>
      <c r="L49" s="45" t="str">
        <f aca="false">IF($A49="","",IF($K49="","",$K49-INT(Parâmetros!$C$4)))</f>
        <v/>
      </c>
      <c r="M49" s="46" t="str">
        <f aca="false">IF($A49="","",IF($J49=0,"Sem histórico",IF($K49="","Sem periodicidade",IF($L49&lt;0,"Atrasada",IF($L49&lt;=Parâmetros!$C$6,"Vence em breve","Em dia")))))</f>
        <v/>
      </c>
    </row>
    <row r="50" customFormat="false" ht="18" hidden="false" customHeight="true" outlineLevel="0" collapsed="false">
      <c r="A50" s="39"/>
      <c r="B50" s="40"/>
      <c r="C50" s="40"/>
      <c r="D50" s="40"/>
      <c r="E50" s="40"/>
      <c r="F50" s="40"/>
      <c r="G50" s="41"/>
      <c r="H50" s="40"/>
      <c r="I50" s="42"/>
      <c r="J50" s="43" t="str">
        <f aca="false">IF($A50="","",SUMPRODUCT(MAX((Inspeções!$B$3:$B$122=$A50)*Inspeções!$A$3:$A$122)))</f>
        <v/>
      </c>
      <c r="K50" s="44" t="str">
        <f aca="false">IF($A50="","",IF(OR($J50=0,$I50=""),"",$J50+$I50))</f>
        <v/>
      </c>
      <c r="L50" s="45" t="str">
        <f aca="false">IF($A50="","",IF($K50="","",$K50-INT(Parâmetros!$C$4)))</f>
        <v/>
      </c>
      <c r="M50" s="46" t="str">
        <f aca="false">IF($A50="","",IF($J50=0,"Sem histórico",IF($K50="","Sem periodicidade",IF($L50&lt;0,"Atrasada",IF($L50&lt;=Parâmetros!$C$6,"Vence em breve","Em dia")))))</f>
        <v/>
      </c>
    </row>
    <row r="51" customFormat="false" ht="18" hidden="false" customHeight="true" outlineLevel="0" collapsed="false">
      <c r="A51" s="39"/>
      <c r="B51" s="40"/>
      <c r="C51" s="40"/>
      <c r="D51" s="40"/>
      <c r="E51" s="40"/>
      <c r="F51" s="40"/>
      <c r="G51" s="41"/>
      <c r="H51" s="40"/>
      <c r="I51" s="42"/>
      <c r="J51" s="43" t="str">
        <f aca="false">IF($A51="","",SUMPRODUCT(MAX((Inspeções!$B$3:$B$122=$A51)*Inspeções!$A$3:$A$122)))</f>
        <v/>
      </c>
      <c r="K51" s="44" t="str">
        <f aca="false">IF($A51="","",IF(OR($J51=0,$I51=""),"",$J51+$I51))</f>
        <v/>
      </c>
      <c r="L51" s="45" t="str">
        <f aca="false">IF($A51="","",IF($K51="","",$K51-INT(Parâmetros!$C$4)))</f>
        <v/>
      </c>
      <c r="M51" s="46" t="str">
        <f aca="false">IF($A51="","",IF($J51=0,"Sem histórico",IF($K51="","Sem periodicidade",IF($L51&lt;0,"Atrasada",IF($L51&lt;=Parâmetros!$C$6,"Vence em breve","Em dia")))))</f>
        <v/>
      </c>
    </row>
    <row r="52" customFormat="false" ht="18" hidden="false" customHeight="true" outlineLevel="0" collapsed="false">
      <c r="A52" s="39"/>
      <c r="B52" s="40"/>
      <c r="C52" s="40"/>
      <c r="D52" s="40"/>
      <c r="E52" s="40"/>
      <c r="F52" s="40"/>
      <c r="G52" s="41"/>
      <c r="H52" s="40"/>
      <c r="I52" s="42"/>
      <c r="J52" s="43" t="str">
        <f aca="false">IF($A52="","",SUMPRODUCT(MAX((Inspeções!$B$3:$B$122=$A52)*Inspeções!$A$3:$A$122)))</f>
        <v/>
      </c>
      <c r="K52" s="44" t="str">
        <f aca="false">IF($A52="","",IF(OR($J52=0,$I52=""),"",$J52+$I52))</f>
        <v/>
      </c>
      <c r="L52" s="45" t="str">
        <f aca="false">IF($A52="","",IF($K52="","",$K52-INT(Parâmetros!$C$4)))</f>
        <v/>
      </c>
      <c r="M52" s="46" t="str">
        <f aca="false">IF($A52="","",IF($J52=0,"Sem histórico",IF($K52="","Sem periodicidade",IF($L52&lt;0,"Atrasada",IF($L52&lt;=Parâmetros!$C$6,"Vence em breve","Em dia")))))</f>
        <v/>
      </c>
    </row>
  </sheetData>
  <conditionalFormatting sqref="M3:M52">
    <cfRule type="cellIs" priority="2" operator="equal" aboveAverage="0" equalAverage="0" bottom="0" percent="0" rank="0" text="" dxfId="0">
      <formula>"Atrasada"</formula>
    </cfRule>
    <cfRule type="cellIs" priority="3" operator="equal" aboveAverage="0" equalAverage="0" bottom="0" percent="0" rank="0" text="" dxfId="1">
      <formula>"Vence em breve"</formula>
    </cfRule>
    <cfRule type="cellIs" priority="4" operator="equal" aboveAverage="0" equalAverage="0" bottom="0" percent="0" rank="0" text="" dxfId="2">
      <formula>"Em dia"</formula>
    </cfRule>
    <cfRule type="cellIs" priority="5" operator="equal" aboveAverage="0" equalAverage="0" bottom="0" percent="0" rank="0" text="" dxfId="3">
      <formula>"Sem histórico"</formula>
    </cfRule>
  </conditionalFormatting>
  <conditionalFormatting sqref="L3:L52">
    <cfRule type="cellIs" priority="6" operator="lessThan" aboveAverage="0" equalAverage="0" bottom="0" percent="0" rank="0" text="" dxfId="4">
      <formula>0</formula>
    </cfRule>
  </conditionalFormatting>
  <dataValidations count="1">
    <dataValidation allowBlank="true" error="Escolha um tipo da lista — é ele que liga a máquina ao catálogo de itens." errorStyle="stop" errorTitle="Tipo de equipamento" operator="between" showDropDown="false" showErrorMessage="false" showInputMessage="false" sqref="C3:C52" type="list">
      <formula1>Parâmetros!$J$5:$J$12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H4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2" topLeftCell="D3" activePane="bottomRight" state="frozen"/>
      <selection pane="topLeft" activeCell="A1" activeCellId="0" sqref="A1"/>
      <selection pane="topRight" activeCell="D1" activeCellId="0" sqref="D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" min="2" style="0" width="26"/>
    <col collapsed="false" customWidth="true" hidden="false" outlineLevel="0" max="4" min="4" style="0" width="52"/>
    <col collapsed="false" customWidth="true" hidden="false" outlineLevel="0" max="5" min="5" style="0" width="14"/>
    <col collapsed="false" customWidth="true" hidden="true" outlineLevel="0" max="6" min="6" style="0" width="10"/>
    <col collapsed="false" customWidth="true" hidden="true" outlineLevel="0" max="7" min="7" style="0" width="24"/>
    <col collapsed="false" customWidth="true" hidden="false" outlineLevel="0" max="8" min="8" style="0" width="16"/>
  </cols>
  <sheetData>
    <row r="1" customFormat="false" ht="17.35" hidden="false" customHeight="false" outlineLevel="0" collapsed="false">
      <c r="A1" s="13" t="s">
        <v>150</v>
      </c>
      <c r="D1" s="38" t="s">
        <v>151</v>
      </c>
    </row>
    <row r="2" customFormat="false" ht="33.75" hidden="false" customHeight="true" outlineLevel="0" collapsed="false">
      <c r="A2" s="18" t="s">
        <v>152</v>
      </c>
      <c r="B2" s="18" t="s">
        <v>153</v>
      </c>
      <c r="C2" s="18" t="s">
        <v>154</v>
      </c>
      <c r="D2" s="18" t="s">
        <v>155</v>
      </c>
      <c r="E2" s="18" t="s">
        <v>156</v>
      </c>
      <c r="F2" s="18" t="s">
        <v>157</v>
      </c>
      <c r="G2" s="18" t="s">
        <v>158</v>
      </c>
      <c r="H2" s="18" t="s">
        <v>159</v>
      </c>
    </row>
    <row r="3" customFormat="false" ht="18" hidden="false" customHeight="true" outlineLevel="0" collapsed="false">
      <c r="A3" s="40" t="s">
        <v>112</v>
      </c>
      <c r="B3" s="47" t="str">
        <f aca="false">IF($A3="","",IFERROR(INDEX(Equipamentos!$C$3:$C$52,MATCH($A3,Equipamentos!$A$3:$A$52,0)),""))</f>
        <v>Compressor de ar</v>
      </c>
      <c r="C3" s="40" t="s">
        <v>160</v>
      </c>
      <c r="D3" s="40" t="s">
        <v>161</v>
      </c>
      <c r="E3" s="42" t="n">
        <v>7</v>
      </c>
      <c r="F3" s="45" t="n">
        <f aca="false">IF($D3="","",COUNTIF($B$3:$B3,$B3))</f>
        <v>1</v>
      </c>
      <c r="G3" s="47" t="str">
        <f aca="false">IF($D3="","",CONCATENATE($B3,"|",$F3))</f>
        <v>Compressor de ar|1</v>
      </c>
      <c r="H3" s="46" t="str">
        <f aca="false">IF($D3="","",IF(COUNTIFS($B$3:$B$402,$B3,$D$3:$D$402,$D3)&gt;1,"Repetido",""))</f>
        <v/>
      </c>
    </row>
    <row r="4" customFormat="false" ht="18" hidden="false" customHeight="true" outlineLevel="0" collapsed="false">
      <c r="A4" s="40" t="s">
        <v>112</v>
      </c>
      <c r="B4" s="47" t="str">
        <f aca="false">IF($A4="","",IFERROR(INDEX(Equipamentos!$C$3:$C$52,MATCH($A4,Equipamentos!$A$3:$A$52,0)),""))</f>
        <v>Compressor de ar</v>
      </c>
      <c r="C4" s="40" t="s">
        <v>162</v>
      </c>
      <c r="D4" s="40" t="s">
        <v>163</v>
      </c>
      <c r="E4" s="42" t="n">
        <v>5</v>
      </c>
      <c r="F4" s="45" t="n">
        <f aca="false">IF($D4="","",COUNTIF($B$3:$B4,$B4))</f>
        <v>2</v>
      </c>
      <c r="G4" s="47" t="str">
        <f aca="false">IF($D4="","",CONCATENATE($B4,"|",$F4))</f>
        <v>Compressor de ar|2</v>
      </c>
      <c r="H4" s="46" t="str">
        <f aca="false">IF($D4="","",IF(COUNTIFS($B$3:$B$402,$B4,$D$3:$D$402,$D4)&gt;1,"Repetido",""))</f>
        <v/>
      </c>
    </row>
    <row r="5" customFormat="false" ht="18" hidden="false" customHeight="true" outlineLevel="0" collapsed="false">
      <c r="A5" s="40" t="s">
        <v>112</v>
      </c>
      <c r="B5" s="47" t="str">
        <f aca="false">IF($A5="","",IFERROR(INDEX(Equipamentos!$C$3:$C$52,MATCH($A5,Equipamentos!$A$3:$A$52,0)),""))</f>
        <v>Compressor de ar</v>
      </c>
      <c r="C5" s="40" t="s">
        <v>162</v>
      </c>
      <c r="D5" s="40" t="s">
        <v>164</v>
      </c>
      <c r="E5" s="42" t="n">
        <v>7</v>
      </c>
      <c r="F5" s="45" t="n">
        <f aca="false">IF($D5="","",COUNTIF($B$3:$B5,$B5))</f>
        <v>3</v>
      </c>
      <c r="G5" s="47" t="str">
        <f aca="false">IF($D5="","",CONCATENATE($B5,"|",$F5))</f>
        <v>Compressor de ar|3</v>
      </c>
      <c r="H5" s="46" t="str">
        <f aca="false">IF($D5="","",IF(COUNTIFS($B$3:$B$402,$B5,$D$3:$D$402,$D5)&gt;1,"Repetido",""))</f>
        <v/>
      </c>
    </row>
    <row r="6" customFormat="false" ht="18" hidden="false" customHeight="true" outlineLevel="0" collapsed="false">
      <c r="A6" s="40" t="s">
        <v>112</v>
      </c>
      <c r="B6" s="47" t="str">
        <f aca="false">IF($A6="","",IFERROR(INDEX(Equipamentos!$C$3:$C$52,MATCH($A6,Equipamentos!$A$3:$A$52,0)),""))</f>
        <v>Compressor de ar</v>
      </c>
      <c r="C6" s="40" t="s">
        <v>165</v>
      </c>
      <c r="D6" s="40" t="s">
        <v>166</v>
      </c>
      <c r="E6" s="42" t="n">
        <v>5</v>
      </c>
      <c r="F6" s="45" t="n">
        <f aca="false">IF($D6="","",COUNTIF($B$3:$B6,$B6))</f>
        <v>4</v>
      </c>
      <c r="G6" s="47" t="str">
        <f aca="false">IF($D6="","",CONCATENATE($B6,"|",$F6))</f>
        <v>Compressor de ar|4</v>
      </c>
      <c r="H6" s="46" t="str">
        <f aca="false">IF($D6="","",IF(COUNTIFS($B$3:$B$402,$B6,$D$3:$D$402,$D6)&gt;1,"Repetido",""))</f>
        <v/>
      </c>
    </row>
    <row r="7" customFormat="false" ht="18" hidden="false" customHeight="true" outlineLevel="0" collapsed="false">
      <c r="A7" s="40" t="s">
        <v>112</v>
      </c>
      <c r="B7" s="47" t="str">
        <f aca="false">IF($A7="","",IFERROR(INDEX(Equipamentos!$C$3:$C$52,MATCH($A7,Equipamentos!$A$3:$A$52,0)),""))</f>
        <v>Compressor de ar</v>
      </c>
      <c r="C7" s="40" t="s">
        <v>165</v>
      </c>
      <c r="D7" s="40" t="s">
        <v>167</v>
      </c>
      <c r="E7" s="42" t="n">
        <v>7</v>
      </c>
      <c r="F7" s="45" t="n">
        <f aca="false">IF($D7="","",COUNTIF($B$3:$B7,$B7))</f>
        <v>5</v>
      </c>
      <c r="G7" s="47" t="str">
        <f aca="false">IF($D7="","",CONCATENATE($B7,"|",$F7))</f>
        <v>Compressor de ar|5</v>
      </c>
      <c r="H7" s="46" t="str">
        <f aca="false">IF($D7="","",IF(COUNTIFS($B$3:$B$402,$B7,$D$3:$D$402,$D7)&gt;1,"Repetido",""))</f>
        <v/>
      </c>
    </row>
    <row r="8" customFormat="false" ht="18" hidden="false" customHeight="true" outlineLevel="0" collapsed="false">
      <c r="A8" s="40" t="s">
        <v>112</v>
      </c>
      <c r="B8" s="47" t="str">
        <f aca="false">IF($A8="","",IFERROR(INDEX(Equipamentos!$C$3:$C$52,MATCH($A8,Equipamentos!$A$3:$A$52,0)),""))</f>
        <v>Compressor de ar</v>
      </c>
      <c r="C8" s="40" t="s">
        <v>168</v>
      </c>
      <c r="D8" s="40" t="s">
        <v>169</v>
      </c>
      <c r="E8" s="42" t="n">
        <v>7</v>
      </c>
      <c r="F8" s="45" t="n">
        <f aca="false">IF($D8="","",COUNTIF($B$3:$B8,$B8))</f>
        <v>6</v>
      </c>
      <c r="G8" s="47" t="str">
        <f aca="false">IF($D8="","",CONCATENATE($B8,"|",$F8))</f>
        <v>Compressor de ar|6</v>
      </c>
      <c r="H8" s="46" t="str">
        <f aca="false">IF($D8="","",IF(COUNTIFS($B$3:$B$402,$B8,$D$3:$D$402,$D8)&gt;1,"Repetido",""))</f>
        <v/>
      </c>
    </row>
    <row r="9" customFormat="false" ht="18" hidden="false" customHeight="true" outlineLevel="0" collapsed="false">
      <c r="A9" s="40" t="s">
        <v>112</v>
      </c>
      <c r="B9" s="47" t="str">
        <f aca="false">IF($A9="","",IFERROR(INDEX(Equipamentos!$C$3:$C$52,MATCH($A9,Equipamentos!$A$3:$A$52,0)),""))</f>
        <v>Compressor de ar</v>
      </c>
      <c r="C9" s="40" t="s">
        <v>170</v>
      </c>
      <c r="D9" s="40" t="s">
        <v>171</v>
      </c>
      <c r="E9" s="42" t="n">
        <v>5</v>
      </c>
      <c r="F9" s="45" t="n">
        <f aca="false">IF($D9="","",COUNTIF($B$3:$B9,$B9))</f>
        <v>7</v>
      </c>
      <c r="G9" s="47" t="str">
        <f aca="false">IF($D9="","",CONCATENATE($B9,"|",$F9))</f>
        <v>Compressor de ar|7</v>
      </c>
      <c r="H9" s="46" t="str">
        <f aca="false">IF($D9="","",IF(COUNTIFS($B$3:$B$402,$B9,$D$3:$D$402,$D9)&gt;1,"Repetido",""))</f>
        <v/>
      </c>
    </row>
    <row r="10" customFormat="false" ht="18" hidden="false" customHeight="true" outlineLevel="0" collapsed="false">
      <c r="A10" s="40" t="s">
        <v>112</v>
      </c>
      <c r="B10" s="47" t="str">
        <f aca="false">IF($A10="","",IFERROR(INDEX(Equipamentos!$C$3:$C$52,MATCH($A10,Equipamentos!$A$3:$A$52,0)),""))</f>
        <v>Compressor de ar</v>
      </c>
      <c r="C10" s="40" t="s">
        <v>172</v>
      </c>
      <c r="D10" s="40" t="s">
        <v>173</v>
      </c>
      <c r="E10" s="42" t="n">
        <v>3</v>
      </c>
      <c r="F10" s="45" t="n">
        <f aca="false">IF($D10="","",COUNTIF($B$3:$B10,$B10))</f>
        <v>8</v>
      </c>
      <c r="G10" s="47" t="str">
        <f aca="false">IF($D10="","",CONCATENATE($B10,"|",$F10))</f>
        <v>Compressor de ar|8</v>
      </c>
      <c r="H10" s="46" t="str">
        <f aca="false">IF($D10="","",IF(COUNTIFS($B$3:$B$402,$B10,$D$3:$D$402,$D10)&gt;1,"Repetido",""))</f>
        <v/>
      </c>
    </row>
    <row r="11" customFormat="false" ht="18" hidden="false" customHeight="true" outlineLevel="0" collapsed="false">
      <c r="A11" s="40" t="s">
        <v>112</v>
      </c>
      <c r="B11" s="47" t="str">
        <f aca="false">IF($A11="","",IFERROR(INDEX(Equipamentos!$C$3:$C$52,MATCH($A11,Equipamentos!$A$3:$A$52,0)),""))</f>
        <v>Compressor de ar</v>
      </c>
      <c r="C11" s="40" t="s">
        <v>174</v>
      </c>
      <c r="D11" s="40" t="s">
        <v>175</v>
      </c>
      <c r="E11" s="42" t="n">
        <v>9</v>
      </c>
      <c r="F11" s="45" t="n">
        <f aca="false">IF($D11="","",COUNTIF($B$3:$B11,$B11))</f>
        <v>9</v>
      </c>
      <c r="G11" s="47" t="str">
        <f aca="false">IF($D11="","",CONCATENATE($B11,"|",$F11))</f>
        <v>Compressor de ar|9</v>
      </c>
      <c r="H11" s="46" t="str">
        <f aca="false">IF($D11="","",IF(COUNTIFS($B$3:$B$402,$B11,$D$3:$D$402,$D11)&gt;1,"Repetido",""))</f>
        <v/>
      </c>
    </row>
    <row r="12" customFormat="false" ht="18" hidden="false" customHeight="true" outlineLevel="0" collapsed="false">
      <c r="A12" s="40" t="s">
        <v>120</v>
      </c>
      <c r="B12" s="47" t="str">
        <f aca="false">IF($A12="","",IFERROR(INDEX(Equipamentos!$C$3:$C$52,MATCH($A12,Equipamentos!$A$3:$A$52,0)),""))</f>
        <v>Torno mecânico</v>
      </c>
      <c r="C12" s="40" t="s">
        <v>176</v>
      </c>
      <c r="D12" s="40" t="s">
        <v>177</v>
      </c>
      <c r="E12" s="42" t="n">
        <v>3</v>
      </c>
      <c r="F12" s="45" t="n">
        <f aca="false">IF($D12="","",COUNTIF($B$3:$B12,$B12))</f>
        <v>1</v>
      </c>
      <c r="G12" s="47" t="str">
        <f aca="false">IF($D12="","",CONCATENATE($B12,"|",$F12))</f>
        <v>Torno mecânico|1</v>
      </c>
      <c r="H12" s="46" t="str">
        <f aca="false">IF($D12="","",IF(COUNTIFS($B$3:$B$402,$B12,$D$3:$D$402,$D12)&gt;1,"Repetido",""))</f>
        <v/>
      </c>
    </row>
    <row r="13" customFormat="false" ht="18" hidden="false" customHeight="true" outlineLevel="0" collapsed="false">
      <c r="A13" s="40" t="s">
        <v>120</v>
      </c>
      <c r="B13" s="47" t="str">
        <f aca="false">IF($A13="","",IFERROR(INDEX(Equipamentos!$C$3:$C$52,MATCH($A13,Equipamentos!$A$3:$A$52,0)),""))</f>
        <v>Torno mecânico</v>
      </c>
      <c r="C13" s="40" t="s">
        <v>174</v>
      </c>
      <c r="D13" s="40" t="s">
        <v>178</v>
      </c>
      <c r="E13" s="42" t="n">
        <v>10</v>
      </c>
      <c r="F13" s="45" t="n">
        <f aca="false">IF($D13="","",COUNTIF($B$3:$B13,$B13))</f>
        <v>2</v>
      </c>
      <c r="G13" s="47" t="str">
        <f aca="false">IF($D13="","",CONCATENATE($B13,"|",$F13))</f>
        <v>Torno mecânico|2</v>
      </c>
      <c r="H13" s="46" t="str">
        <f aca="false">IF($D13="","",IF(COUNTIFS($B$3:$B$402,$B13,$D$3:$D$402,$D13)&gt;1,"Repetido",""))</f>
        <v/>
      </c>
    </row>
    <row r="14" customFormat="false" ht="18" hidden="false" customHeight="true" outlineLevel="0" collapsed="false">
      <c r="A14" s="40" t="s">
        <v>120</v>
      </c>
      <c r="B14" s="47" t="str">
        <f aca="false">IF($A14="","",IFERROR(INDEX(Equipamentos!$C$3:$C$52,MATCH($A14,Equipamentos!$A$3:$A$52,0)),""))</f>
        <v>Torno mecânico</v>
      </c>
      <c r="C14" s="40" t="s">
        <v>179</v>
      </c>
      <c r="D14" s="40" t="s">
        <v>180</v>
      </c>
      <c r="E14" s="42" t="n">
        <v>9</v>
      </c>
      <c r="F14" s="45" t="n">
        <f aca="false">IF($D14="","",COUNTIF($B$3:$B14,$B14))</f>
        <v>3</v>
      </c>
      <c r="G14" s="47" t="str">
        <f aca="false">IF($D14="","",CONCATENATE($B14,"|",$F14))</f>
        <v>Torno mecânico|3</v>
      </c>
      <c r="H14" s="46" t="str">
        <f aca="false">IF($D14="","",IF(COUNTIFS($B$3:$B$402,$B14,$D$3:$D$402,$D14)&gt;1,"Repetido",""))</f>
        <v/>
      </c>
    </row>
    <row r="15" customFormat="false" ht="18" hidden="false" customHeight="true" outlineLevel="0" collapsed="false">
      <c r="A15" s="40" t="s">
        <v>120</v>
      </c>
      <c r="B15" s="47" t="str">
        <f aca="false">IF($A15="","",IFERROR(INDEX(Equipamentos!$C$3:$C$52,MATCH($A15,Equipamentos!$A$3:$A$52,0)),""))</f>
        <v>Torno mecânico</v>
      </c>
      <c r="C15" s="40" t="s">
        <v>160</v>
      </c>
      <c r="D15" s="40" t="s">
        <v>181</v>
      </c>
      <c r="E15" s="42" t="n">
        <v>7</v>
      </c>
      <c r="F15" s="45" t="n">
        <f aca="false">IF($D15="","",COUNTIF($B$3:$B15,$B15))</f>
        <v>4</v>
      </c>
      <c r="G15" s="47" t="str">
        <f aca="false">IF($D15="","",CONCATENATE($B15,"|",$F15))</f>
        <v>Torno mecânico|4</v>
      </c>
      <c r="H15" s="46" t="str">
        <f aca="false">IF($D15="","",IF(COUNTIFS($B$3:$B$402,$B15,$D$3:$D$402,$D15)&gt;1,"Repetido",""))</f>
        <v/>
      </c>
    </row>
    <row r="16" customFormat="false" ht="18" hidden="false" customHeight="true" outlineLevel="0" collapsed="false">
      <c r="A16" s="40" t="s">
        <v>120</v>
      </c>
      <c r="B16" s="47" t="str">
        <f aca="false">IF($A16="","",IFERROR(INDEX(Equipamentos!$C$3:$C$52,MATCH($A16,Equipamentos!$A$3:$A$52,0)),""))</f>
        <v>Torno mecânico</v>
      </c>
      <c r="C16" s="40" t="s">
        <v>165</v>
      </c>
      <c r="D16" s="40" t="s">
        <v>182</v>
      </c>
      <c r="E16" s="42" t="n">
        <v>7</v>
      </c>
      <c r="F16" s="45" t="n">
        <f aca="false">IF($D16="","",COUNTIF($B$3:$B16,$B16))</f>
        <v>5</v>
      </c>
      <c r="G16" s="47" t="str">
        <f aca="false">IF($D16="","",CONCATENATE($B16,"|",$F16))</f>
        <v>Torno mecânico|5</v>
      </c>
      <c r="H16" s="46" t="str">
        <f aca="false">IF($D16="","",IF(COUNTIFS($B$3:$B$402,$B16,$D$3:$D$402,$D16)&gt;1,"Repetido",""))</f>
        <v/>
      </c>
    </row>
    <row r="17" customFormat="false" ht="18" hidden="false" customHeight="true" outlineLevel="0" collapsed="false">
      <c r="A17" s="40" t="s">
        <v>120</v>
      </c>
      <c r="B17" s="47" t="str">
        <f aca="false">IF($A17="","",IFERROR(INDEX(Equipamentos!$C$3:$C$52,MATCH($A17,Equipamentos!$A$3:$A$52,0)),""))</f>
        <v>Torno mecânico</v>
      </c>
      <c r="C17" s="40" t="s">
        <v>165</v>
      </c>
      <c r="D17" s="40" t="s">
        <v>183</v>
      </c>
      <c r="E17" s="42" t="n">
        <v>9</v>
      </c>
      <c r="F17" s="45" t="n">
        <f aca="false">IF($D17="","",COUNTIF($B$3:$B17,$B17))</f>
        <v>6</v>
      </c>
      <c r="G17" s="47" t="str">
        <f aca="false">IF($D17="","",CONCATENATE($B17,"|",$F17))</f>
        <v>Torno mecânico|6</v>
      </c>
      <c r="H17" s="46" t="str">
        <f aca="false">IF($D17="","",IF(COUNTIFS($B$3:$B$402,$B17,$D$3:$D$402,$D17)&gt;1,"Repetido",""))</f>
        <v/>
      </c>
    </row>
    <row r="18" customFormat="false" ht="18" hidden="false" customHeight="true" outlineLevel="0" collapsed="false">
      <c r="A18" s="40" t="s">
        <v>120</v>
      </c>
      <c r="B18" s="47" t="str">
        <f aca="false">IF($A18="","",IFERROR(INDEX(Equipamentos!$C$3:$C$52,MATCH($A18,Equipamentos!$A$3:$A$52,0)),""))</f>
        <v>Torno mecânico</v>
      </c>
      <c r="C18" s="40" t="s">
        <v>184</v>
      </c>
      <c r="D18" s="40" t="s">
        <v>185</v>
      </c>
      <c r="E18" s="42" t="n">
        <v>5</v>
      </c>
      <c r="F18" s="45" t="n">
        <f aca="false">IF($D18="","",COUNTIF($B$3:$B18,$B18))</f>
        <v>7</v>
      </c>
      <c r="G18" s="47" t="str">
        <f aca="false">IF($D18="","",CONCATENATE($B18,"|",$F18))</f>
        <v>Torno mecânico|7</v>
      </c>
      <c r="H18" s="46" t="str">
        <f aca="false">IF($D18="","",IF(COUNTIFS($B$3:$B$402,$B18,$D$3:$D$402,$D18)&gt;1,"Repetido",""))</f>
        <v/>
      </c>
    </row>
    <row r="19" customFormat="false" ht="18" hidden="false" customHeight="true" outlineLevel="0" collapsed="false">
      <c r="A19" s="40" t="s">
        <v>120</v>
      </c>
      <c r="B19" s="47" t="str">
        <f aca="false">IF($A19="","",IFERROR(INDEX(Equipamentos!$C$3:$C$52,MATCH($A19,Equipamentos!$A$3:$A$52,0)),""))</f>
        <v>Torno mecânico</v>
      </c>
      <c r="C19" s="40" t="s">
        <v>172</v>
      </c>
      <c r="D19" s="40" t="s">
        <v>186</v>
      </c>
      <c r="E19" s="42" t="n">
        <v>3</v>
      </c>
      <c r="F19" s="45" t="n">
        <f aca="false">IF($D19="","",COUNTIF($B$3:$B19,$B19))</f>
        <v>8</v>
      </c>
      <c r="G19" s="47" t="str">
        <f aca="false">IF($D19="","",CONCATENATE($B19,"|",$F19))</f>
        <v>Torno mecânico|8</v>
      </c>
      <c r="H19" s="46" t="str">
        <f aca="false">IF($D19="","",IF(COUNTIFS($B$3:$B$402,$B19,$D$3:$D$402,$D19)&gt;1,"Repetido",""))</f>
        <v/>
      </c>
    </row>
    <row r="20" customFormat="false" ht="18" hidden="false" customHeight="true" outlineLevel="0" collapsed="false">
      <c r="A20" s="40" t="s">
        <v>120</v>
      </c>
      <c r="B20" s="47" t="str">
        <f aca="false">IF($A20="","",IFERROR(INDEX(Equipamentos!$C$3:$C$52,MATCH($A20,Equipamentos!$A$3:$A$52,0)),""))</f>
        <v>Torno mecânico</v>
      </c>
      <c r="C20" s="40" t="s">
        <v>174</v>
      </c>
      <c r="D20" s="40" t="s">
        <v>187</v>
      </c>
      <c r="E20" s="42" t="n">
        <v>9</v>
      </c>
      <c r="F20" s="45" t="n">
        <f aca="false">IF($D20="","",COUNTIF($B$3:$B20,$B20))</f>
        <v>9</v>
      </c>
      <c r="G20" s="47" t="str">
        <f aca="false">IF($D20="","",CONCATENATE($B20,"|",$F20))</f>
        <v>Torno mecânico|9</v>
      </c>
      <c r="H20" s="46" t="str">
        <f aca="false">IF($D20="","",IF(COUNTIFS($B$3:$B$402,$B20,$D$3:$D$402,$D20)&gt;1,"Repetido",""))</f>
        <v/>
      </c>
    </row>
    <row r="21" customFormat="false" ht="18" hidden="false" customHeight="true" outlineLevel="0" collapsed="false">
      <c r="A21" s="40" t="s">
        <v>139</v>
      </c>
      <c r="B21" s="47" t="str">
        <f aca="false">IF($A21="","",IFERROR(INDEX(Equipamentos!$C$3:$C$52,MATCH($A21,Equipamentos!$A$3:$A$52,0)),""))</f>
        <v>Empilhadeira</v>
      </c>
      <c r="C21" s="40" t="s">
        <v>188</v>
      </c>
      <c r="D21" s="40" t="s">
        <v>189</v>
      </c>
      <c r="E21" s="42" t="n">
        <v>9</v>
      </c>
      <c r="F21" s="45" t="n">
        <f aca="false">IF($D21="","",COUNTIF($B$3:$B21,$B21))</f>
        <v>1</v>
      </c>
      <c r="G21" s="47" t="str">
        <f aca="false">IF($D21="","",CONCATENATE($B21,"|",$F21))</f>
        <v>Empilhadeira|1</v>
      </c>
      <c r="H21" s="46" t="str">
        <f aca="false">IF($D21="","",IF(COUNTIFS($B$3:$B$402,$B21,$D$3:$D$402,$D21)&gt;1,"Repetido",""))</f>
        <v/>
      </c>
    </row>
    <row r="22" customFormat="false" ht="18" hidden="false" customHeight="true" outlineLevel="0" collapsed="false">
      <c r="A22" s="40" t="s">
        <v>139</v>
      </c>
      <c r="B22" s="47" t="str">
        <f aca="false">IF($A22="","",IFERROR(INDEX(Equipamentos!$C$3:$C$52,MATCH($A22,Equipamentos!$A$3:$A$52,0)),""))</f>
        <v>Empilhadeira</v>
      </c>
      <c r="C22" s="40" t="s">
        <v>190</v>
      </c>
      <c r="D22" s="40" t="s">
        <v>191</v>
      </c>
      <c r="E22" s="42" t="n">
        <v>9</v>
      </c>
      <c r="F22" s="45" t="n">
        <f aca="false">IF($D22="","",COUNTIF($B$3:$B22,$B22))</f>
        <v>2</v>
      </c>
      <c r="G22" s="47" t="str">
        <f aca="false">IF($D22="","",CONCATENATE($B22,"|",$F22))</f>
        <v>Empilhadeira|2</v>
      </c>
      <c r="H22" s="46" t="str">
        <f aca="false">IF($D22="","",IF(COUNTIFS($B$3:$B$402,$B22,$D$3:$D$402,$D22)&gt;1,"Repetido",""))</f>
        <v/>
      </c>
    </row>
    <row r="23" customFormat="false" ht="18" hidden="false" customHeight="true" outlineLevel="0" collapsed="false">
      <c r="A23" s="40" t="s">
        <v>139</v>
      </c>
      <c r="B23" s="47" t="str">
        <f aca="false">IF($A23="","",IFERROR(INDEX(Equipamentos!$C$3:$C$52,MATCH($A23,Equipamentos!$A$3:$A$52,0)),""))</f>
        <v>Empilhadeira</v>
      </c>
      <c r="C23" s="40" t="s">
        <v>190</v>
      </c>
      <c r="D23" s="40" t="s">
        <v>192</v>
      </c>
      <c r="E23" s="42" t="n">
        <v>7</v>
      </c>
      <c r="F23" s="45" t="n">
        <f aca="false">IF($D23="","",COUNTIF($B$3:$B23,$B23))</f>
        <v>3</v>
      </c>
      <c r="G23" s="47" t="str">
        <f aca="false">IF($D23="","",CONCATENATE($B23,"|",$F23))</f>
        <v>Empilhadeira|3</v>
      </c>
      <c r="H23" s="46" t="str">
        <f aca="false">IF($D23="","",IF(COUNTIFS($B$3:$B$402,$B23,$D$3:$D$402,$D23)&gt;1,"Repetido",""))</f>
        <v/>
      </c>
    </row>
    <row r="24" customFormat="false" ht="18" hidden="false" customHeight="true" outlineLevel="0" collapsed="false">
      <c r="A24" s="40" t="s">
        <v>139</v>
      </c>
      <c r="B24" s="47" t="str">
        <f aca="false">IF($A24="","",IFERROR(INDEX(Equipamentos!$C$3:$C$52,MATCH($A24,Equipamentos!$A$3:$A$52,0)),""))</f>
        <v>Empilhadeira</v>
      </c>
      <c r="C24" s="40" t="s">
        <v>190</v>
      </c>
      <c r="D24" s="40" t="s">
        <v>193</v>
      </c>
      <c r="E24" s="42" t="n">
        <v>7</v>
      </c>
      <c r="F24" s="45" t="n">
        <f aca="false">IF($D24="","",COUNTIF($B$3:$B24,$B24))</f>
        <v>4</v>
      </c>
      <c r="G24" s="47" t="str">
        <f aca="false">IF($D24="","",CONCATENATE($B24,"|",$F24))</f>
        <v>Empilhadeira|4</v>
      </c>
      <c r="H24" s="46" t="str">
        <f aca="false">IF($D24="","",IF(COUNTIFS($B$3:$B$402,$B24,$D$3:$D$402,$D24)&gt;1,"Repetido",""))</f>
        <v/>
      </c>
    </row>
    <row r="25" customFormat="false" ht="18" hidden="false" customHeight="true" outlineLevel="0" collapsed="false">
      <c r="A25" s="40" t="s">
        <v>139</v>
      </c>
      <c r="B25" s="47" t="str">
        <f aca="false">IF($A25="","",IFERROR(INDEX(Equipamentos!$C$3:$C$52,MATCH($A25,Equipamentos!$A$3:$A$52,0)),""))</f>
        <v>Empilhadeira</v>
      </c>
      <c r="C25" s="40" t="s">
        <v>194</v>
      </c>
      <c r="D25" s="40" t="s">
        <v>195</v>
      </c>
      <c r="E25" s="42" t="n">
        <v>10</v>
      </c>
      <c r="F25" s="45" t="n">
        <f aca="false">IF($D25="","",COUNTIF($B$3:$B25,$B25))</f>
        <v>5</v>
      </c>
      <c r="G25" s="47" t="str">
        <f aca="false">IF($D25="","",CONCATENATE($B25,"|",$F25))</f>
        <v>Empilhadeira|5</v>
      </c>
      <c r="H25" s="46" t="str">
        <f aca="false">IF($D25="","",IF(COUNTIFS($B$3:$B$402,$B25,$D$3:$D$402,$D25)&gt;1,"Repetido",""))</f>
        <v/>
      </c>
    </row>
    <row r="26" customFormat="false" ht="18" hidden="false" customHeight="true" outlineLevel="0" collapsed="false">
      <c r="A26" s="40" t="s">
        <v>139</v>
      </c>
      <c r="B26" s="47" t="str">
        <f aca="false">IF($A26="","",IFERROR(INDEX(Equipamentos!$C$3:$C$52,MATCH($A26,Equipamentos!$A$3:$A$52,0)),""))</f>
        <v>Empilhadeira</v>
      </c>
      <c r="C26" s="40" t="s">
        <v>194</v>
      </c>
      <c r="D26" s="40" t="s">
        <v>196</v>
      </c>
      <c r="E26" s="42" t="n">
        <v>7</v>
      </c>
      <c r="F26" s="45" t="n">
        <f aca="false">IF($D26="","",COUNTIF($B$3:$B26,$B26))</f>
        <v>6</v>
      </c>
      <c r="G26" s="47" t="str">
        <f aca="false">IF($D26="","",CONCATENATE($B26,"|",$F26))</f>
        <v>Empilhadeira|6</v>
      </c>
      <c r="H26" s="46" t="str">
        <f aca="false">IF($D26="","",IF(COUNTIFS($B$3:$B$402,$B26,$D$3:$D$402,$D26)&gt;1,"Repetido",""))</f>
        <v/>
      </c>
    </row>
    <row r="27" customFormat="false" ht="18" hidden="false" customHeight="true" outlineLevel="0" collapsed="false">
      <c r="A27" s="40" t="s">
        <v>139</v>
      </c>
      <c r="B27" s="47" t="str">
        <f aca="false">IF($A27="","",IFERROR(INDEX(Equipamentos!$C$3:$C$52,MATCH($A27,Equipamentos!$A$3:$A$52,0)),""))</f>
        <v>Empilhadeira</v>
      </c>
      <c r="C27" s="40" t="s">
        <v>197</v>
      </c>
      <c r="D27" s="40" t="s">
        <v>198</v>
      </c>
      <c r="E27" s="42" t="n">
        <v>5</v>
      </c>
      <c r="F27" s="45" t="n">
        <f aca="false">IF($D27="","",COUNTIF($B$3:$B27,$B27))</f>
        <v>7</v>
      </c>
      <c r="G27" s="47" t="str">
        <f aca="false">IF($D27="","",CONCATENATE($B27,"|",$F27))</f>
        <v>Empilhadeira|7</v>
      </c>
      <c r="H27" s="46" t="str">
        <f aca="false">IF($D27="","",IF(COUNTIFS($B$3:$B$402,$B27,$D$3:$D$402,$D27)&gt;1,"Repetido",""))</f>
        <v/>
      </c>
    </row>
    <row r="28" customFormat="false" ht="18" hidden="false" customHeight="true" outlineLevel="0" collapsed="false">
      <c r="A28" s="40" t="s">
        <v>139</v>
      </c>
      <c r="B28" s="47" t="str">
        <f aca="false">IF($A28="","",IFERROR(INDEX(Equipamentos!$C$3:$C$52,MATCH($A28,Equipamentos!$A$3:$A$52,0)),""))</f>
        <v>Empilhadeira</v>
      </c>
      <c r="C28" s="40" t="s">
        <v>199</v>
      </c>
      <c r="D28" s="40" t="s">
        <v>200</v>
      </c>
      <c r="E28" s="42" t="n">
        <v>10</v>
      </c>
      <c r="F28" s="45" t="n">
        <f aca="false">IF($D28="","",COUNTIF($B$3:$B28,$B28))</f>
        <v>8</v>
      </c>
      <c r="G28" s="47" t="str">
        <f aca="false">IF($D28="","",CONCATENATE($B28,"|",$F28))</f>
        <v>Empilhadeira|8</v>
      </c>
      <c r="H28" s="46" t="str">
        <f aca="false">IF($D28="","",IF(COUNTIFS($B$3:$B$402,$B28,$D$3:$D$402,$D28)&gt;1,"Repetido",""))</f>
        <v/>
      </c>
    </row>
    <row r="29" customFormat="false" ht="18" hidden="false" customHeight="true" outlineLevel="0" collapsed="false">
      <c r="A29" s="40" t="s">
        <v>139</v>
      </c>
      <c r="B29" s="47" t="str">
        <f aca="false">IF($A29="","",IFERROR(INDEX(Equipamentos!$C$3:$C$52,MATCH($A29,Equipamentos!$A$3:$A$52,0)),""))</f>
        <v>Empilhadeira</v>
      </c>
      <c r="C29" s="40" t="s">
        <v>201</v>
      </c>
      <c r="D29" s="40" t="s">
        <v>202</v>
      </c>
      <c r="E29" s="42" t="n">
        <v>9</v>
      </c>
      <c r="F29" s="45" t="n">
        <f aca="false">IF($D29="","",COUNTIF($B$3:$B29,$B29))</f>
        <v>9</v>
      </c>
      <c r="G29" s="47" t="str">
        <f aca="false">IF($D29="","",CONCATENATE($B29,"|",$F29))</f>
        <v>Empilhadeira|9</v>
      </c>
      <c r="H29" s="46" t="str">
        <f aca="false">IF($D29="","",IF(COUNTIFS($B$3:$B$402,$B29,$D$3:$D$402,$D29)&gt;1,"Repetido",""))</f>
        <v/>
      </c>
    </row>
    <row r="30" customFormat="false" ht="18" hidden="false" customHeight="true" outlineLevel="0" collapsed="false">
      <c r="A30" s="40" t="s">
        <v>135</v>
      </c>
      <c r="B30" s="47" t="str">
        <f aca="false">IF($A30="","",IFERROR(INDEX(Equipamentos!$C$3:$C$52,MATCH($A30,Equipamentos!$A$3:$A$52,0)),""))</f>
        <v>Esteira transportadora</v>
      </c>
      <c r="C30" s="40" t="s">
        <v>179</v>
      </c>
      <c r="D30" s="40" t="s">
        <v>203</v>
      </c>
      <c r="E30" s="42" t="n">
        <v>9</v>
      </c>
      <c r="F30" s="45" t="n">
        <f aca="false">IF($D30="","",COUNTIF($B$3:$B30,$B30))</f>
        <v>1</v>
      </c>
      <c r="G30" s="47" t="str">
        <f aca="false">IF($D30="","",CONCATENATE($B30,"|",$F30))</f>
        <v>Esteira transportadora|1</v>
      </c>
      <c r="H30" s="46" t="str">
        <f aca="false">IF($D30="","",IF(COUNTIFS($B$3:$B$402,$B30,$D$3:$D$402,$D30)&gt;1,"Repetido",""))</f>
        <v/>
      </c>
    </row>
    <row r="31" customFormat="false" ht="18" hidden="false" customHeight="true" outlineLevel="0" collapsed="false">
      <c r="A31" s="40" t="s">
        <v>135</v>
      </c>
      <c r="B31" s="47" t="str">
        <f aca="false">IF($A31="","",IFERROR(INDEX(Equipamentos!$C$3:$C$52,MATCH($A31,Equipamentos!$A$3:$A$52,0)),""))</f>
        <v>Esteira transportadora</v>
      </c>
      <c r="C31" s="40" t="s">
        <v>179</v>
      </c>
      <c r="D31" s="40" t="s">
        <v>204</v>
      </c>
      <c r="E31" s="42" t="n">
        <v>10</v>
      </c>
      <c r="F31" s="45" t="n">
        <f aca="false">IF($D31="","",COUNTIF($B$3:$B31,$B31))</f>
        <v>2</v>
      </c>
      <c r="G31" s="47" t="str">
        <f aca="false">IF($D31="","",CONCATENATE($B31,"|",$F31))</f>
        <v>Esteira transportadora|2</v>
      </c>
      <c r="H31" s="46" t="str">
        <f aca="false">IF($D31="","",IF(COUNTIFS($B$3:$B$402,$B31,$D$3:$D$402,$D31)&gt;1,"Repetido",""))</f>
        <v/>
      </c>
    </row>
    <row r="32" customFormat="false" ht="18" hidden="false" customHeight="true" outlineLevel="0" collapsed="false">
      <c r="A32" s="40" t="s">
        <v>135</v>
      </c>
      <c r="B32" s="47" t="str">
        <f aca="false">IF($A32="","",IFERROR(INDEX(Equipamentos!$C$3:$C$52,MATCH($A32,Equipamentos!$A$3:$A$52,0)),""))</f>
        <v>Esteira transportadora</v>
      </c>
      <c r="C32" s="40" t="s">
        <v>205</v>
      </c>
      <c r="D32" s="40" t="s">
        <v>206</v>
      </c>
      <c r="E32" s="42" t="n">
        <v>5</v>
      </c>
      <c r="F32" s="45" t="n">
        <f aca="false">IF($D32="","",COUNTIF($B$3:$B32,$B32))</f>
        <v>3</v>
      </c>
      <c r="G32" s="47" t="str">
        <f aca="false">IF($D32="","",CONCATENATE($B32,"|",$F32))</f>
        <v>Esteira transportadora|3</v>
      </c>
      <c r="H32" s="46" t="str">
        <f aca="false">IF($D32="","",IF(COUNTIFS($B$3:$B$402,$B32,$D$3:$D$402,$D32)&gt;1,"Repetido",""))</f>
        <v/>
      </c>
    </row>
    <row r="33" customFormat="false" ht="18" hidden="false" customHeight="true" outlineLevel="0" collapsed="false">
      <c r="A33" s="40" t="s">
        <v>135</v>
      </c>
      <c r="B33" s="47" t="str">
        <f aca="false">IF($A33="","",IFERROR(INDEX(Equipamentos!$C$3:$C$52,MATCH($A33,Equipamentos!$A$3:$A$52,0)),""))</f>
        <v>Esteira transportadora</v>
      </c>
      <c r="C33" s="40" t="s">
        <v>205</v>
      </c>
      <c r="D33" s="40" t="s">
        <v>207</v>
      </c>
      <c r="E33" s="42" t="n">
        <v>7</v>
      </c>
      <c r="F33" s="45" t="n">
        <f aca="false">IF($D33="","",COUNTIF($B$3:$B33,$B33))</f>
        <v>4</v>
      </c>
      <c r="G33" s="47" t="str">
        <f aca="false">IF($D33="","",CONCATENATE($B33,"|",$F33))</f>
        <v>Esteira transportadora|4</v>
      </c>
      <c r="H33" s="46" t="str">
        <f aca="false">IF($D33="","",IF(COUNTIFS($B$3:$B$402,$B33,$D$3:$D$402,$D33)&gt;1,"Repetido",""))</f>
        <v/>
      </c>
    </row>
    <row r="34" customFormat="false" ht="18" hidden="false" customHeight="true" outlineLevel="0" collapsed="false">
      <c r="A34" s="40" t="s">
        <v>135</v>
      </c>
      <c r="B34" s="47" t="str">
        <f aca="false">IF($A34="","",IFERROR(INDEX(Equipamentos!$C$3:$C$52,MATCH($A34,Equipamentos!$A$3:$A$52,0)),""))</f>
        <v>Esteira transportadora</v>
      </c>
      <c r="C34" s="40" t="s">
        <v>208</v>
      </c>
      <c r="D34" s="40" t="s">
        <v>209</v>
      </c>
      <c r="E34" s="42" t="n">
        <v>5</v>
      </c>
      <c r="F34" s="45" t="n">
        <f aca="false">IF($D34="","",COUNTIF($B$3:$B34,$B34))</f>
        <v>5</v>
      </c>
      <c r="G34" s="47" t="str">
        <f aca="false">IF($D34="","",CONCATENATE($B34,"|",$F34))</f>
        <v>Esteira transportadora|5</v>
      </c>
      <c r="H34" s="46" t="str">
        <f aca="false">IF($D34="","",IF(COUNTIFS($B$3:$B$402,$B34,$D$3:$D$402,$D34)&gt;1,"Repetido",""))</f>
        <v/>
      </c>
    </row>
    <row r="35" customFormat="false" ht="18" hidden="false" customHeight="true" outlineLevel="0" collapsed="false">
      <c r="A35" s="40" t="s">
        <v>135</v>
      </c>
      <c r="B35" s="47" t="str">
        <f aca="false">IF($A35="","",IFERROR(INDEX(Equipamentos!$C$3:$C$52,MATCH($A35,Equipamentos!$A$3:$A$52,0)),""))</f>
        <v>Esteira transportadora</v>
      </c>
      <c r="C35" s="40" t="s">
        <v>210</v>
      </c>
      <c r="D35" s="40" t="s">
        <v>211</v>
      </c>
      <c r="E35" s="42" t="n">
        <v>7</v>
      </c>
      <c r="F35" s="45" t="n">
        <f aca="false">IF($D35="","",COUNTIF($B$3:$B35,$B35))</f>
        <v>6</v>
      </c>
      <c r="G35" s="47" t="str">
        <f aca="false">IF($D35="","",CONCATENATE($B35,"|",$F35))</f>
        <v>Esteira transportadora|6</v>
      </c>
      <c r="H35" s="46" t="str">
        <f aca="false">IF($D35="","",IF(COUNTIFS($B$3:$B$402,$B35,$D$3:$D$402,$D35)&gt;1,"Repetido",""))</f>
        <v/>
      </c>
    </row>
    <row r="36" customFormat="false" ht="18" hidden="false" customHeight="true" outlineLevel="0" collapsed="false">
      <c r="A36" s="40" t="s">
        <v>135</v>
      </c>
      <c r="B36" s="47" t="str">
        <f aca="false">IF($A36="","",IFERROR(INDEX(Equipamentos!$C$3:$C$52,MATCH($A36,Equipamentos!$A$3:$A$52,0)),""))</f>
        <v>Esteira transportadora</v>
      </c>
      <c r="C36" s="40" t="s">
        <v>174</v>
      </c>
      <c r="D36" s="40" t="s">
        <v>212</v>
      </c>
      <c r="E36" s="42" t="n">
        <v>7</v>
      </c>
      <c r="F36" s="45" t="n">
        <f aca="false">IF($D36="","",COUNTIF($B$3:$B36,$B36))</f>
        <v>7</v>
      </c>
      <c r="G36" s="47" t="str">
        <f aca="false">IF($D36="","",CONCATENATE($B36,"|",$F36))</f>
        <v>Esteira transportadora|7</v>
      </c>
      <c r="H36" s="46" t="str">
        <f aca="false">IF($D36="","",IF(COUNTIFS($B$3:$B$402,$B36,$D$3:$D$402,$D36)&gt;1,"Repetido",""))</f>
        <v/>
      </c>
    </row>
    <row r="37" customFormat="false" ht="18" hidden="false" customHeight="true" outlineLevel="0" collapsed="false">
      <c r="A37" s="40" t="s">
        <v>135</v>
      </c>
      <c r="B37" s="47" t="str">
        <f aca="false">IF($A37="","",IFERROR(INDEX(Equipamentos!$C$3:$C$52,MATCH($A37,Equipamentos!$A$3:$A$52,0)),""))</f>
        <v>Esteira transportadora</v>
      </c>
      <c r="C37" s="40" t="s">
        <v>172</v>
      </c>
      <c r="D37" s="40" t="s">
        <v>213</v>
      </c>
      <c r="E37" s="42" t="n">
        <v>3</v>
      </c>
      <c r="F37" s="45" t="n">
        <f aca="false">IF($D37="","",COUNTIF($B$3:$B37,$B37))</f>
        <v>8</v>
      </c>
      <c r="G37" s="47" t="str">
        <f aca="false">IF($D37="","",CONCATENATE($B37,"|",$F37))</f>
        <v>Esteira transportadora|8</v>
      </c>
      <c r="H37" s="46" t="str">
        <f aca="false">IF($D37="","",IF(COUNTIFS($B$3:$B$402,$B37,$D$3:$D$402,$D37)&gt;1,"Repetido",""))</f>
        <v/>
      </c>
    </row>
    <row r="38" customFormat="false" ht="18" hidden="false" customHeight="true" outlineLevel="0" collapsed="false">
      <c r="A38" s="40" t="s">
        <v>127</v>
      </c>
      <c r="B38" s="47" t="str">
        <f aca="false">IF($A38="","",IFERROR(INDEX(Equipamentos!$C$3:$C$52,MATCH($A38,Equipamentos!$A$3:$A$52,0)),""))</f>
        <v>Fresadora</v>
      </c>
      <c r="C38" s="40" t="s">
        <v>176</v>
      </c>
      <c r="D38" s="40" t="s">
        <v>177</v>
      </c>
      <c r="E38" s="42" t="n">
        <v>3</v>
      </c>
      <c r="F38" s="45" t="n">
        <f aca="false">IF($D38="","",COUNTIF($B$3:$B38,$B38))</f>
        <v>1</v>
      </c>
      <c r="G38" s="47" t="str">
        <f aca="false">IF($D38="","",CONCATENATE($B38,"|",$F38))</f>
        <v>Fresadora|1</v>
      </c>
      <c r="H38" s="46" t="str">
        <f aca="false">IF($D38="","",IF(COUNTIFS($B$3:$B$402,$B38,$D$3:$D$402,$D38)&gt;1,"Repetido",""))</f>
        <v/>
      </c>
    </row>
    <row r="39" customFormat="false" ht="18" hidden="false" customHeight="true" outlineLevel="0" collapsed="false">
      <c r="A39" s="40" t="s">
        <v>127</v>
      </c>
      <c r="B39" s="47" t="str">
        <f aca="false">IF($A39="","",IFERROR(INDEX(Equipamentos!$C$3:$C$52,MATCH($A39,Equipamentos!$A$3:$A$52,0)),""))</f>
        <v>Fresadora</v>
      </c>
      <c r="C39" s="40" t="s">
        <v>174</v>
      </c>
      <c r="D39" s="40" t="s">
        <v>178</v>
      </c>
      <c r="E39" s="42" t="n">
        <v>10</v>
      </c>
      <c r="F39" s="45" t="n">
        <f aca="false">IF($D39="","",COUNTIF($B$3:$B39,$B39))</f>
        <v>2</v>
      </c>
      <c r="G39" s="47" t="str">
        <f aca="false">IF($D39="","",CONCATENATE($B39,"|",$F39))</f>
        <v>Fresadora|2</v>
      </c>
      <c r="H39" s="46" t="str">
        <f aca="false">IF($D39="","",IF(COUNTIFS($B$3:$B$402,$B39,$D$3:$D$402,$D39)&gt;1,"Repetido",""))</f>
        <v/>
      </c>
    </row>
    <row r="40" customFormat="false" ht="18" hidden="false" customHeight="true" outlineLevel="0" collapsed="false">
      <c r="A40" s="40" t="s">
        <v>127</v>
      </c>
      <c r="B40" s="47" t="str">
        <f aca="false">IF($A40="","",IFERROR(INDEX(Equipamentos!$C$3:$C$52,MATCH($A40,Equipamentos!$A$3:$A$52,0)),""))</f>
        <v>Fresadora</v>
      </c>
      <c r="C40" s="40" t="s">
        <v>179</v>
      </c>
      <c r="D40" s="40" t="s">
        <v>214</v>
      </c>
      <c r="E40" s="42" t="n">
        <v>9</v>
      </c>
      <c r="F40" s="45" t="n">
        <f aca="false">IF($D40="","",COUNTIF($B$3:$B40,$B40))</f>
        <v>3</v>
      </c>
      <c r="G40" s="47" t="str">
        <f aca="false">IF($D40="","",CONCATENATE($B40,"|",$F40))</f>
        <v>Fresadora|3</v>
      </c>
      <c r="H40" s="46" t="str">
        <f aca="false">IF($D40="","",IF(COUNTIFS($B$3:$B$402,$B40,$D$3:$D$402,$D40)&gt;1,"Repetido",""))</f>
        <v/>
      </c>
    </row>
    <row r="41" customFormat="false" ht="18" hidden="false" customHeight="true" outlineLevel="0" collapsed="false">
      <c r="A41" s="40" t="s">
        <v>127</v>
      </c>
      <c r="B41" s="47" t="str">
        <f aca="false">IF($A41="","",IFERROR(INDEX(Equipamentos!$C$3:$C$52,MATCH($A41,Equipamentos!$A$3:$A$52,0)),""))</f>
        <v>Fresadora</v>
      </c>
      <c r="C41" s="40" t="s">
        <v>160</v>
      </c>
      <c r="D41" s="40" t="s">
        <v>215</v>
      </c>
      <c r="E41" s="42" t="n">
        <v>7</v>
      </c>
      <c r="F41" s="45" t="n">
        <f aca="false">IF($D41="","",COUNTIF($B$3:$B41,$B41))</f>
        <v>4</v>
      </c>
      <c r="G41" s="47" t="str">
        <f aca="false">IF($D41="","",CONCATENATE($B41,"|",$F41))</f>
        <v>Fresadora|4</v>
      </c>
      <c r="H41" s="46" t="str">
        <f aca="false">IF($D41="","",IF(COUNTIFS($B$3:$B$402,$B41,$D$3:$D$402,$D41)&gt;1,"Repetido",""))</f>
        <v/>
      </c>
    </row>
    <row r="42" customFormat="false" ht="18" hidden="false" customHeight="true" outlineLevel="0" collapsed="false">
      <c r="A42" s="40" t="s">
        <v>127</v>
      </c>
      <c r="B42" s="47" t="str">
        <f aca="false">IF($A42="","",IFERROR(INDEX(Equipamentos!$C$3:$C$52,MATCH($A42,Equipamentos!$A$3:$A$52,0)),""))</f>
        <v>Fresadora</v>
      </c>
      <c r="C42" s="40" t="s">
        <v>165</v>
      </c>
      <c r="D42" s="40" t="s">
        <v>216</v>
      </c>
      <c r="E42" s="42" t="n">
        <v>7</v>
      </c>
      <c r="F42" s="45" t="n">
        <f aca="false">IF($D42="","",COUNTIF($B$3:$B42,$B42))</f>
        <v>5</v>
      </c>
      <c r="G42" s="47" t="str">
        <f aca="false">IF($D42="","",CONCATENATE($B42,"|",$F42))</f>
        <v>Fresadora|5</v>
      </c>
      <c r="H42" s="46" t="str">
        <f aca="false">IF($D42="","",IF(COUNTIFS($B$3:$B$402,$B42,$D$3:$D$402,$D42)&gt;1,"Repetido",""))</f>
        <v/>
      </c>
    </row>
    <row r="43" customFormat="false" ht="18" hidden="false" customHeight="true" outlineLevel="0" collapsed="false">
      <c r="A43" s="40" t="s">
        <v>127</v>
      </c>
      <c r="B43" s="47" t="str">
        <f aca="false">IF($A43="","",IFERROR(INDEX(Equipamentos!$C$3:$C$52,MATCH($A43,Equipamentos!$A$3:$A$52,0)),""))</f>
        <v>Fresadora</v>
      </c>
      <c r="C43" s="40" t="s">
        <v>165</v>
      </c>
      <c r="D43" s="40" t="s">
        <v>217</v>
      </c>
      <c r="E43" s="42" t="n">
        <v>9</v>
      </c>
      <c r="F43" s="45" t="n">
        <f aca="false">IF($D43="","",COUNTIF($B$3:$B43,$B43))</f>
        <v>6</v>
      </c>
      <c r="G43" s="47" t="str">
        <f aca="false">IF($D43="","",CONCATENATE($B43,"|",$F43))</f>
        <v>Fresadora|6</v>
      </c>
      <c r="H43" s="46" t="str">
        <f aca="false">IF($D43="","",IF(COUNTIFS($B$3:$B$402,$B43,$D$3:$D$402,$D43)&gt;1,"Repetido",""))</f>
        <v/>
      </c>
    </row>
    <row r="44" customFormat="false" ht="18" hidden="false" customHeight="true" outlineLevel="0" collapsed="false">
      <c r="A44" s="40" t="s">
        <v>127</v>
      </c>
      <c r="B44" s="47" t="str">
        <f aca="false">IF($A44="","",IFERROR(INDEX(Equipamentos!$C$3:$C$52,MATCH($A44,Equipamentos!$A$3:$A$52,0)),""))</f>
        <v>Fresadora</v>
      </c>
      <c r="C44" s="40" t="s">
        <v>184</v>
      </c>
      <c r="D44" s="40" t="s">
        <v>218</v>
      </c>
      <c r="E44" s="42" t="n">
        <v>5</v>
      </c>
      <c r="F44" s="45" t="n">
        <f aca="false">IF($D44="","",COUNTIF($B$3:$B44,$B44))</f>
        <v>7</v>
      </c>
      <c r="G44" s="47" t="str">
        <f aca="false">IF($D44="","",CONCATENATE($B44,"|",$F44))</f>
        <v>Fresadora|7</v>
      </c>
      <c r="H44" s="46" t="str">
        <f aca="false">IF($D44="","",IF(COUNTIFS($B$3:$B$402,$B44,$D$3:$D$402,$D44)&gt;1,"Repetido",""))</f>
        <v/>
      </c>
    </row>
    <row r="45" customFormat="false" ht="18" hidden="false" customHeight="true" outlineLevel="0" collapsed="false">
      <c r="A45" s="40" t="s">
        <v>127</v>
      </c>
      <c r="B45" s="47" t="str">
        <f aca="false">IF($A45="","",IFERROR(INDEX(Equipamentos!$C$3:$C$52,MATCH($A45,Equipamentos!$A$3:$A$52,0)),""))</f>
        <v>Fresadora</v>
      </c>
      <c r="C45" s="40" t="s">
        <v>172</v>
      </c>
      <c r="D45" s="40" t="s">
        <v>219</v>
      </c>
      <c r="E45" s="42" t="n">
        <v>3</v>
      </c>
      <c r="F45" s="45" t="n">
        <f aca="false">IF($D45="","",COUNTIF($B$3:$B45,$B45))</f>
        <v>8</v>
      </c>
      <c r="G45" s="47" t="str">
        <f aca="false">IF($D45="","",CONCATENATE($B45,"|",$F45))</f>
        <v>Fresadora|8</v>
      </c>
      <c r="H45" s="46" t="str">
        <f aca="false">IF($D45="","",IF(COUNTIFS($B$3:$B$402,$B45,$D$3:$D$402,$D45)&gt;1,"Repetido",""))</f>
        <v/>
      </c>
    </row>
    <row r="46" customFormat="false" ht="18" hidden="false" customHeight="true" outlineLevel="0" collapsed="false">
      <c r="A46" s="40" t="s">
        <v>131</v>
      </c>
      <c r="B46" s="47" t="str">
        <f aca="false">IF($A46="","",IFERROR(INDEX(Equipamentos!$C$3:$C$52,MATCH($A46,Equipamentos!$A$3:$A$52,0)),""))</f>
        <v>Prensa hidráulica</v>
      </c>
      <c r="C46" s="40" t="s">
        <v>194</v>
      </c>
      <c r="D46" s="40" t="s">
        <v>220</v>
      </c>
      <c r="E46" s="42" t="n">
        <v>10</v>
      </c>
      <c r="F46" s="45" t="n">
        <f aca="false">IF($D46="","",COUNTIF($B$3:$B46,$B46))</f>
        <v>1</v>
      </c>
      <c r="G46" s="47" t="str">
        <f aca="false">IF($D46="","",CONCATENATE($B46,"|",$F46))</f>
        <v>Prensa hidráulica|1</v>
      </c>
      <c r="H46" s="46" t="str">
        <f aca="false">IF($D46="","",IF(COUNTIFS($B$3:$B$402,$B46,$D$3:$D$402,$D46)&gt;1,"Repetido",""))</f>
        <v/>
      </c>
    </row>
    <row r="47" customFormat="false" ht="18" hidden="false" customHeight="true" outlineLevel="0" collapsed="false">
      <c r="A47" s="40" t="s">
        <v>131</v>
      </c>
      <c r="B47" s="47" t="str">
        <f aca="false">IF($A47="","",IFERROR(INDEX(Equipamentos!$C$3:$C$52,MATCH($A47,Equipamentos!$A$3:$A$52,0)),""))</f>
        <v>Prensa hidráulica</v>
      </c>
      <c r="C47" s="40" t="s">
        <v>194</v>
      </c>
      <c r="D47" s="40" t="s">
        <v>221</v>
      </c>
      <c r="E47" s="42" t="n">
        <v>10</v>
      </c>
      <c r="F47" s="45" t="n">
        <f aca="false">IF($D47="","",COUNTIF($B$3:$B47,$B47))</f>
        <v>2</v>
      </c>
      <c r="G47" s="47" t="str">
        <f aca="false">IF($D47="","",CONCATENATE($B47,"|",$F47))</f>
        <v>Prensa hidráulica|2</v>
      </c>
      <c r="H47" s="46" t="str">
        <f aca="false">IF($D47="","",IF(COUNTIFS($B$3:$B$402,$B47,$D$3:$D$402,$D47)&gt;1,"Repetido",""))</f>
        <v/>
      </c>
    </row>
    <row r="48" customFormat="false" ht="18" hidden="false" customHeight="true" outlineLevel="0" collapsed="false">
      <c r="A48" s="40" t="s">
        <v>131</v>
      </c>
      <c r="B48" s="47" t="str">
        <f aca="false">IF($A48="","",IFERROR(INDEX(Equipamentos!$C$3:$C$52,MATCH($A48,Equipamentos!$A$3:$A$52,0)),""))</f>
        <v>Prensa hidráulica</v>
      </c>
      <c r="C48" s="40" t="s">
        <v>222</v>
      </c>
      <c r="D48" s="40" t="s">
        <v>223</v>
      </c>
      <c r="E48" s="42" t="n">
        <v>7</v>
      </c>
      <c r="F48" s="45" t="n">
        <f aca="false">IF($D48="","",COUNTIF($B$3:$B48,$B48))</f>
        <v>3</v>
      </c>
      <c r="G48" s="47" t="str">
        <f aca="false">IF($D48="","",CONCATENATE($B48,"|",$F48))</f>
        <v>Prensa hidráulica|3</v>
      </c>
      <c r="H48" s="46" t="str">
        <f aca="false">IF($D48="","",IF(COUNTIFS($B$3:$B$402,$B48,$D$3:$D$402,$D48)&gt;1,"Repetido",""))</f>
        <v/>
      </c>
    </row>
    <row r="49" customFormat="false" ht="18" hidden="false" customHeight="true" outlineLevel="0" collapsed="false">
      <c r="A49" s="40" t="s">
        <v>131</v>
      </c>
      <c r="B49" s="47" t="str">
        <f aca="false">IF($A49="","",IFERROR(INDEX(Equipamentos!$C$3:$C$52,MATCH($A49,Equipamentos!$A$3:$A$52,0)),""))</f>
        <v>Prensa hidráulica</v>
      </c>
      <c r="C49" s="40" t="s">
        <v>222</v>
      </c>
      <c r="D49" s="40" t="s">
        <v>224</v>
      </c>
      <c r="E49" s="42" t="n">
        <v>7</v>
      </c>
      <c r="F49" s="45" t="n">
        <f aca="false">IF($D49="","",COUNTIF($B$3:$B49,$B49))</f>
        <v>4</v>
      </c>
      <c r="G49" s="47" t="str">
        <f aca="false">IF($D49="","",CONCATENATE($B49,"|",$F49))</f>
        <v>Prensa hidráulica|4</v>
      </c>
      <c r="H49" s="46" t="str">
        <f aca="false">IF($D49="","",IF(COUNTIFS($B$3:$B$402,$B49,$D$3:$D$402,$D49)&gt;1,"Repetido",""))</f>
        <v/>
      </c>
    </row>
    <row r="50" customFormat="false" ht="18" hidden="false" customHeight="true" outlineLevel="0" collapsed="false">
      <c r="A50" s="40" t="s">
        <v>131</v>
      </c>
      <c r="B50" s="47" t="str">
        <f aca="false">IF($A50="","",IFERROR(INDEX(Equipamentos!$C$3:$C$52,MATCH($A50,Equipamentos!$A$3:$A$52,0)),""))</f>
        <v>Prensa hidráulica</v>
      </c>
      <c r="C50" s="40" t="s">
        <v>225</v>
      </c>
      <c r="D50" s="40" t="s">
        <v>226</v>
      </c>
      <c r="E50" s="42" t="n">
        <v>9</v>
      </c>
      <c r="F50" s="45" t="n">
        <f aca="false">IF($D50="","",COUNTIF($B$3:$B50,$B50))</f>
        <v>5</v>
      </c>
      <c r="G50" s="47" t="str">
        <f aca="false">IF($D50="","",CONCATENATE($B50,"|",$F50))</f>
        <v>Prensa hidráulica|5</v>
      </c>
      <c r="H50" s="46" t="str">
        <f aca="false">IF($D50="","",IF(COUNTIFS($B$3:$B$402,$B50,$D$3:$D$402,$D50)&gt;1,"Repetido",""))</f>
        <v/>
      </c>
    </row>
    <row r="51" customFormat="false" ht="18" hidden="false" customHeight="true" outlineLevel="0" collapsed="false">
      <c r="A51" s="40" t="s">
        <v>131</v>
      </c>
      <c r="B51" s="47" t="str">
        <f aca="false">IF($A51="","",IFERROR(INDEX(Equipamentos!$C$3:$C$52,MATCH($A51,Equipamentos!$A$3:$A$52,0)),""))</f>
        <v>Prensa hidráulica</v>
      </c>
      <c r="C51" s="40" t="s">
        <v>174</v>
      </c>
      <c r="D51" s="40" t="s">
        <v>227</v>
      </c>
      <c r="E51" s="42" t="n">
        <v>10</v>
      </c>
      <c r="F51" s="45" t="n">
        <f aca="false">IF($D51="","",COUNTIF($B$3:$B51,$B51))</f>
        <v>6</v>
      </c>
      <c r="G51" s="47" t="str">
        <f aca="false">IF($D51="","",CONCATENATE($B51,"|",$F51))</f>
        <v>Prensa hidráulica|6</v>
      </c>
      <c r="H51" s="46" t="str">
        <f aca="false">IF($D51="","",IF(COUNTIFS($B$3:$B$402,$B51,$D$3:$D$402,$D51)&gt;1,"Repetido",""))</f>
        <v/>
      </c>
    </row>
    <row r="52" customFormat="false" ht="18" hidden="false" customHeight="true" outlineLevel="0" collapsed="false">
      <c r="A52" s="40" t="s">
        <v>131</v>
      </c>
      <c r="B52" s="47" t="str">
        <f aca="false">IF($A52="","",IFERROR(INDEX(Equipamentos!$C$3:$C$52,MATCH($A52,Equipamentos!$A$3:$A$52,0)),""))</f>
        <v>Prensa hidráulica</v>
      </c>
      <c r="C52" s="40" t="s">
        <v>165</v>
      </c>
      <c r="D52" s="40" t="s">
        <v>228</v>
      </c>
      <c r="E52" s="42" t="n">
        <v>9</v>
      </c>
      <c r="F52" s="45" t="n">
        <f aca="false">IF($D52="","",COUNTIF($B$3:$B52,$B52))</f>
        <v>7</v>
      </c>
      <c r="G52" s="47" t="str">
        <f aca="false">IF($D52="","",CONCATENATE($B52,"|",$F52))</f>
        <v>Prensa hidráulica|7</v>
      </c>
      <c r="H52" s="46" t="str">
        <f aca="false">IF($D52="","",IF(COUNTIFS($B$3:$B$402,$B52,$D$3:$D$402,$D52)&gt;1,"Repetido",""))</f>
        <v/>
      </c>
    </row>
    <row r="53" customFormat="false" ht="18" hidden="false" customHeight="true" outlineLevel="0" collapsed="false">
      <c r="A53" s="40" t="s">
        <v>131</v>
      </c>
      <c r="B53" s="47" t="str">
        <f aca="false">IF($A53="","",IFERROR(INDEX(Equipamentos!$C$3:$C$52,MATCH($A53,Equipamentos!$A$3:$A$52,0)),""))</f>
        <v>Prensa hidráulica</v>
      </c>
      <c r="C53" s="40" t="s">
        <v>172</v>
      </c>
      <c r="D53" s="40" t="s">
        <v>229</v>
      </c>
      <c r="E53" s="42" t="n">
        <v>3</v>
      </c>
      <c r="F53" s="45" t="n">
        <f aca="false">IF($D53="","",COUNTIF($B$3:$B53,$B53))</f>
        <v>8</v>
      </c>
      <c r="G53" s="47" t="str">
        <f aca="false">IF($D53="","",CONCATENATE($B53,"|",$F53))</f>
        <v>Prensa hidráulica|8</v>
      </c>
      <c r="H53" s="46" t="str">
        <f aca="false">IF($D53="","",IF(COUNTIFS($B$3:$B$402,$B53,$D$3:$D$402,$D53)&gt;1,"Repetido",""))</f>
        <v/>
      </c>
    </row>
    <row r="54" customFormat="false" ht="18" hidden="false" customHeight="true" outlineLevel="0" collapsed="false">
      <c r="A54" s="40" t="s">
        <v>142</v>
      </c>
      <c r="B54" s="47" t="str">
        <f aca="false">IF($A54="","",IFERROR(INDEX(Equipamentos!$C$3:$C$52,MATCH($A54,Equipamentos!$A$3:$A$52,0)),""))</f>
        <v>Furadeira de bancada</v>
      </c>
      <c r="C54" s="40" t="s">
        <v>179</v>
      </c>
      <c r="D54" s="40" t="s">
        <v>230</v>
      </c>
      <c r="E54" s="42" t="n">
        <v>9</v>
      </c>
      <c r="F54" s="45" t="n">
        <f aca="false">IF($D54="","",COUNTIF($B$3:$B54,$B54))</f>
        <v>1</v>
      </c>
      <c r="G54" s="47" t="str">
        <f aca="false">IF($D54="","",CONCATENATE($B54,"|",$F54))</f>
        <v>Furadeira de bancada|1</v>
      </c>
      <c r="H54" s="46" t="str">
        <f aca="false">IF($D54="","",IF(COUNTIFS($B$3:$B$402,$B54,$D$3:$D$402,$D54)&gt;1,"Repetido",""))</f>
        <v/>
      </c>
    </row>
    <row r="55" customFormat="false" ht="18" hidden="false" customHeight="true" outlineLevel="0" collapsed="false">
      <c r="A55" s="40" t="s">
        <v>142</v>
      </c>
      <c r="B55" s="47" t="str">
        <f aca="false">IF($A55="","",IFERROR(INDEX(Equipamentos!$C$3:$C$52,MATCH($A55,Equipamentos!$A$3:$A$52,0)),""))</f>
        <v>Furadeira de bancada</v>
      </c>
      <c r="C55" s="40" t="s">
        <v>179</v>
      </c>
      <c r="D55" s="40" t="s">
        <v>231</v>
      </c>
      <c r="E55" s="42" t="n">
        <v>7</v>
      </c>
      <c r="F55" s="45" t="n">
        <f aca="false">IF($D55="","",COUNTIF($B$3:$B55,$B55))</f>
        <v>2</v>
      </c>
      <c r="G55" s="47" t="str">
        <f aca="false">IF($D55="","",CONCATENATE($B55,"|",$F55))</f>
        <v>Furadeira de bancada|2</v>
      </c>
      <c r="H55" s="46" t="str">
        <f aca="false">IF($D55="","",IF(COUNTIFS($B$3:$B$402,$B55,$D$3:$D$402,$D55)&gt;1,"Repetido",""))</f>
        <v/>
      </c>
    </row>
    <row r="56" customFormat="false" ht="18" hidden="false" customHeight="true" outlineLevel="0" collapsed="false">
      <c r="A56" s="40" t="s">
        <v>142</v>
      </c>
      <c r="B56" s="47" t="str">
        <f aca="false">IF($A56="","",IFERROR(INDEX(Equipamentos!$C$3:$C$52,MATCH($A56,Equipamentos!$A$3:$A$52,0)),""))</f>
        <v>Furadeira de bancada</v>
      </c>
      <c r="C56" s="40" t="s">
        <v>174</v>
      </c>
      <c r="D56" s="40" t="s">
        <v>232</v>
      </c>
      <c r="E56" s="42" t="n">
        <v>9</v>
      </c>
      <c r="F56" s="45" t="n">
        <f aca="false">IF($D56="","",COUNTIF($B$3:$B56,$B56))</f>
        <v>3</v>
      </c>
      <c r="G56" s="47" t="str">
        <f aca="false">IF($D56="","",CONCATENATE($B56,"|",$F56))</f>
        <v>Furadeira de bancada|3</v>
      </c>
      <c r="H56" s="46" t="str">
        <f aca="false">IF($D56="","",IF(COUNTIFS($B$3:$B$402,$B56,$D$3:$D$402,$D56)&gt;1,"Repetido",""))</f>
        <v/>
      </c>
    </row>
    <row r="57" customFormat="false" ht="18" hidden="false" customHeight="true" outlineLevel="0" collapsed="false">
      <c r="A57" s="40" t="s">
        <v>142</v>
      </c>
      <c r="B57" s="47" t="str">
        <f aca="false">IF($A57="","",IFERROR(INDEX(Equipamentos!$C$3:$C$52,MATCH($A57,Equipamentos!$A$3:$A$52,0)),""))</f>
        <v>Furadeira de bancada</v>
      </c>
      <c r="C57" s="40" t="s">
        <v>165</v>
      </c>
      <c r="D57" s="40" t="s">
        <v>233</v>
      </c>
      <c r="E57" s="42" t="n">
        <v>7</v>
      </c>
      <c r="F57" s="45" t="n">
        <f aca="false">IF($D57="","",COUNTIF($B$3:$B57,$B57))</f>
        <v>4</v>
      </c>
      <c r="G57" s="47" t="str">
        <f aca="false">IF($D57="","",CONCATENATE($B57,"|",$F57))</f>
        <v>Furadeira de bancada|4</v>
      </c>
      <c r="H57" s="46" t="str">
        <f aca="false">IF($D57="","",IF(COUNTIFS($B$3:$B$402,$B57,$D$3:$D$402,$D57)&gt;1,"Repetido",""))</f>
        <v/>
      </c>
    </row>
    <row r="58" customFormat="false" ht="18" hidden="false" customHeight="true" outlineLevel="0" collapsed="false">
      <c r="A58" s="40" t="s">
        <v>142</v>
      </c>
      <c r="B58" s="47" t="str">
        <f aca="false">IF($A58="","",IFERROR(INDEX(Equipamentos!$C$3:$C$52,MATCH($A58,Equipamentos!$A$3:$A$52,0)),""))</f>
        <v>Furadeira de bancada</v>
      </c>
      <c r="C58" s="40" t="s">
        <v>165</v>
      </c>
      <c r="D58" s="40" t="s">
        <v>234</v>
      </c>
      <c r="E58" s="42" t="n">
        <v>5</v>
      </c>
      <c r="F58" s="45" t="n">
        <f aca="false">IF($D58="","",COUNTIF($B$3:$B58,$B58))</f>
        <v>5</v>
      </c>
      <c r="G58" s="47" t="str">
        <f aca="false">IF($D58="","",CONCATENATE($B58,"|",$F58))</f>
        <v>Furadeira de bancada|5</v>
      </c>
      <c r="H58" s="46" t="str">
        <f aca="false">IF($D58="","",IF(COUNTIFS($B$3:$B$402,$B58,$D$3:$D$402,$D58)&gt;1,"Repetido",""))</f>
        <v/>
      </c>
    </row>
    <row r="59" customFormat="false" ht="18" hidden="false" customHeight="true" outlineLevel="0" collapsed="false">
      <c r="A59" s="40" t="s">
        <v>142</v>
      </c>
      <c r="B59" s="47" t="str">
        <f aca="false">IF($A59="","",IFERROR(INDEX(Equipamentos!$C$3:$C$52,MATCH($A59,Equipamentos!$A$3:$A$52,0)),""))</f>
        <v>Furadeira de bancada</v>
      </c>
      <c r="C59" s="40" t="s">
        <v>165</v>
      </c>
      <c r="D59" s="40" t="s">
        <v>235</v>
      </c>
      <c r="E59" s="42" t="n">
        <v>5</v>
      </c>
      <c r="F59" s="45" t="n">
        <f aca="false">IF($D59="","",COUNTIF($B$3:$B59,$B59))</f>
        <v>6</v>
      </c>
      <c r="G59" s="47" t="str">
        <f aca="false">IF($D59="","",CONCATENATE($B59,"|",$F59))</f>
        <v>Furadeira de bancada|6</v>
      </c>
      <c r="H59" s="46" t="str">
        <f aca="false">IF($D59="","",IF(COUNTIFS($B$3:$B$402,$B59,$D$3:$D$402,$D59)&gt;1,"Repetido",""))</f>
        <v/>
      </c>
    </row>
    <row r="60" customFormat="false" ht="18" hidden="false" customHeight="true" outlineLevel="0" collapsed="false">
      <c r="A60" s="40" t="s">
        <v>142</v>
      </c>
      <c r="B60" s="47" t="str">
        <f aca="false">IF($A60="","",IFERROR(INDEX(Equipamentos!$C$3:$C$52,MATCH($A60,Equipamentos!$A$3:$A$52,0)),""))</f>
        <v>Furadeira de bancada</v>
      </c>
      <c r="C60" s="40" t="s">
        <v>172</v>
      </c>
      <c r="D60" s="40" t="s">
        <v>236</v>
      </c>
      <c r="E60" s="42" t="n">
        <v>3</v>
      </c>
      <c r="F60" s="45" t="n">
        <f aca="false">IF($D60="","",COUNTIF($B$3:$B60,$B60))</f>
        <v>7</v>
      </c>
      <c r="G60" s="47" t="str">
        <f aca="false">IF($D60="","",CONCATENATE($B60,"|",$F60))</f>
        <v>Furadeira de bancada|7</v>
      </c>
      <c r="H60" s="46" t="str">
        <f aca="false">IF($D60="","",IF(COUNTIFS($B$3:$B$402,$B60,$D$3:$D$402,$D60)&gt;1,"Repetido",""))</f>
        <v/>
      </c>
    </row>
    <row r="61" customFormat="false" ht="18" hidden="false" customHeight="true" outlineLevel="0" collapsed="false">
      <c r="A61" s="40" t="s">
        <v>146</v>
      </c>
      <c r="B61" s="47" t="str">
        <f aca="false">IF($A61="","",IFERROR(INDEX(Equipamentos!$C$3:$C$52,MATCH($A61,Equipamentos!$A$3:$A$52,0)),""))</f>
        <v>Máquina de solda</v>
      </c>
      <c r="C61" s="40" t="s">
        <v>174</v>
      </c>
      <c r="D61" s="40" t="s">
        <v>237</v>
      </c>
      <c r="E61" s="42" t="n">
        <v>9</v>
      </c>
      <c r="F61" s="45" t="n">
        <f aca="false">IF($D61="","",COUNTIF($B$3:$B61,$B61))</f>
        <v>1</v>
      </c>
      <c r="G61" s="47" t="str">
        <f aca="false">IF($D61="","",CONCATENATE($B61,"|",$F61))</f>
        <v>Máquina de solda|1</v>
      </c>
      <c r="H61" s="46" t="str">
        <f aca="false">IF($D61="","",IF(COUNTIFS($B$3:$B$402,$B61,$D$3:$D$402,$D61)&gt;1,"Repetido",""))</f>
        <v/>
      </c>
    </row>
    <row r="62" customFormat="false" ht="18" hidden="false" customHeight="true" outlineLevel="0" collapsed="false">
      <c r="A62" s="40" t="s">
        <v>146</v>
      </c>
      <c r="B62" s="47" t="str">
        <f aca="false">IF($A62="","",IFERROR(INDEX(Equipamentos!$C$3:$C$52,MATCH($A62,Equipamentos!$A$3:$A$52,0)),""))</f>
        <v>Máquina de solda</v>
      </c>
      <c r="C62" s="40" t="s">
        <v>174</v>
      </c>
      <c r="D62" s="40" t="s">
        <v>238</v>
      </c>
      <c r="E62" s="42" t="n">
        <v>10</v>
      </c>
      <c r="F62" s="45" t="n">
        <f aca="false">IF($D62="","",COUNTIF($B$3:$B62,$B62))</f>
        <v>2</v>
      </c>
      <c r="G62" s="47" t="str">
        <f aca="false">IF($D62="","",CONCATENATE($B62,"|",$F62))</f>
        <v>Máquina de solda|2</v>
      </c>
      <c r="H62" s="46" t="str">
        <f aca="false">IF($D62="","",IF(COUNTIFS($B$3:$B$402,$B62,$D$3:$D$402,$D62)&gt;1,"Repetido",""))</f>
        <v/>
      </c>
    </row>
    <row r="63" customFormat="false" ht="18" hidden="false" customHeight="true" outlineLevel="0" collapsed="false">
      <c r="A63" s="40" t="s">
        <v>146</v>
      </c>
      <c r="B63" s="47" t="str">
        <f aca="false">IF($A63="","",IFERROR(INDEX(Equipamentos!$C$3:$C$52,MATCH($A63,Equipamentos!$A$3:$A$52,0)),""))</f>
        <v>Máquina de solda</v>
      </c>
      <c r="C63" s="40" t="s">
        <v>174</v>
      </c>
      <c r="D63" s="40" t="s">
        <v>239</v>
      </c>
      <c r="E63" s="42" t="n">
        <v>9</v>
      </c>
      <c r="F63" s="45" t="n">
        <f aca="false">IF($D63="","",COUNTIF($B$3:$B63,$B63))</f>
        <v>3</v>
      </c>
      <c r="G63" s="47" t="str">
        <f aca="false">IF($D63="","",CONCATENATE($B63,"|",$F63))</f>
        <v>Máquina de solda|3</v>
      </c>
      <c r="H63" s="46" t="str">
        <f aca="false">IF($D63="","",IF(COUNTIFS($B$3:$B$402,$B63,$D$3:$D$402,$D63)&gt;1,"Repetido",""))</f>
        <v/>
      </c>
    </row>
    <row r="64" customFormat="false" ht="18" hidden="false" customHeight="true" outlineLevel="0" collapsed="false">
      <c r="A64" s="40" t="s">
        <v>146</v>
      </c>
      <c r="B64" s="47" t="str">
        <f aca="false">IF($A64="","",IFERROR(INDEX(Equipamentos!$C$3:$C$52,MATCH($A64,Equipamentos!$A$3:$A$52,0)),""))</f>
        <v>Máquina de solda</v>
      </c>
      <c r="C64" s="40" t="s">
        <v>240</v>
      </c>
      <c r="D64" s="40" t="s">
        <v>241</v>
      </c>
      <c r="E64" s="42" t="n">
        <v>9</v>
      </c>
      <c r="F64" s="45" t="n">
        <f aca="false">IF($D64="","",COUNTIF($B$3:$B64,$B64))</f>
        <v>4</v>
      </c>
      <c r="G64" s="47" t="str">
        <f aca="false">IF($D64="","",CONCATENATE($B64,"|",$F64))</f>
        <v>Máquina de solda|4</v>
      </c>
      <c r="H64" s="46" t="str">
        <f aca="false">IF($D64="","",IF(COUNTIFS($B$3:$B$402,$B64,$D$3:$D$402,$D64)&gt;1,"Repetido",""))</f>
        <v/>
      </c>
    </row>
    <row r="65" customFormat="false" ht="18" hidden="false" customHeight="true" outlineLevel="0" collapsed="false">
      <c r="A65" s="40" t="s">
        <v>146</v>
      </c>
      <c r="B65" s="47" t="str">
        <f aca="false">IF($A65="","",IFERROR(INDEX(Equipamentos!$C$3:$C$52,MATCH($A65,Equipamentos!$A$3:$A$52,0)),""))</f>
        <v>Máquina de solda</v>
      </c>
      <c r="C65" s="40" t="s">
        <v>240</v>
      </c>
      <c r="D65" s="40" t="s">
        <v>242</v>
      </c>
      <c r="E65" s="42" t="n">
        <v>9</v>
      </c>
      <c r="F65" s="45" t="n">
        <f aca="false">IF($D65="","",COUNTIF($B$3:$B65,$B65))</f>
        <v>5</v>
      </c>
      <c r="G65" s="47" t="str">
        <f aca="false">IF($D65="","",CONCATENATE($B65,"|",$F65))</f>
        <v>Máquina de solda|5</v>
      </c>
      <c r="H65" s="46" t="str">
        <f aca="false">IF($D65="","",IF(COUNTIFS($B$3:$B$402,$B65,$D$3:$D$402,$D65)&gt;1,"Repetido",""))</f>
        <v/>
      </c>
    </row>
    <row r="66" customFormat="false" ht="18" hidden="false" customHeight="true" outlineLevel="0" collapsed="false">
      <c r="A66" s="40" t="s">
        <v>146</v>
      </c>
      <c r="B66" s="47" t="str">
        <f aca="false">IF($A66="","",IFERROR(INDEX(Equipamentos!$C$3:$C$52,MATCH($A66,Equipamentos!$A$3:$A$52,0)),""))</f>
        <v>Máquina de solda</v>
      </c>
      <c r="C66" s="40" t="s">
        <v>243</v>
      </c>
      <c r="D66" s="40" t="s">
        <v>244</v>
      </c>
      <c r="E66" s="42" t="n">
        <v>7</v>
      </c>
      <c r="F66" s="45" t="n">
        <f aca="false">IF($D66="","",COUNTIF($B$3:$B66,$B66))</f>
        <v>6</v>
      </c>
      <c r="G66" s="47" t="str">
        <f aca="false">IF($D66="","",CONCATENATE($B66,"|",$F66))</f>
        <v>Máquina de solda|6</v>
      </c>
      <c r="H66" s="46" t="str">
        <f aca="false">IF($D66="","",IF(COUNTIFS($B$3:$B$402,$B66,$D$3:$D$402,$D66)&gt;1,"Repetido",""))</f>
        <v/>
      </c>
    </row>
    <row r="67" customFormat="false" ht="18" hidden="false" customHeight="true" outlineLevel="0" collapsed="false">
      <c r="A67" s="40" t="s">
        <v>146</v>
      </c>
      <c r="B67" s="47" t="str">
        <f aca="false">IF($A67="","",IFERROR(INDEX(Equipamentos!$C$3:$C$52,MATCH($A67,Equipamentos!$A$3:$A$52,0)),""))</f>
        <v>Máquina de solda</v>
      </c>
      <c r="C67" s="40" t="s">
        <v>245</v>
      </c>
      <c r="D67" s="40" t="s">
        <v>246</v>
      </c>
      <c r="E67" s="42" t="n">
        <v>7</v>
      </c>
      <c r="F67" s="45" t="n">
        <f aca="false">IF($D67="","",COUNTIF($B$3:$B67,$B67))</f>
        <v>7</v>
      </c>
      <c r="G67" s="47" t="str">
        <f aca="false">IF($D67="","",CONCATENATE($B67,"|",$F67))</f>
        <v>Máquina de solda|7</v>
      </c>
      <c r="H67" s="46" t="str">
        <f aca="false">IF($D67="","",IF(COUNTIFS($B$3:$B$402,$B67,$D$3:$D$402,$D67)&gt;1,"Repetido",""))</f>
        <v/>
      </c>
    </row>
    <row r="68" customFormat="false" ht="18" hidden="false" customHeight="true" outlineLevel="0" collapsed="false">
      <c r="A68" s="40" t="s">
        <v>146</v>
      </c>
      <c r="B68" s="47" t="str">
        <f aca="false">IF($A68="","",IFERROR(INDEX(Equipamentos!$C$3:$C$52,MATCH($A68,Equipamentos!$A$3:$A$52,0)),""))</f>
        <v>Máquina de solda</v>
      </c>
      <c r="C68" s="40" t="s">
        <v>172</v>
      </c>
      <c r="D68" s="40" t="s">
        <v>247</v>
      </c>
      <c r="E68" s="42" t="n">
        <v>10</v>
      </c>
      <c r="F68" s="45" t="n">
        <f aca="false">IF($D68="","",COUNTIF($B$3:$B68,$B68))</f>
        <v>8</v>
      </c>
      <c r="G68" s="47" t="str">
        <f aca="false">IF($D68="","",CONCATENATE($B68,"|",$F68))</f>
        <v>Máquina de solda|8</v>
      </c>
      <c r="H68" s="46" t="str">
        <f aca="false">IF($D68="","",IF(COUNTIFS($B$3:$B$402,$B68,$D$3:$D$402,$D68)&gt;1,"Repetido",""))</f>
        <v/>
      </c>
    </row>
    <row r="69" customFormat="false" ht="18" hidden="false" customHeight="true" outlineLevel="0" collapsed="false">
      <c r="A69" s="40"/>
      <c r="B69" s="47" t="str">
        <f aca="false">IF($A69="","",IFERROR(INDEX(Equipamentos!$C$3:$C$52,MATCH($A69,Equipamentos!$A$3:$A$52,0)),""))</f>
        <v/>
      </c>
      <c r="C69" s="40"/>
      <c r="D69" s="40"/>
      <c r="E69" s="42"/>
      <c r="F69" s="45" t="str">
        <f aca="false">IF($D69="","",COUNTIF($B$3:$B69,$B69))</f>
        <v/>
      </c>
      <c r="G69" s="47" t="str">
        <f aca="false">IF($D69="","",CONCATENATE($B69,"|",$F69))</f>
        <v/>
      </c>
      <c r="H69" s="46" t="str">
        <f aca="false">IF($D69="","",IF(COUNTIFS($B$3:$B$402,$B69,$D$3:$D$402,$D69)&gt;1,"Repetido",""))</f>
        <v/>
      </c>
    </row>
    <row r="70" customFormat="false" ht="18" hidden="false" customHeight="true" outlineLevel="0" collapsed="false">
      <c r="A70" s="40"/>
      <c r="B70" s="47" t="str">
        <f aca="false">IF($A70="","",IFERROR(INDEX(Equipamentos!$C$3:$C$52,MATCH($A70,Equipamentos!$A$3:$A$52,0)),""))</f>
        <v/>
      </c>
      <c r="C70" s="40"/>
      <c r="D70" s="40"/>
      <c r="E70" s="42"/>
      <c r="F70" s="45" t="str">
        <f aca="false">IF($D70="","",COUNTIF($B$3:$B70,$B70))</f>
        <v/>
      </c>
      <c r="G70" s="47" t="str">
        <f aca="false">IF($D70="","",CONCATENATE($B70,"|",$F70))</f>
        <v/>
      </c>
      <c r="H70" s="46" t="str">
        <f aca="false">IF($D70="","",IF(COUNTIFS($B$3:$B$402,$B70,$D$3:$D$402,$D70)&gt;1,"Repetido",""))</f>
        <v/>
      </c>
    </row>
    <row r="71" customFormat="false" ht="18" hidden="false" customHeight="true" outlineLevel="0" collapsed="false">
      <c r="A71" s="40"/>
      <c r="B71" s="47" t="str">
        <f aca="false">IF($A71="","",IFERROR(INDEX(Equipamentos!$C$3:$C$52,MATCH($A71,Equipamentos!$A$3:$A$52,0)),""))</f>
        <v/>
      </c>
      <c r="C71" s="40"/>
      <c r="D71" s="40"/>
      <c r="E71" s="42"/>
      <c r="F71" s="45" t="str">
        <f aca="false">IF($D71="","",COUNTIF($B$3:$B71,$B71))</f>
        <v/>
      </c>
      <c r="G71" s="47" t="str">
        <f aca="false">IF($D71="","",CONCATENATE($B71,"|",$F71))</f>
        <v/>
      </c>
      <c r="H71" s="46" t="str">
        <f aca="false">IF($D71="","",IF(COUNTIFS($B$3:$B$402,$B71,$D$3:$D$402,$D71)&gt;1,"Repetido",""))</f>
        <v/>
      </c>
    </row>
    <row r="72" customFormat="false" ht="18" hidden="false" customHeight="true" outlineLevel="0" collapsed="false">
      <c r="A72" s="40"/>
      <c r="B72" s="47" t="str">
        <f aca="false">IF($A72="","",IFERROR(INDEX(Equipamentos!$C$3:$C$52,MATCH($A72,Equipamentos!$A$3:$A$52,0)),""))</f>
        <v/>
      </c>
      <c r="C72" s="40"/>
      <c r="D72" s="40"/>
      <c r="E72" s="42"/>
      <c r="F72" s="45" t="str">
        <f aca="false">IF($D72="","",COUNTIF($B$3:$B72,$B72))</f>
        <v/>
      </c>
      <c r="G72" s="47" t="str">
        <f aca="false">IF($D72="","",CONCATENATE($B72,"|",$F72))</f>
        <v/>
      </c>
      <c r="H72" s="46" t="str">
        <f aca="false">IF($D72="","",IF(COUNTIFS($B$3:$B$402,$B72,$D$3:$D$402,$D72)&gt;1,"Repetido",""))</f>
        <v/>
      </c>
    </row>
    <row r="73" customFormat="false" ht="18" hidden="false" customHeight="true" outlineLevel="0" collapsed="false">
      <c r="A73" s="40"/>
      <c r="B73" s="47" t="str">
        <f aca="false">IF($A73="","",IFERROR(INDEX(Equipamentos!$C$3:$C$52,MATCH($A73,Equipamentos!$A$3:$A$52,0)),""))</f>
        <v/>
      </c>
      <c r="C73" s="40"/>
      <c r="D73" s="40"/>
      <c r="E73" s="42"/>
      <c r="F73" s="45" t="str">
        <f aca="false">IF($D73="","",COUNTIF($B$3:$B73,$B73))</f>
        <v/>
      </c>
      <c r="G73" s="47" t="str">
        <f aca="false">IF($D73="","",CONCATENATE($B73,"|",$F73))</f>
        <v/>
      </c>
      <c r="H73" s="46" t="str">
        <f aca="false">IF($D73="","",IF(COUNTIFS($B$3:$B$402,$B73,$D$3:$D$402,$D73)&gt;1,"Repetido",""))</f>
        <v/>
      </c>
    </row>
    <row r="74" customFormat="false" ht="18" hidden="false" customHeight="true" outlineLevel="0" collapsed="false">
      <c r="A74" s="40"/>
      <c r="B74" s="47" t="str">
        <f aca="false">IF($A74="","",IFERROR(INDEX(Equipamentos!$C$3:$C$52,MATCH($A74,Equipamentos!$A$3:$A$52,0)),""))</f>
        <v/>
      </c>
      <c r="C74" s="40"/>
      <c r="D74" s="40"/>
      <c r="E74" s="42"/>
      <c r="F74" s="45" t="str">
        <f aca="false">IF($D74="","",COUNTIF($B$3:$B74,$B74))</f>
        <v/>
      </c>
      <c r="G74" s="47" t="str">
        <f aca="false">IF($D74="","",CONCATENATE($B74,"|",$F74))</f>
        <v/>
      </c>
      <c r="H74" s="46" t="str">
        <f aca="false">IF($D74="","",IF(COUNTIFS($B$3:$B$402,$B74,$D$3:$D$402,$D74)&gt;1,"Repetido",""))</f>
        <v/>
      </c>
    </row>
    <row r="75" customFormat="false" ht="18" hidden="false" customHeight="true" outlineLevel="0" collapsed="false">
      <c r="A75" s="40"/>
      <c r="B75" s="47" t="str">
        <f aca="false">IF($A75="","",IFERROR(INDEX(Equipamentos!$C$3:$C$52,MATCH($A75,Equipamentos!$A$3:$A$52,0)),""))</f>
        <v/>
      </c>
      <c r="C75" s="40"/>
      <c r="D75" s="40"/>
      <c r="E75" s="42"/>
      <c r="F75" s="45" t="str">
        <f aca="false">IF($D75="","",COUNTIF($B$3:$B75,$B75))</f>
        <v/>
      </c>
      <c r="G75" s="47" t="str">
        <f aca="false">IF($D75="","",CONCATENATE($B75,"|",$F75))</f>
        <v/>
      </c>
      <c r="H75" s="46" t="str">
        <f aca="false">IF($D75="","",IF(COUNTIFS($B$3:$B$402,$B75,$D$3:$D$402,$D75)&gt;1,"Repetido",""))</f>
        <v/>
      </c>
    </row>
    <row r="76" customFormat="false" ht="18" hidden="false" customHeight="true" outlineLevel="0" collapsed="false">
      <c r="A76" s="40"/>
      <c r="B76" s="47" t="str">
        <f aca="false">IF($A76="","",IFERROR(INDEX(Equipamentos!$C$3:$C$52,MATCH($A76,Equipamentos!$A$3:$A$52,0)),""))</f>
        <v/>
      </c>
      <c r="C76" s="40"/>
      <c r="D76" s="40"/>
      <c r="E76" s="42"/>
      <c r="F76" s="45" t="str">
        <f aca="false">IF($D76="","",COUNTIF($B$3:$B76,$B76))</f>
        <v/>
      </c>
      <c r="G76" s="47" t="str">
        <f aca="false">IF($D76="","",CONCATENATE($B76,"|",$F76))</f>
        <v/>
      </c>
      <c r="H76" s="46" t="str">
        <f aca="false">IF($D76="","",IF(COUNTIFS($B$3:$B$402,$B76,$D$3:$D$402,$D76)&gt;1,"Repetido",""))</f>
        <v/>
      </c>
    </row>
    <row r="77" customFormat="false" ht="18" hidden="false" customHeight="true" outlineLevel="0" collapsed="false">
      <c r="A77" s="40"/>
      <c r="B77" s="47" t="str">
        <f aca="false">IF($A77="","",IFERROR(INDEX(Equipamentos!$C$3:$C$52,MATCH($A77,Equipamentos!$A$3:$A$52,0)),""))</f>
        <v/>
      </c>
      <c r="C77" s="40"/>
      <c r="D77" s="40"/>
      <c r="E77" s="42"/>
      <c r="F77" s="45" t="str">
        <f aca="false">IF($D77="","",COUNTIF($B$3:$B77,$B77))</f>
        <v/>
      </c>
      <c r="G77" s="47" t="str">
        <f aca="false">IF($D77="","",CONCATENATE($B77,"|",$F77))</f>
        <v/>
      </c>
      <c r="H77" s="46" t="str">
        <f aca="false">IF($D77="","",IF(COUNTIFS($B$3:$B$402,$B77,$D$3:$D$402,$D77)&gt;1,"Repetido",""))</f>
        <v/>
      </c>
    </row>
    <row r="78" customFormat="false" ht="18" hidden="false" customHeight="true" outlineLevel="0" collapsed="false">
      <c r="A78" s="40"/>
      <c r="B78" s="47" t="str">
        <f aca="false">IF($A78="","",IFERROR(INDEX(Equipamentos!$C$3:$C$52,MATCH($A78,Equipamentos!$A$3:$A$52,0)),""))</f>
        <v/>
      </c>
      <c r="C78" s="40"/>
      <c r="D78" s="40"/>
      <c r="E78" s="42"/>
      <c r="F78" s="45" t="str">
        <f aca="false">IF($D78="","",COUNTIF($B$3:$B78,$B78))</f>
        <v/>
      </c>
      <c r="G78" s="47" t="str">
        <f aca="false">IF($D78="","",CONCATENATE($B78,"|",$F78))</f>
        <v/>
      </c>
      <c r="H78" s="46" t="str">
        <f aca="false">IF($D78="","",IF(COUNTIFS($B$3:$B$402,$B78,$D$3:$D$402,$D78)&gt;1,"Repetido",""))</f>
        <v/>
      </c>
    </row>
    <row r="79" customFormat="false" ht="18" hidden="false" customHeight="true" outlineLevel="0" collapsed="false">
      <c r="A79" s="40"/>
      <c r="B79" s="47" t="str">
        <f aca="false">IF($A79="","",IFERROR(INDEX(Equipamentos!$C$3:$C$52,MATCH($A79,Equipamentos!$A$3:$A$52,0)),""))</f>
        <v/>
      </c>
      <c r="C79" s="40"/>
      <c r="D79" s="40"/>
      <c r="E79" s="42"/>
      <c r="F79" s="45" t="str">
        <f aca="false">IF($D79="","",COUNTIF($B$3:$B79,$B79))</f>
        <v/>
      </c>
      <c r="G79" s="47" t="str">
        <f aca="false">IF($D79="","",CONCATENATE($B79,"|",$F79))</f>
        <v/>
      </c>
      <c r="H79" s="46" t="str">
        <f aca="false">IF($D79="","",IF(COUNTIFS($B$3:$B$402,$B79,$D$3:$D$402,$D79)&gt;1,"Repetido",""))</f>
        <v/>
      </c>
    </row>
    <row r="80" customFormat="false" ht="18" hidden="false" customHeight="true" outlineLevel="0" collapsed="false">
      <c r="A80" s="40"/>
      <c r="B80" s="47" t="str">
        <f aca="false">IF($A80="","",IFERROR(INDEX(Equipamentos!$C$3:$C$52,MATCH($A80,Equipamentos!$A$3:$A$52,0)),""))</f>
        <v/>
      </c>
      <c r="C80" s="40"/>
      <c r="D80" s="40"/>
      <c r="E80" s="42"/>
      <c r="F80" s="45" t="str">
        <f aca="false">IF($D80="","",COUNTIF($B$3:$B80,$B80))</f>
        <v/>
      </c>
      <c r="G80" s="47" t="str">
        <f aca="false">IF($D80="","",CONCATENATE($B80,"|",$F80))</f>
        <v/>
      </c>
      <c r="H80" s="46" t="str">
        <f aca="false">IF($D80="","",IF(COUNTIFS($B$3:$B$402,$B80,$D$3:$D$402,$D80)&gt;1,"Repetido",""))</f>
        <v/>
      </c>
    </row>
    <row r="81" customFormat="false" ht="18" hidden="false" customHeight="true" outlineLevel="0" collapsed="false">
      <c r="A81" s="40"/>
      <c r="B81" s="47" t="str">
        <f aca="false">IF($A81="","",IFERROR(INDEX(Equipamentos!$C$3:$C$52,MATCH($A81,Equipamentos!$A$3:$A$52,0)),""))</f>
        <v/>
      </c>
      <c r="C81" s="40"/>
      <c r="D81" s="40"/>
      <c r="E81" s="42"/>
      <c r="F81" s="45" t="str">
        <f aca="false">IF($D81="","",COUNTIF($B$3:$B81,$B81))</f>
        <v/>
      </c>
      <c r="G81" s="47" t="str">
        <f aca="false">IF($D81="","",CONCATENATE($B81,"|",$F81))</f>
        <v/>
      </c>
      <c r="H81" s="46" t="str">
        <f aca="false">IF($D81="","",IF(COUNTIFS($B$3:$B$402,$B81,$D$3:$D$402,$D81)&gt;1,"Repetido",""))</f>
        <v/>
      </c>
    </row>
    <row r="82" customFormat="false" ht="18" hidden="false" customHeight="true" outlineLevel="0" collapsed="false">
      <c r="A82" s="40"/>
      <c r="B82" s="47" t="str">
        <f aca="false">IF($A82="","",IFERROR(INDEX(Equipamentos!$C$3:$C$52,MATCH($A82,Equipamentos!$A$3:$A$52,0)),""))</f>
        <v/>
      </c>
      <c r="C82" s="40"/>
      <c r="D82" s="40"/>
      <c r="E82" s="42"/>
      <c r="F82" s="45" t="str">
        <f aca="false">IF($D82="","",COUNTIF($B$3:$B82,$B82))</f>
        <v/>
      </c>
      <c r="G82" s="47" t="str">
        <f aca="false">IF($D82="","",CONCATENATE($B82,"|",$F82))</f>
        <v/>
      </c>
      <c r="H82" s="46" t="str">
        <f aca="false">IF($D82="","",IF(COUNTIFS($B$3:$B$402,$B82,$D$3:$D$402,$D82)&gt;1,"Repetido",""))</f>
        <v/>
      </c>
    </row>
    <row r="83" customFormat="false" ht="18" hidden="false" customHeight="true" outlineLevel="0" collapsed="false">
      <c r="A83" s="40"/>
      <c r="B83" s="47" t="str">
        <f aca="false">IF($A83="","",IFERROR(INDEX(Equipamentos!$C$3:$C$52,MATCH($A83,Equipamentos!$A$3:$A$52,0)),""))</f>
        <v/>
      </c>
      <c r="C83" s="40"/>
      <c r="D83" s="40"/>
      <c r="E83" s="42"/>
      <c r="F83" s="45" t="str">
        <f aca="false">IF($D83="","",COUNTIF($B$3:$B83,$B83))</f>
        <v/>
      </c>
      <c r="G83" s="47" t="str">
        <f aca="false">IF($D83="","",CONCATENATE($B83,"|",$F83))</f>
        <v/>
      </c>
      <c r="H83" s="46" t="str">
        <f aca="false">IF($D83="","",IF(COUNTIFS($B$3:$B$402,$B83,$D$3:$D$402,$D83)&gt;1,"Repetido",""))</f>
        <v/>
      </c>
    </row>
    <row r="84" customFormat="false" ht="18" hidden="false" customHeight="true" outlineLevel="0" collapsed="false">
      <c r="A84" s="40"/>
      <c r="B84" s="47" t="str">
        <f aca="false">IF($A84="","",IFERROR(INDEX(Equipamentos!$C$3:$C$52,MATCH($A84,Equipamentos!$A$3:$A$52,0)),""))</f>
        <v/>
      </c>
      <c r="C84" s="40"/>
      <c r="D84" s="40"/>
      <c r="E84" s="42"/>
      <c r="F84" s="45" t="str">
        <f aca="false">IF($D84="","",COUNTIF($B$3:$B84,$B84))</f>
        <v/>
      </c>
      <c r="G84" s="47" t="str">
        <f aca="false">IF($D84="","",CONCATENATE($B84,"|",$F84))</f>
        <v/>
      </c>
      <c r="H84" s="46" t="str">
        <f aca="false">IF($D84="","",IF(COUNTIFS($B$3:$B$402,$B84,$D$3:$D$402,$D84)&gt;1,"Repetido",""))</f>
        <v/>
      </c>
    </row>
    <row r="85" customFormat="false" ht="18" hidden="false" customHeight="true" outlineLevel="0" collapsed="false">
      <c r="A85" s="40"/>
      <c r="B85" s="47" t="str">
        <f aca="false">IF($A85="","",IFERROR(INDEX(Equipamentos!$C$3:$C$52,MATCH($A85,Equipamentos!$A$3:$A$52,0)),""))</f>
        <v/>
      </c>
      <c r="C85" s="40"/>
      <c r="D85" s="40"/>
      <c r="E85" s="42"/>
      <c r="F85" s="45" t="str">
        <f aca="false">IF($D85="","",COUNTIF($B$3:$B85,$B85))</f>
        <v/>
      </c>
      <c r="G85" s="47" t="str">
        <f aca="false">IF($D85="","",CONCATENATE($B85,"|",$F85))</f>
        <v/>
      </c>
      <c r="H85" s="46" t="str">
        <f aca="false">IF($D85="","",IF(COUNTIFS($B$3:$B$402,$B85,$D$3:$D$402,$D85)&gt;1,"Repetido",""))</f>
        <v/>
      </c>
    </row>
    <row r="86" customFormat="false" ht="18" hidden="false" customHeight="true" outlineLevel="0" collapsed="false">
      <c r="A86" s="40"/>
      <c r="B86" s="47" t="str">
        <f aca="false">IF($A86="","",IFERROR(INDEX(Equipamentos!$C$3:$C$52,MATCH($A86,Equipamentos!$A$3:$A$52,0)),""))</f>
        <v/>
      </c>
      <c r="C86" s="40"/>
      <c r="D86" s="40"/>
      <c r="E86" s="42"/>
      <c r="F86" s="45" t="str">
        <f aca="false">IF($D86="","",COUNTIF($B$3:$B86,$B86))</f>
        <v/>
      </c>
      <c r="G86" s="47" t="str">
        <f aca="false">IF($D86="","",CONCATENATE($B86,"|",$F86))</f>
        <v/>
      </c>
      <c r="H86" s="46" t="str">
        <f aca="false">IF($D86="","",IF(COUNTIFS($B$3:$B$402,$B86,$D$3:$D$402,$D86)&gt;1,"Repetido",""))</f>
        <v/>
      </c>
    </row>
    <row r="87" customFormat="false" ht="18" hidden="false" customHeight="true" outlineLevel="0" collapsed="false">
      <c r="A87" s="40"/>
      <c r="B87" s="47" t="str">
        <f aca="false">IF($A87="","",IFERROR(INDEX(Equipamentos!$C$3:$C$52,MATCH($A87,Equipamentos!$A$3:$A$52,0)),""))</f>
        <v/>
      </c>
      <c r="C87" s="40"/>
      <c r="D87" s="40"/>
      <c r="E87" s="42"/>
      <c r="F87" s="45" t="str">
        <f aca="false">IF($D87="","",COUNTIF($B$3:$B87,$B87))</f>
        <v/>
      </c>
      <c r="G87" s="47" t="str">
        <f aca="false">IF($D87="","",CONCATENATE($B87,"|",$F87))</f>
        <v/>
      </c>
      <c r="H87" s="46" t="str">
        <f aca="false">IF($D87="","",IF(COUNTIFS($B$3:$B$402,$B87,$D$3:$D$402,$D87)&gt;1,"Repetido",""))</f>
        <v/>
      </c>
    </row>
    <row r="88" customFormat="false" ht="18" hidden="false" customHeight="true" outlineLevel="0" collapsed="false">
      <c r="A88" s="40"/>
      <c r="B88" s="47" t="str">
        <f aca="false">IF($A88="","",IFERROR(INDEX(Equipamentos!$C$3:$C$52,MATCH($A88,Equipamentos!$A$3:$A$52,0)),""))</f>
        <v/>
      </c>
      <c r="C88" s="40"/>
      <c r="D88" s="40"/>
      <c r="E88" s="42"/>
      <c r="F88" s="45" t="str">
        <f aca="false">IF($D88="","",COUNTIF($B$3:$B88,$B88))</f>
        <v/>
      </c>
      <c r="G88" s="47" t="str">
        <f aca="false">IF($D88="","",CONCATENATE($B88,"|",$F88))</f>
        <v/>
      </c>
      <c r="H88" s="46" t="str">
        <f aca="false">IF($D88="","",IF(COUNTIFS($B$3:$B$402,$B88,$D$3:$D$402,$D88)&gt;1,"Repetido",""))</f>
        <v/>
      </c>
    </row>
    <row r="89" customFormat="false" ht="18" hidden="false" customHeight="true" outlineLevel="0" collapsed="false">
      <c r="A89" s="40"/>
      <c r="B89" s="47" t="str">
        <f aca="false">IF($A89="","",IFERROR(INDEX(Equipamentos!$C$3:$C$52,MATCH($A89,Equipamentos!$A$3:$A$52,0)),""))</f>
        <v/>
      </c>
      <c r="C89" s="40"/>
      <c r="D89" s="40"/>
      <c r="E89" s="42"/>
      <c r="F89" s="45" t="str">
        <f aca="false">IF($D89="","",COUNTIF($B$3:$B89,$B89))</f>
        <v/>
      </c>
      <c r="G89" s="47" t="str">
        <f aca="false">IF($D89="","",CONCATENATE($B89,"|",$F89))</f>
        <v/>
      </c>
      <c r="H89" s="46" t="str">
        <f aca="false">IF($D89="","",IF(COUNTIFS($B$3:$B$402,$B89,$D$3:$D$402,$D89)&gt;1,"Repetido",""))</f>
        <v/>
      </c>
    </row>
    <row r="90" customFormat="false" ht="18" hidden="false" customHeight="true" outlineLevel="0" collapsed="false">
      <c r="A90" s="40"/>
      <c r="B90" s="47" t="str">
        <f aca="false">IF($A90="","",IFERROR(INDEX(Equipamentos!$C$3:$C$52,MATCH($A90,Equipamentos!$A$3:$A$52,0)),""))</f>
        <v/>
      </c>
      <c r="C90" s="40"/>
      <c r="D90" s="40"/>
      <c r="E90" s="42"/>
      <c r="F90" s="45" t="str">
        <f aca="false">IF($D90="","",COUNTIF($B$3:$B90,$B90))</f>
        <v/>
      </c>
      <c r="G90" s="47" t="str">
        <f aca="false">IF($D90="","",CONCATENATE($B90,"|",$F90))</f>
        <v/>
      </c>
      <c r="H90" s="46" t="str">
        <f aca="false">IF($D90="","",IF(COUNTIFS($B$3:$B$402,$B90,$D$3:$D$402,$D90)&gt;1,"Repetido",""))</f>
        <v/>
      </c>
    </row>
    <row r="91" customFormat="false" ht="18" hidden="false" customHeight="true" outlineLevel="0" collapsed="false">
      <c r="A91" s="40"/>
      <c r="B91" s="47" t="str">
        <f aca="false">IF($A91="","",IFERROR(INDEX(Equipamentos!$C$3:$C$52,MATCH($A91,Equipamentos!$A$3:$A$52,0)),""))</f>
        <v/>
      </c>
      <c r="C91" s="40"/>
      <c r="D91" s="40"/>
      <c r="E91" s="42"/>
      <c r="F91" s="45" t="str">
        <f aca="false">IF($D91="","",COUNTIF($B$3:$B91,$B91))</f>
        <v/>
      </c>
      <c r="G91" s="47" t="str">
        <f aca="false">IF($D91="","",CONCATENATE($B91,"|",$F91))</f>
        <v/>
      </c>
      <c r="H91" s="46" t="str">
        <f aca="false">IF($D91="","",IF(COUNTIFS($B$3:$B$402,$B91,$D$3:$D$402,$D91)&gt;1,"Repetido",""))</f>
        <v/>
      </c>
    </row>
    <row r="92" customFormat="false" ht="18" hidden="false" customHeight="true" outlineLevel="0" collapsed="false">
      <c r="A92" s="40"/>
      <c r="B92" s="47" t="str">
        <f aca="false">IF($A92="","",IFERROR(INDEX(Equipamentos!$C$3:$C$52,MATCH($A92,Equipamentos!$A$3:$A$52,0)),""))</f>
        <v/>
      </c>
      <c r="C92" s="40"/>
      <c r="D92" s="40"/>
      <c r="E92" s="42"/>
      <c r="F92" s="45" t="str">
        <f aca="false">IF($D92="","",COUNTIF($B$3:$B92,$B92))</f>
        <v/>
      </c>
      <c r="G92" s="47" t="str">
        <f aca="false">IF($D92="","",CONCATENATE($B92,"|",$F92))</f>
        <v/>
      </c>
      <c r="H92" s="46" t="str">
        <f aca="false">IF($D92="","",IF(COUNTIFS($B$3:$B$402,$B92,$D$3:$D$402,$D92)&gt;1,"Repetido",""))</f>
        <v/>
      </c>
    </row>
    <row r="93" customFormat="false" ht="18" hidden="false" customHeight="true" outlineLevel="0" collapsed="false">
      <c r="A93" s="40"/>
      <c r="B93" s="47" t="str">
        <f aca="false">IF($A93="","",IFERROR(INDEX(Equipamentos!$C$3:$C$52,MATCH($A93,Equipamentos!$A$3:$A$52,0)),""))</f>
        <v/>
      </c>
      <c r="C93" s="40"/>
      <c r="D93" s="40"/>
      <c r="E93" s="42"/>
      <c r="F93" s="45" t="str">
        <f aca="false">IF($D93="","",COUNTIF($B$3:$B93,$B93))</f>
        <v/>
      </c>
      <c r="G93" s="47" t="str">
        <f aca="false">IF($D93="","",CONCATENATE($B93,"|",$F93))</f>
        <v/>
      </c>
      <c r="H93" s="46" t="str">
        <f aca="false">IF($D93="","",IF(COUNTIFS($B$3:$B$402,$B93,$D$3:$D$402,$D93)&gt;1,"Repetido",""))</f>
        <v/>
      </c>
    </row>
    <row r="94" customFormat="false" ht="18" hidden="false" customHeight="true" outlineLevel="0" collapsed="false">
      <c r="A94" s="40"/>
      <c r="B94" s="47" t="str">
        <f aca="false">IF($A94="","",IFERROR(INDEX(Equipamentos!$C$3:$C$52,MATCH($A94,Equipamentos!$A$3:$A$52,0)),""))</f>
        <v/>
      </c>
      <c r="C94" s="40"/>
      <c r="D94" s="40"/>
      <c r="E94" s="42"/>
      <c r="F94" s="45" t="str">
        <f aca="false">IF($D94="","",COUNTIF($B$3:$B94,$B94))</f>
        <v/>
      </c>
      <c r="G94" s="47" t="str">
        <f aca="false">IF($D94="","",CONCATENATE($B94,"|",$F94))</f>
        <v/>
      </c>
      <c r="H94" s="46" t="str">
        <f aca="false">IF($D94="","",IF(COUNTIFS($B$3:$B$402,$B94,$D$3:$D$402,$D94)&gt;1,"Repetido",""))</f>
        <v/>
      </c>
    </row>
    <row r="95" customFormat="false" ht="18" hidden="false" customHeight="true" outlineLevel="0" collapsed="false">
      <c r="A95" s="40"/>
      <c r="B95" s="47" t="str">
        <f aca="false">IF($A95="","",IFERROR(INDEX(Equipamentos!$C$3:$C$52,MATCH($A95,Equipamentos!$A$3:$A$52,0)),""))</f>
        <v/>
      </c>
      <c r="C95" s="40"/>
      <c r="D95" s="40"/>
      <c r="E95" s="42"/>
      <c r="F95" s="45" t="str">
        <f aca="false">IF($D95="","",COUNTIF($B$3:$B95,$B95))</f>
        <v/>
      </c>
      <c r="G95" s="47" t="str">
        <f aca="false">IF($D95="","",CONCATENATE($B95,"|",$F95))</f>
        <v/>
      </c>
      <c r="H95" s="46" t="str">
        <f aca="false">IF($D95="","",IF(COUNTIFS($B$3:$B$402,$B95,$D$3:$D$402,$D95)&gt;1,"Repetido",""))</f>
        <v/>
      </c>
    </row>
    <row r="96" customFormat="false" ht="18" hidden="false" customHeight="true" outlineLevel="0" collapsed="false">
      <c r="A96" s="40"/>
      <c r="B96" s="47" t="str">
        <f aca="false">IF($A96="","",IFERROR(INDEX(Equipamentos!$C$3:$C$52,MATCH($A96,Equipamentos!$A$3:$A$52,0)),""))</f>
        <v/>
      </c>
      <c r="C96" s="40"/>
      <c r="D96" s="40"/>
      <c r="E96" s="42"/>
      <c r="F96" s="45" t="str">
        <f aca="false">IF($D96="","",COUNTIF($B$3:$B96,$B96))</f>
        <v/>
      </c>
      <c r="G96" s="47" t="str">
        <f aca="false">IF($D96="","",CONCATENATE($B96,"|",$F96))</f>
        <v/>
      </c>
      <c r="H96" s="46" t="str">
        <f aca="false">IF($D96="","",IF(COUNTIFS($B$3:$B$402,$B96,$D$3:$D$402,$D96)&gt;1,"Repetido",""))</f>
        <v/>
      </c>
    </row>
    <row r="97" customFormat="false" ht="18" hidden="false" customHeight="true" outlineLevel="0" collapsed="false">
      <c r="A97" s="40"/>
      <c r="B97" s="47" t="str">
        <f aca="false">IF($A97="","",IFERROR(INDEX(Equipamentos!$C$3:$C$52,MATCH($A97,Equipamentos!$A$3:$A$52,0)),""))</f>
        <v/>
      </c>
      <c r="C97" s="40"/>
      <c r="D97" s="40"/>
      <c r="E97" s="42"/>
      <c r="F97" s="45" t="str">
        <f aca="false">IF($D97="","",COUNTIF($B$3:$B97,$B97))</f>
        <v/>
      </c>
      <c r="G97" s="47" t="str">
        <f aca="false">IF($D97="","",CONCATENATE($B97,"|",$F97))</f>
        <v/>
      </c>
      <c r="H97" s="46" t="str">
        <f aca="false">IF($D97="","",IF(COUNTIFS($B$3:$B$402,$B97,$D$3:$D$402,$D97)&gt;1,"Repetido",""))</f>
        <v/>
      </c>
    </row>
    <row r="98" customFormat="false" ht="18" hidden="false" customHeight="true" outlineLevel="0" collapsed="false">
      <c r="A98" s="40"/>
      <c r="B98" s="47" t="str">
        <f aca="false">IF($A98="","",IFERROR(INDEX(Equipamentos!$C$3:$C$52,MATCH($A98,Equipamentos!$A$3:$A$52,0)),""))</f>
        <v/>
      </c>
      <c r="C98" s="40"/>
      <c r="D98" s="40"/>
      <c r="E98" s="42"/>
      <c r="F98" s="45" t="str">
        <f aca="false">IF($D98="","",COUNTIF($B$3:$B98,$B98))</f>
        <v/>
      </c>
      <c r="G98" s="47" t="str">
        <f aca="false">IF($D98="","",CONCATENATE($B98,"|",$F98))</f>
        <v/>
      </c>
      <c r="H98" s="46" t="str">
        <f aca="false">IF($D98="","",IF(COUNTIFS($B$3:$B$402,$B98,$D$3:$D$402,$D98)&gt;1,"Repetido",""))</f>
        <v/>
      </c>
    </row>
    <row r="99" customFormat="false" ht="18" hidden="false" customHeight="true" outlineLevel="0" collapsed="false">
      <c r="A99" s="40"/>
      <c r="B99" s="47" t="str">
        <f aca="false">IF($A99="","",IFERROR(INDEX(Equipamentos!$C$3:$C$52,MATCH($A99,Equipamentos!$A$3:$A$52,0)),""))</f>
        <v/>
      </c>
      <c r="C99" s="40"/>
      <c r="D99" s="40"/>
      <c r="E99" s="42"/>
      <c r="F99" s="45" t="str">
        <f aca="false">IF($D99="","",COUNTIF($B$3:$B99,$B99))</f>
        <v/>
      </c>
      <c r="G99" s="47" t="str">
        <f aca="false">IF($D99="","",CONCATENATE($B99,"|",$F99))</f>
        <v/>
      </c>
      <c r="H99" s="46" t="str">
        <f aca="false">IF($D99="","",IF(COUNTIFS($B$3:$B$402,$B99,$D$3:$D$402,$D99)&gt;1,"Repetido",""))</f>
        <v/>
      </c>
    </row>
    <row r="100" customFormat="false" ht="18" hidden="false" customHeight="true" outlineLevel="0" collapsed="false">
      <c r="A100" s="40"/>
      <c r="B100" s="47" t="str">
        <f aca="false">IF($A100="","",IFERROR(INDEX(Equipamentos!$C$3:$C$52,MATCH($A100,Equipamentos!$A$3:$A$52,0)),""))</f>
        <v/>
      </c>
      <c r="C100" s="40"/>
      <c r="D100" s="40"/>
      <c r="E100" s="42"/>
      <c r="F100" s="45" t="str">
        <f aca="false">IF($D100="","",COUNTIF($B$3:$B100,$B100))</f>
        <v/>
      </c>
      <c r="G100" s="47" t="str">
        <f aca="false">IF($D100="","",CONCATENATE($B100,"|",$F100))</f>
        <v/>
      </c>
      <c r="H100" s="46" t="str">
        <f aca="false">IF($D100="","",IF(COUNTIFS($B$3:$B$402,$B100,$D$3:$D$402,$D100)&gt;1,"Repetido",""))</f>
        <v/>
      </c>
    </row>
    <row r="101" customFormat="false" ht="18" hidden="false" customHeight="true" outlineLevel="0" collapsed="false">
      <c r="A101" s="40"/>
      <c r="B101" s="47" t="str">
        <f aca="false">IF($A101="","",IFERROR(INDEX(Equipamentos!$C$3:$C$52,MATCH($A101,Equipamentos!$A$3:$A$52,0)),""))</f>
        <v/>
      </c>
      <c r="C101" s="40"/>
      <c r="D101" s="40"/>
      <c r="E101" s="42"/>
      <c r="F101" s="45" t="str">
        <f aca="false">IF($D101="","",COUNTIF($B$3:$B101,$B101))</f>
        <v/>
      </c>
      <c r="G101" s="47" t="str">
        <f aca="false">IF($D101="","",CONCATENATE($B101,"|",$F101))</f>
        <v/>
      </c>
      <c r="H101" s="46" t="str">
        <f aca="false">IF($D101="","",IF(COUNTIFS($B$3:$B$402,$B101,$D$3:$D$402,$D101)&gt;1,"Repetido",""))</f>
        <v/>
      </c>
    </row>
    <row r="102" customFormat="false" ht="18" hidden="false" customHeight="true" outlineLevel="0" collapsed="false">
      <c r="A102" s="40"/>
      <c r="B102" s="47" t="str">
        <f aca="false">IF($A102="","",IFERROR(INDEX(Equipamentos!$C$3:$C$52,MATCH($A102,Equipamentos!$A$3:$A$52,0)),""))</f>
        <v/>
      </c>
      <c r="C102" s="40"/>
      <c r="D102" s="40"/>
      <c r="E102" s="42"/>
      <c r="F102" s="45" t="str">
        <f aca="false">IF($D102="","",COUNTIF($B$3:$B102,$B102))</f>
        <v/>
      </c>
      <c r="G102" s="47" t="str">
        <f aca="false">IF($D102="","",CONCATENATE($B102,"|",$F102))</f>
        <v/>
      </c>
      <c r="H102" s="46" t="str">
        <f aca="false">IF($D102="","",IF(COUNTIFS($B$3:$B$402,$B102,$D$3:$D$402,$D102)&gt;1,"Repetido",""))</f>
        <v/>
      </c>
    </row>
    <row r="103" customFormat="false" ht="18" hidden="false" customHeight="true" outlineLevel="0" collapsed="false">
      <c r="A103" s="40"/>
      <c r="B103" s="47" t="str">
        <f aca="false">IF($A103="","",IFERROR(INDEX(Equipamentos!$C$3:$C$52,MATCH($A103,Equipamentos!$A$3:$A$52,0)),""))</f>
        <v/>
      </c>
      <c r="C103" s="40"/>
      <c r="D103" s="40"/>
      <c r="E103" s="42"/>
      <c r="F103" s="45" t="str">
        <f aca="false">IF($D103="","",COUNTIF($B$3:$B103,$B103))</f>
        <v/>
      </c>
      <c r="G103" s="47" t="str">
        <f aca="false">IF($D103="","",CONCATENATE($B103,"|",$F103))</f>
        <v/>
      </c>
      <c r="H103" s="46" t="str">
        <f aca="false">IF($D103="","",IF(COUNTIFS($B$3:$B$402,$B103,$D$3:$D$402,$D103)&gt;1,"Repetido",""))</f>
        <v/>
      </c>
    </row>
    <row r="104" customFormat="false" ht="18" hidden="false" customHeight="true" outlineLevel="0" collapsed="false">
      <c r="A104" s="40"/>
      <c r="B104" s="47" t="str">
        <f aca="false">IF($A104="","",IFERROR(INDEX(Equipamentos!$C$3:$C$52,MATCH($A104,Equipamentos!$A$3:$A$52,0)),""))</f>
        <v/>
      </c>
      <c r="C104" s="40"/>
      <c r="D104" s="40"/>
      <c r="E104" s="42"/>
      <c r="F104" s="45" t="str">
        <f aca="false">IF($D104="","",COUNTIF($B$3:$B104,$B104))</f>
        <v/>
      </c>
      <c r="G104" s="47" t="str">
        <f aca="false">IF($D104="","",CONCATENATE($B104,"|",$F104))</f>
        <v/>
      </c>
      <c r="H104" s="46" t="str">
        <f aca="false">IF($D104="","",IF(COUNTIFS($B$3:$B$402,$B104,$D$3:$D$402,$D104)&gt;1,"Repetido",""))</f>
        <v/>
      </c>
    </row>
    <row r="105" customFormat="false" ht="18" hidden="false" customHeight="true" outlineLevel="0" collapsed="false">
      <c r="A105" s="40"/>
      <c r="B105" s="47" t="str">
        <f aca="false">IF($A105="","",IFERROR(INDEX(Equipamentos!$C$3:$C$52,MATCH($A105,Equipamentos!$A$3:$A$52,0)),""))</f>
        <v/>
      </c>
      <c r="C105" s="40"/>
      <c r="D105" s="40"/>
      <c r="E105" s="42"/>
      <c r="F105" s="45" t="str">
        <f aca="false">IF($D105="","",COUNTIF($B$3:$B105,$B105))</f>
        <v/>
      </c>
      <c r="G105" s="47" t="str">
        <f aca="false">IF($D105="","",CONCATENATE($B105,"|",$F105))</f>
        <v/>
      </c>
      <c r="H105" s="46" t="str">
        <f aca="false">IF($D105="","",IF(COUNTIFS($B$3:$B$402,$B105,$D$3:$D$402,$D105)&gt;1,"Repetido",""))</f>
        <v/>
      </c>
    </row>
    <row r="106" customFormat="false" ht="18" hidden="false" customHeight="true" outlineLevel="0" collapsed="false">
      <c r="A106" s="40"/>
      <c r="B106" s="47" t="str">
        <f aca="false">IF($A106="","",IFERROR(INDEX(Equipamentos!$C$3:$C$52,MATCH($A106,Equipamentos!$A$3:$A$52,0)),""))</f>
        <v/>
      </c>
      <c r="C106" s="40"/>
      <c r="D106" s="40"/>
      <c r="E106" s="42"/>
      <c r="F106" s="45" t="str">
        <f aca="false">IF($D106="","",COUNTIF($B$3:$B106,$B106))</f>
        <v/>
      </c>
      <c r="G106" s="47" t="str">
        <f aca="false">IF($D106="","",CONCATENATE($B106,"|",$F106))</f>
        <v/>
      </c>
      <c r="H106" s="46" t="str">
        <f aca="false">IF($D106="","",IF(COUNTIFS($B$3:$B$402,$B106,$D$3:$D$402,$D106)&gt;1,"Repetido",""))</f>
        <v/>
      </c>
    </row>
    <row r="107" customFormat="false" ht="18" hidden="false" customHeight="true" outlineLevel="0" collapsed="false">
      <c r="A107" s="40"/>
      <c r="B107" s="47" t="str">
        <f aca="false">IF($A107="","",IFERROR(INDEX(Equipamentos!$C$3:$C$52,MATCH($A107,Equipamentos!$A$3:$A$52,0)),""))</f>
        <v/>
      </c>
      <c r="C107" s="40"/>
      <c r="D107" s="40"/>
      <c r="E107" s="42"/>
      <c r="F107" s="45" t="str">
        <f aca="false">IF($D107="","",COUNTIF($B$3:$B107,$B107))</f>
        <v/>
      </c>
      <c r="G107" s="47" t="str">
        <f aca="false">IF($D107="","",CONCATENATE($B107,"|",$F107))</f>
        <v/>
      </c>
      <c r="H107" s="46" t="str">
        <f aca="false">IF($D107="","",IF(COUNTIFS($B$3:$B$402,$B107,$D$3:$D$402,$D107)&gt;1,"Repetido",""))</f>
        <v/>
      </c>
    </row>
    <row r="108" customFormat="false" ht="18" hidden="false" customHeight="true" outlineLevel="0" collapsed="false">
      <c r="A108" s="40"/>
      <c r="B108" s="47" t="str">
        <f aca="false">IF($A108="","",IFERROR(INDEX(Equipamentos!$C$3:$C$52,MATCH($A108,Equipamentos!$A$3:$A$52,0)),""))</f>
        <v/>
      </c>
      <c r="C108" s="40"/>
      <c r="D108" s="40"/>
      <c r="E108" s="42"/>
      <c r="F108" s="45" t="str">
        <f aca="false">IF($D108="","",COUNTIF($B$3:$B108,$B108))</f>
        <v/>
      </c>
      <c r="G108" s="47" t="str">
        <f aca="false">IF($D108="","",CONCATENATE($B108,"|",$F108))</f>
        <v/>
      </c>
      <c r="H108" s="46" t="str">
        <f aca="false">IF($D108="","",IF(COUNTIFS($B$3:$B$402,$B108,$D$3:$D$402,$D108)&gt;1,"Repetido",""))</f>
        <v/>
      </c>
    </row>
    <row r="109" customFormat="false" ht="18" hidden="false" customHeight="true" outlineLevel="0" collapsed="false">
      <c r="A109" s="40"/>
      <c r="B109" s="47" t="str">
        <f aca="false">IF($A109="","",IFERROR(INDEX(Equipamentos!$C$3:$C$52,MATCH($A109,Equipamentos!$A$3:$A$52,0)),""))</f>
        <v/>
      </c>
      <c r="C109" s="40"/>
      <c r="D109" s="40"/>
      <c r="E109" s="42"/>
      <c r="F109" s="45" t="str">
        <f aca="false">IF($D109="","",COUNTIF($B$3:$B109,$B109))</f>
        <v/>
      </c>
      <c r="G109" s="47" t="str">
        <f aca="false">IF($D109="","",CONCATENATE($B109,"|",$F109))</f>
        <v/>
      </c>
      <c r="H109" s="46" t="str">
        <f aca="false">IF($D109="","",IF(COUNTIFS($B$3:$B$402,$B109,$D$3:$D$402,$D109)&gt;1,"Repetido",""))</f>
        <v/>
      </c>
    </row>
    <row r="110" customFormat="false" ht="18" hidden="false" customHeight="true" outlineLevel="0" collapsed="false">
      <c r="A110" s="40"/>
      <c r="B110" s="47" t="str">
        <f aca="false">IF($A110="","",IFERROR(INDEX(Equipamentos!$C$3:$C$52,MATCH($A110,Equipamentos!$A$3:$A$52,0)),""))</f>
        <v/>
      </c>
      <c r="C110" s="40"/>
      <c r="D110" s="40"/>
      <c r="E110" s="42"/>
      <c r="F110" s="45" t="str">
        <f aca="false">IF($D110="","",COUNTIF($B$3:$B110,$B110))</f>
        <v/>
      </c>
      <c r="G110" s="47" t="str">
        <f aca="false">IF($D110="","",CONCATENATE($B110,"|",$F110))</f>
        <v/>
      </c>
      <c r="H110" s="46" t="str">
        <f aca="false">IF($D110="","",IF(COUNTIFS($B$3:$B$402,$B110,$D$3:$D$402,$D110)&gt;1,"Repetido",""))</f>
        <v/>
      </c>
    </row>
    <row r="111" customFormat="false" ht="18" hidden="false" customHeight="true" outlineLevel="0" collapsed="false">
      <c r="A111" s="40"/>
      <c r="B111" s="47" t="str">
        <f aca="false">IF($A111="","",IFERROR(INDEX(Equipamentos!$C$3:$C$52,MATCH($A111,Equipamentos!$A$3:$A$52,0)),""))</f>
        <v/>
      </c>
      <c r="C111" s="40"/>
      <c r="D111" s="40"/>
      <c r="E111" s="42"/>
      <c r="F111" s="45" t="str">
        <f aca="false">IF($D111="","",COUNTIF($B$3:$B111,$B111))</f>
        <v/>
      </c>
      <c r="G111" s="47" t="str">
        <f aca="false">IF($D111="","",CONCATENATE($B111,"|",$F111))</f>
        <v/>
      </c>
      <c r="H111" s="46" t="str">
        <f aca="false">IF($D111="","",IF(COUNTIFS($B$3:$B$402,$B111,$D$3:$D$402,$D111)&gt;1,"Repetido",""))</f>
        <v/>
      </c>
    </row>
    <row r="112" customFormat="false" ht="18" hidden="false" customHeight="true" outlineLevel="0" collapsed="false">
      <c r="A112" s="40"/>
      <c r="B112" s="47" t="str">
        <f aca="false">IF($A112="","",IFERROR(INDEX(Equipamentos!$C$3:$C$52,MATCH($A112,Equipamentos!$A$3:$A$52,0)),""))</f>
        <v/>
      </c>
      <c r="C112" s="40"/>
      <c r="D112" s="40"/>
      <c r="E112" s="42"/>
      <c r="F112" s="45" t="str">
        <f aca="false">IF($D112="","",COUNTIF($B$3:$B112,$B112))</f>
        <v/>
      </c>
      <c r="G112" s="47" t="str">
        <f aca="false">IF($D112="","",CONCATENATE($B112,"|",$F112))</f>
        <v/>
      </c>
      <c r="H112" s="46" t="str">
        <f aca="false">IF($D112="","",IF(COUNTIFS($B$3:$B$402,$B112,$D$3:$D$402,$D112)&gt;1,"Repetido",""))</f>
        <v/>
      </c>
    </row>
    <row r="113" customFormat="false" ht="18" hidden="false" customHeight="true" outlineLevel="0" collapsed="false">
      <c r="A113" s="40"/>
      <c r="B113" s="47" t="str">
        <f aca="false">IF($A113="","",IFERROR(INDEX(Equipamentos!$C$3:$C$52,MATCH($A113,Equipamentos!$A$3:$A$52,0)),""))</f>
        <v/>
      </c>
      <c r="C113" s="40"/>
      <c r="D113" s="40"/>
      <c r="E113" s="42"/>
      <c r="F113" s="45" t="str">
        <f aca="false">IF($D113="","",COUNTIF($B$3:$B113,$B113))</f>
        <v/>
      </c>
      <c r="G113" s="47" t="str">
        <f aca="false">IF($D113="","",CONCATENATE($B113,"|",$F113))</f>
        <v/>
      </c>
      <c r="H113" s="46" t="str">
        <f aca="false">IF($D113="","",IF(COUNTIFS($B$3:$B$402,$B113,$D$3:$D$402,$D113)&gt;1,"Repetido",""))</f>
        <v/>
      </c>
    </row>
    <row r="114" customFormat="false" ht="18" hidden="false" customHeight="true" outlineLevel="0" collapsed="false">
      <c r="A114" s="40"/>
      <c r="B114" s="47" t="str">
        <f aca="false">IF($A114="","",IFERROR(INDEX(Equipamentos!$C$3:$C$52,MATCH($A114,Equipamentos!$A$3:$A$52,0)),""))</f>
        <v/>
      </c>
      <c r="C114" s="40"/>
      <c r="D114" s="40"/>
      <c r="E114" s="42"/>
      <c r="F114" s="45" t="str">
        <f aca="false">IF($D114="","",COUNTIF($B$3:$B114,$B114))</f>
        <v/>
      </c>
      <c r="G114" s="47" t="str">
        <f aca="false">IF($D114="","",CONCATENATE($B114,"|",$F114))</f>
        <v/>
      </c>
      <c r="H114" s="46" t="str">
        <f aca="false">IF($D114="","",IF(COUNTIFS($B$3:$B$402,$B114,$D$3:$D$402,$D114)&gt;1,"Repetido",""))</f>
        <v/>
      </c>
    </row>
    <row r="115" customFormat="false" ht="18" hidden="false" customHeight="true" outlineLevel="0" collapsed="false">
      <c r="A115" s="40"/>
      <c r="B115" s="47" t="str">
        <f aca="false">IF($A115="","",IFERROR(INDEX(Equipamentos!$C$3:$C$52,MATCH($A115,Equipamentos!$A$3:$A$52,0)),""))</f>
        <v/>
      </c>
      <c r="C115" s="40"/>
      <c r="D115" s="40"/>
      <c r="E115" s="42"/>
      <c r="F115" s="45" t="str">
        <f aca="false">IF($D115="","",COUNTIF($B$3:$B115,$B115))</f>
        <v/>
      </c>
      <c r="G115" s="47" t="str">
        <f aca="false">IF($D115="","",CONCATENATE($B115,"|",$F115))</f>
        <v/>
      </c>
      <c r="H115" s="46" t="str">
        <f aca="false">IF($D115="","",IF(COUNTIFS($B$3:$B$402,$B115,$D$3:$D$402,$D115)&gt;1,"Repetido",""))</f>
        <v/>
      </c>
    </row>
    <row r="116" customFormat="false" ht="18" hidden="false" customHeight="true" outlineLevel="0" collapsed="false">
      <c r="A116" s="40"/>
      <c r="B116" s="47" t="str">
        <f aca="false">IF($A116="","",IFERROR(INDEX(Equipamentos!$C$3:$C$52,MATCH($A116,Equipamentos!$A$3:$A$52,0)),""))</f>
        <v/>
      </c>
      <c r="C116" s="40"/>
      <c r="D116" s="40"/>
      <c r="E116" s="42"/>
      <c r="F116" s="45" t="str">
        <f aca="false">IF($D116="","",COUNTIF($B$3:$B116,$B116))</f>
        <v/>
      </c>
      <c r="G116" s="47" t="str">
        <f aca="false">IF($D116="","",CONCATENATE($B116,"|",$F116))</f>
        <v/>
      </c>
      <c r="H116" s="46" t="str">
        <f aca="false">IF($D116="","",IF(COUNTIFS($B$3:$B$402,$B116,$D$3:$D$402,$D116)&gt;1,"Repetido",""))</f>
        <v/>
      </c>
    </row>
    <row r="117" customFormat="false" ht="18" hidden="false" customHeight="true" outlineLevel="0" collapsed="false">
      <c r="A117" s="40"/>
      <c r="B117" s="47" t="str">
        <f aca="false">IF($A117="","",IFERROR(INDEX(Equipamentos!$C$3:$C$52,MATCH($A117,Equipamentos!$A$3:$A$52,0)),""))</f>
        <v/>
      </c>
      <c r="C117" s="40"/>
      <c r="D117" s="40"/>
      <c r="E117" s="42"/>
      <c r="F117" s="45" t="str">
        <f aca="false">IF($D117="","",COUNTIF($B$3:$B117,$B117))</f>
        <v/>
      </c>
      <c r="G117" s="47" t="str">
        <f aca="false">IF($D117="","",CONCATENATE($B117,"|",$F117))</f>
        <v/>
      </c>
      <c r="H117" s="46" t="str">
        <f aca="false">IF($D117="","",IF(COUNTIFS($B$3:$B$402,$B117,$D$3:$D$402,$D117)&gt;1,"Repetido",""))</f>
        <v/>
      </c>
    </row>
    <row r="118" customFormat="false" ht="18" hidden="false" customHeight="true" outlineLevel="0" collapsed="false">
      <c r="A118" s="40"/>
      <c r="B118" s="47" t="str">
        <f aca="false">IF($A118="","",IFERROR(INDEX(Equipamentos!$C$3:$C$52,MATCH($A118,Equipamentos!$A$3:$A$52,0)),""))</f>
        <v/>
      </c>
      <c r="C118" s="40"/>
      <c r="D118" s="40"/>
      <c r="E118" s="42"/>
      <c r="F118" s="45" t="str">
        <f aca="false">IF($D118="","",COUNTIF($B$3:$B118,$B118))</f>
        <v/>
      </c>
      <c r="G118" s="47" t="str">
        <f aca="false">IF($D118="","",CONCATENATE($B118,"|",$F118))</f>
        <v/>
      </c>
      <c r="H118" s="46" t="str">
        <f aca="false">IF($D118="","",IF(COUNTIFS($B$3:$B$402,$B118,$D$3:$D$402,$D118)&gt;1,"Repetido",""))</f>
        <v/>
      </c>
    </row>
    <row r="119" customFormat="false" ht="18" hidden="false" customHeight="true" outlineLevel="0" collapsed="false">
      <c r="A119" s="40"/>
      <c r="B119" s="47" t="str">
        <f aca="false">IF($A119="","",IFERROR(INDEX(Equipamentos!$C$3:$C$52,MATCH($A119,Equipamentos!$A$3:$A$52,0)),""))</f>
        <v/>
      </c>
      <c r="C119" s="40"/>
      <c r="D119" s="40"/>
      <c r="E119" s="42"/>
      <c r="F119" s="45" t="str">
        <f aca="false">IF($D119="","",COUNTIF($B$3:$B119,$B119))</f>
        <v/>
      </c>
      <c r="G119" s="47" t="str">
        <f aca="false">IF($D119="","",CONCATENATE($B119,"|",$F119))</f>
        <v/>
      </c>
      <c r="H119" s="46" t="str">
        <f aca="false">IF($D119="","",IF(COUNTIFS($B$3:$B$402,$B119,$D$3:$D$402,$D119)&gt;1,"Repetido",""))</f>
        <v/>
      </c>
    </row>
    <row r="120" customFormat="false" ht="18" hidden="false" customHeight="true" outlineLevel="0" collapsed="false">
      <c r="A120" s="40"/>
      <c r="B120" s="47" t="str">
        <f aca="false">IF($A120="","",IFERROR(INDEX(Equipamentos!$C$3:$C$52,MATCH($A120,Equipamentos!$A$3:$A$52,0)),""))</f>
        <v/>
      </c>
      <c r="C120" s="40"/>
      <c r="D120" s="40"/>
      <c r="E120" s="42"/>
      <c r="F120" s="45" t="str">
        <f aca="false">IF($D120="","",COUNTIF($B$3:$B120,$B120))</f>
        <v/>
      </c>
      <c r="G120" s="47" t="str">
        <f aca="false">IF($D120="","",CONCATENATE($B120,"|",$F120))</f>
        <v/>
      </c>
      <c r="H120" s="46" t="str">
        <f aca="false">IF($D120="","",IF(COUNTIFS($B$3:$B$402,$B120,$D$3:$D$402,$D120)&gt;1,"Repetido",""))</f>
        <v/>
      </c>
    </row>
    <row r="121" customFormat="false" ht="18" hidden="false" customHeight="true" outlineLevel="0" collapsed="false">
      <c r="A121" s="40"/>
      <c r="B121" s="47" t="str">
        <f aca="false">IF($A121="","",IFERROR(INDEX(Equipamentos!$C$3:$C$52,MATCH($A121,Equipamentos!$A$3:$A$52,0)),""))</f>
        <v/>
      </c>
      <c r="C121" s="40"/>
      <c r="D121" s="40"/>
      <c r="E121" s="42"/>
      <c r="F121" s="45" t="str">
        <f aca="false">IF($D121="","",COUNTIF($B$3:$B121,$B121))</f>
        <v/>
      </c>
      <c r="G121" s="47" t="str">
        <f aca="false">IF($D121="","",CONCATENATE($B121,"|",$F121))</f>
        <v/>
      </c>
      <c r="H121" s="46" t="str">
        <f aca="false">IF($D121="","",IF(COUNTIFS($B$3:$B$402,$B121,$D$3:$D$402,$D121)&gt;1,"Repetido",""))</f>
        <v/>
      </c>
    </row>
    <row r="122" customFormat="false" ht="18" hidden="false" customHeight="true" outlineLevel="0" collapsed="false">
      <c r="A122" s="40"/>
      <c r="B122" s="47" t="str">
        <f aca="false">IF($A122="","",IFERROR(INDEX(Equipamentos!$C$3:$C$52,MATCH($A122,Equipamentos!$A$3:$A$52,0)),""))</f>
        <v/>
      </c>
      <c r="C122" s="40"/>
      <c r="D122" s="40"/>
      <c r="E122" s="42"/>
      <c r="F122" s="45" t="str">
        <f aca="false">IF($D122="","",COUNTIF($B$3:$B122,$B122))</f>
        <v/>
      </c>
      <c r="G122" s="47" t="str">
        <f aca="false">IF($D122="","",CONCATENATE($B122,"|",$F122))</f>
        <v/>
      </c>
      <c r="H122" s="46" t="str">
        <f aca="false">IF($D122="","",IF(COUNTIFS($B$3:$B$402,$B122,$D$3:$D$402,$D122)&gt;1,"Repetido",""))</f>
        <v/>
      </c>
    </row>
    <row r="123" customFormat="false" ht="18" hidden="false" customHeight="true" outlineLevel="0" collapsed="false">
      <c r="A123" s="40"/>
      <c r="B123" s="47" t="str">
        <f aca="false">IF($A123="","",IFERROR(INDEX(Equipamentos!$C$3:$C$52,MATCH($A123,Equipamentos!$A$3:$A$52,0)),""))</f>
        <v/>
      </c>
      <c r="C123" s="40"/>
      <c r="D123" s="40"/>
      <c r="E123" s="42"/>
      <c r="F123" s="45" t="str">
        <f aca="false">IF($D123="","",COUNTIF($B$3:$B123,$B123))</f>
        <v/>
      </c>
      <c r="G123" s="47" t="str">
        <f aca="false">IF($D123="","",CONCATENATE($B123,"|",$F123))</f>
        <v/>
      </c>
      <c r="H123" s="46" t="str">
        <f aca="false">IF($D123="","",IF(COUNTIFS($B$3:$B$402,$B123,$D$3:$D$402,$D123)&gt;1,"Repetido",""))</f>
        <v/>
      </c>
    </row>
    <row r="124" customFormat="false" ht="18" hidden="false" customHeight="true" outlineLevel="0" collapsed="false">
      <c r="A124" s="40"/>
      <c r="B124" s="47" t="str">
        <f aca="false">IF($A124="","",IFERROR(INDEX(Equipamentos!$C$3:$C$52,MATCH($A124,Equipamentos!$A$3:$A$52,0)),""))</f>
        <v/>
      </c>
      <c r="C124" s="40"/>
      <c r="D124" s="40"/>
      <c r="E124" s="42"/>
      <c r="F124" s="45" t="str">
        <f aca="false">IF($D124="","",COUNTIF($B$3:$B124,$B124))</f>
        <v/>
      </c>
      <c r="G124" s="47" t="str">
        <f aca="false">IF($D124="","",CONCATENATE($B124,"|",$F124))</f>
        <v/>
      </c>
      <c r="H124" s="46" t="str">
        <f aca="false">IF($D124="","",IF(COUNTIFS($B$3:$B$402,$B124,$D$3:$D$402,$D124)&gt;1,"Repetido",""))</f>
        <v/>
      </c>
    </row>
    <row r="125" customFormat="false" ht="18" hidden="false" customHeight="true" outlineLevel="0" collapsed="false">
      <c r="A125" s="40"/>
      <c r="B125" s="47" t="str">
        <f aca="false">IF($A125="","",IFERROR(INDEX(Equipamentos!$C$3:$C$52,MATCH($A125,Equipamentos!$A$3:$A$52,0)),""))</f>
        <v/>
      </c>
      <c r="C125" s="40"/>
      <c r="D125" s="40"/>
      <c r="E125" s="42"/>
      <c r="F125" s="45" t="str">
        <f aca="false">IF($D125="","",COUNTIF($B$3:$B125,$B125))</f>
        <v/>
      </c>
      <c r="G125" s="47" t="str">
        <f aca="false">IF($D125="","",CONCATENATE($B125,"|",$F125))</f>
        <v/>
      </c>
      <c r="H125" s="46" t="str">
        <f aca="false">IF($D125="","",IF(COUNTIFS($B$3:$B$402,$B125,$D$3:$D$402,$D125)&gt;1,"Repetido",""))</f>
        <v/>
      </c>
    </row>
    <row r="126" customFormat="false" ht="18" hidden="false" customHeight="true" outlineLevel="0" collapsed="false">
      <c r="A126" s="40"/>
      <c r="B126" s="47" t="str">
        <f aca="false">IF($A126="","",IFERROR(INDEX(Equipamentos!$C$3:$C$52,MATCH($A126,Equipamentos!$A$3:$A$52,0)),""))</f>
        <v/>
      </c>
      <c r="C126" s="40"/>
      <c r="D126" s="40"/>
      <c r="E126" s="42"/>
      <c r="F126" s="45" t="str">
        <f aca="false">IF($D126="","",COUNTIF($B$3:$B126,$B126))</f>
        <v/>
      </c>
      <c r="G126" s="47" t="str">
        <f aca="false">IF($D126="","",CONCATENATE($B126,"|",$F126))</f>
        <v/>
      </c>
      <c r="H126" s="46" t="str">
        <f aca="false">IF($D126="","",IF(COUNTIFS($B$3:$B$402,$B126,$D$3:$D$402,$D126)&gt;1,"Repetido",""))</f>
        <v/>
      </c>
    </row>
    <row r="127" customFormat="false" ht="18" hidden="false" customHeight="true" outlineLevel="0" collapsed="false">
      <c r="A127" s="40"/>
      <c r="B127" s="47" t="str">
        <f aca="false">IF($A127="","",IFERROR(INDEX(Equipamentos!$C$3:$C$52,MATCH($A127,Equipamentos!$A$3:$A$52,0)),""))</f>
        <v/>
      </c>
      <c r="C127" s="40"/>
      <c r="D127" s="40"/>
      <c r="E127" s="42"/>
      <c r="F127" s="45" t="str">
        <f aca="false">IF($D127="","",COUNTIF($B$3:$B127,$B127))</f>
        <v/>
      </c>
      <c r="G127" s="47" t="str">
        <f aca="false">IF($D127="","",CONCATENATE($B127,"|",$F127))</f>
        <v/>
      </c>
      <c r="H127" s="46" t="str">
        <f aca="false">IF($D127="","",IF(COUNTIFS($B$3:$B$402,$B127,$D$3:$D$402,$D127)&gt;1,"Repetido",""))</f>
        <v/>
      </c>
    </row>
    <row r="128" customFormat="false" ht="18" hidden="false" customHeight="true" outlineLevel="0" collapsed="false">
      <c r="A128" s="40"/>
      <c r="B128" s="47" t="str">
        <f aca="false">IF($A128="","",IFERROR(INDEX(Equipamentos!$C$3:$C$52,MATCH($A128,Equipamentos!$A$3:$A$52,0)),""))</f>
        <v/>
      </c>
      <c r="C128" s="40"/>
      <c r="D128" s="40"/>
      <c r="E128" s="42"/>
      <c r="F128" s="45" t="str">
        <f aca="false">IF($D128="","",COUNTIF($B$3:$B128,$B128))</f>
        <v/>
      </c>
      <c r="G128" s="47" t="str">
        <f aca="false">IF($D128="","",CONCATENATE($B128,"|",$F128))</f>
        <v/>
      </c>
      <c r="H128" s="46" t="str">
        <f aca="false">IF($D128="","",IF(COUNTIFS($B$3:$B$402,$B128,$D$3:$D$402,$D128)&gt;1,"Repetido",""))</f>
        <v/>
      </c>
    </row>
    <row r="129" customFormat="false" ht="18" hidden="false" customHeight="true" outlineLevel="0" collapsed="false">
      <c r="A129" s="40"/>
      <c r="B129" s="47" t="str">
        <f aca="false">IF($A129="","",IFERROR(INDEX(Equipamentos!$C$3:$C$52,MATCH($A129,Equipamentos!$A$3:$A$52,0)),""))</f>
        <v/>
      </c>
      <c r="C129" s="40"/>
      <c r="D129" s="40"/>
      <c r="E129" s="42"/>
      <c r="F129" s="45" t="str">
        <f aca="false">IF($D129="","",COUNTIF($B$3:$B129,$B129))</f>
        <v/>
      </c>
      <c r="G129" s="47" t="str">
        <f aca="false">IF($D129="","",CONCATENATE($B129,"|",$F129))</f>
        <v/>
      </c>
      <c r="H129" s="46" t="str">
        <f aca="false">IF($D129="","",IF(COUNTIFS($B$3:$B$402,$B129,$D$3:$D$402,$D129)&gt;1,"Repetido",""))</f>
        <v/>
      </c>
    </row>
    <row r="130" customFormat="false" ht="18" hidden="false" customHeight="true" outlineLevel="0" collapsed="false">
      <c r="A130" s="40"/>
      <c r="B130" s="47" t="str">
        <f aca="false">IF($A130="","",IFERROR(INDEX(Equipamentos!$C$3:$C$52,MATCH($A130,Equipamentos!$A$3:$A$52,0)),""))</f>
        <v/>
      </c>
      <c r="C130" s="40"/>
      <c r="D130" s="40"/>
      <c r="E130" s="42"/>
      <c r="F130" s="45" t="str">
        <f aca="false">IF($D130="","",COUNTIF($B$3:$B130,$B130))</f>
        <v/>
      </c>
      <c r="G130" s="47" t="str">
        <f aca="false">IF($D130="","",CONCATENATE($B130,"|",$F130))</f>
        <v/>
      </c>
      <c r="H130" s="46" t="str">
        <f aca="false">IF($D130="","",IF(COUNTIFS($B$3:$B$402,$B130,$D$3:$D$402,$D130)&gt;1,"Repetido",""))</f>
        <v/>
      </c>
    </row>
    <row r="131" customFormat="false" ht="18" hidden="false" customHeight="true" outlineLevel="0" collapsed="false">
      <c r="A131" s="40"/>
      <c r="B131" s="47" t="str">
        <f aca="false">IF($A131="","",IFERROR(INDEX(Equipamentos!$C$3:$C$52,MATCH($A131,Equipamentos!$A$3:$A$52,0)),""))</f>
        <v/>
      </c>
      <c r="C131" s="40"/>
      <c r="D131" s="40"/>
      <c r="E131" s="42"/>
      <c r="F131" s="45" t="str">
        <f aca="false">IF($D131="","",COUNTIF($B$3:$B131,$B131))</f>
        <v/>
      </c>
      <c r="G131" s="47" t="str">
        <f aca="false">IF($D131="","",CONCATENATE($B131,"|",$F131))</f>
        <v/>
      </c>
      <c r="H131" s="46" t="str">
        <f aca="false">IF($D131="","",IF(COUNTIFS($B$3:$B$402,$B131,$D$3:$D$402,$D131)&gt;1,"Repetido",""))</f>
        <v/>
      </c>
    </row>
    <row r="132" customFormat="false" ht="18" hidden="false" customHeight="true" outlineLevel="0" collapsed="false">
      <c r="A132" s="40"/>
      <c r="B132" s="47" t="str">
        <f aca="false">IF($A132="","",IFERROR(INDEX(Equipamentos!$C$3:$C$52,MATCH($A132,Equipamentos!$A$3:$A$52,0)),""))</f>
        <v/>
      </c>
      <c r="C132" s="40"/>
      <c r="D132" s="40"/>
      <c r="E132" s="42"/>
      <c r="F132" s="45" t="str">
        <f aca="false">IF($D132="","",COUNTIF($B$3:$B132,$B132))</f>
        <v/>
      </c>
      <c r="G132" s="47" t="str">
        <f aca="false">IF($D132="","",CONCATENATE($B132,"|",$F132))</f>
        <v/>
      </c>
      <c r="H132" s="46" t="str">
        <f aca="false">IF($D132="","",IF(COUNTIFS($B$3:$B$402,$B132,$D$3:$D$402,$D132)&gt;1,"Repetido",""))</f>
        <v/>
      </c>
    </row>
    <row r="133" customFormat="false" ht="18" hidden="false" customHeight="true" outlineLevel="0" collapsed="false">
      <c r="A133" s="40"/>
      <c r="B133" s="47" t="str">
        <f aca="false">IF($A133="","",IFERROR(INDEX(Equipamentos!$C$3:$C$52,MATCH($A133,Equipamentos!$A$3:$A$52,0)),""))</f>
        <v/>
      </c>
      <c r="C133" s="40"/>
      <c r="D133" s="40"/>
      <c r="E133" s="42"/>
      <c r="F133" s="45" t="str">
        <f aca="false">IF($D133="","",COUNTIF($B$3:$B133,$B133))</f>
        <v/>
      </c>
      <c r="G133" s="47" t="str">
        <f aca="false">IF($D133="","",CONCATENATE($B133,"|",$F133))</f>
        <v/>
      </c>
      <c r="H133" s="46" t="str">
        <f aca="false">IF($D133="","",IF(COUNTIFS($B$3:$B$402,$B133,$D$3:$D$402,$D133)&gt;1,"Repetido",""))</f>
        <v/>
      </c>
    </row>
    <row r="134" customFormat="false" ht="18" hidden="false" customHeight="true" outlineLevel="0" collapsed="false">
      <c r="A134" s="40"/>
      <c r="B134" s="47" t="str">
        <f aca="false">IF($A134="","",IFERROR(INDEX(Equipamentos!$C$3:$C$52,MATCH($A134,Equipamentos!$A$3:$A$52,0)),""))</f>
        <v/>
      </c>
      <c r="C134" s="40"/>
      <c r="D134" s="40"/>
      <c r="E134" s="42"/>
      <c r="F134" s="45" t="str">
        <f aca="false">IF($D134="","",COUNTIF($B$3:$B134,$B134))</f>
        <v/>
      </c>
      <c r="G134" s="47" t="str">
        <f aca="false">IF($D134="","",CONCATENATE($B134,"|",$F134))</f>
        <v/>
      </c>
      <c r="H134" s="46" t="str">
        <f aca="false">IF($D134="","",IF(COUNTIFS($B$3:$B$402,$B134,$D$3:$D$402,$D134)&gt;1,"Repetido",""))</f>
        <v/>
      </c>
    </row>
    <row r="135" customFormat="false" ht="18" hidden="false" customHeight="true" outlineLevel="0" collapsed="false">
      <c r="A135" s="40"/>
      <c r="B135" s="47" t="str">
        <f aca="false">IF($A135="","",IFERROR(INDEX(Equipamentos!$C$3:$C$52,MATCH($A135,Equipamentos!$A$3:$A$52,0)),""))</f>
        <v/>
      </c>
      <c r="C135" s="40"/>
      <c r="D135" s="40"/>
      <c r="E135" s="42"/>
      <c r="F135" s="45" t="str">
        <f aca="false">IF($D135="","",COUNTIF($B$3:$B135,$B135))</f>
        <v/>
      </c>
      <c r="G135" s="47" t="str">
        <f aca="false">IF($D135="","",CONCATENATE($B135,"|",$F135))</f>
        <v/>
      </c>
      <c r="H135" s="46" t="str">
        <f aca="false">IF($D135="","",IF(COUNTIFS($B$3:$B$402,$B135,$D$3:$D$402,$D135)&gt;1,"Repetido",""))</f>
        <v/>
      </c>
    </row>
    <row r="136" customFormat="false" ht="18" hidden="false" customHeight="true" outlineLevel="0" collapsed="false">
      <c r="A136" s="40"/>
      <c r="B136" s="47" t="str">
        <f aca="false">IF($A136="","",IFERROR(INDEX(Equipamentos!$C$3:$C$52,MATCH($A136,Equipamentos!$A$3:$A$52,0)),""))</f>
        <v/>
      </c>
      <c r="C136" s="40"/>
      <c r="D136" s="40"/>
      <c r="E136" s="42"/>
      <c r="F136" s="45" t="str">
        <f aca="false">IF($D136="","",COUNTIF($B$3:$B136,$B136))</f>
        <v/>
      </c>
      <c r="G136" s="47" t="str">
        <f aca="false">IF($D136="","",CONCATENATE($B136,"|",$F136))</f>
        <v/>
      </c>
      <c r="H136" s="46" t="str">
        <f aca="false">IF($D136="","",IF(COUNTIFS($B$3:$B$402,$B136,$D$3:$D$402,$D136)&gt;1,"Repetido",""))</f>
        <v/>
      </c>
    </row>
    <row r="137" customFormat="false" ht="18" hidden="false" customHeight="true" outlineLevel="0" collapsed="false">
      <c r="A137" s="40"/>
      <c r="B137" s="47" t="str">
        <f aca="false">IF($A137="","",IFERROR(INDEX(Equipamentos!$C$3:$C$52,MATCH($A137,Equipamentos!$A$3:$A$52,0)),""))</f>
        <v/>
      </c>
      <c r="C137" s="40"/>
      <c r="D137" s="40"/>
      <c r="E137" s="42"/>
      <c r="F137" s="45" t="str">
        <f aca="false">IF($D137="","",COUNTIF($B$3:$B137,$B137))</f>
        <v/>
      </c>
      <c r="G137" s="47" t="str">
        <f aca="false">IF($D137="","",CONCATENATE($B137,"|",$F137))</f>
        <v/>
      </c>
      <c r="H137" s="46" t="str">
        <f aca="false">IF($D137="","",IF(COUNTIFS($B$3:$B$402,$B137,$D$3:$D$402,$D137)&gt;1,"Repetido",""))</f>
        <v/>
      </c>
    </row>
    <row r="138" customFormat="false" ht="18" hidden="false" customHeight="true" outlineLevel="0" collapsed="false">
      <c r="A138" s="40"/>
      <c r="B138" s="47" t="str">
        <f aca="false">IF($A138="","",IFERROR(INDEX(Equipamentos!$C$3:$C$52,MATCH($A138,Equipamentos!$A$3:$A$52,0)),""))</f>
        <v/>
      </c>
      <c r="C138" s="40"/>
      <c r="D138" s="40"/>
      <c r="E138" s="42"/>
      <c r="F138" s="45" t="str">
        <f aca="false">IF($D138="","",COUNTIF($B$3:$B138,$B138))</f>
        <v/>
      </c>
      <c r="G138" s="47" t="str">
        <f aca="false">IF($D138="","",CONCATENATE($B138,"|",$F138))</f>
        <v/>
      </c>
      <c r="H138" s="46" t="str">
        <f aca="false">IF($D138="","",IF(COUNTIFS($B$3:$B$402,$B138,$D$3:$D$402,$D138)&gt;1,"Repetido",""))</f>
        <v/>
      </c>
    </row>
    <row r="139" customFormat="false" ht="18" hidden="false" customHeight="true" outlineLevel="0" collapsed="false">
      <c r="A139" s="40"/>
      <c r="B139" s="47" t="str">
        <f aca="false">IF($A139="","",IFERROR(INDEX(Equipamentos!$C$3:$C$52,MATCH($A139,Equipamentos!$A$3:$A$52,0)),""))</f>
        <v/>
      </c>
      <c r="C139" s="40"/>
      <c r="D139" s="40"/>
      <c r="E139" s="42"/>
      <c r="F139" s="45" t="str">
        <f aca="false">IF($D139="","",COUNTIF($B$3:$B139,$B139))</f>
        <v/>
      </c>
      <c r="G139" s="47" t="str">
        <f aca="false">IF($D139="","",CONCATENATE($B139,"|",$F139))</f>
        <v/>
      </c>
      <c r="H139" s="46" t="str">
        <f aca="false">IF($D139="","",IF(COUNTIFS($B$3:$B$402,$B139,$D$3:$D$402,$D139)&gt;1,"Repetido",""))</f>
        <v/>
      </c>
    </row>
    <row r="140" customFormat="false" ht="18" hidden="false" customHeight="true" outlineLevel="0" collapsed="false">
      <c r="A140" s="40"/>
      <c r="B140" s="47" t="str">
        <f aca="false">IF($A140="","",IFERROR(INDEX(Equipamentos!$C$3:$C$52,MATCH($A140,Equipamentos!$A$3:$A$52,0)),""))</f>
        <v/>
      </c>
      <c r="C140" s="40"/>
      <c r="D140" s="40"/>
      <c r="E140" s="42"/>
      <c r="F140" s="45" t="str">
        <f aca="false">IF($D140="","",COUNTIF($B$3:$B140,$B140))</f>
        <v/>
      </c>
      <c r="G140" s="47" t="str">
        <f aca="false">IF($D140="","",CONCATENATE($B140,"|",$F140))</f>
        <v/>
      </c>
      <c r="H140" s="46" t="str">
        <f aca="false">IF($D140="","",IF(COUNTIFS($B$3:$B$402,$B140,$D$3:$D$402,$D140)&gt;1,"Repetido",""))</f>
        <v/>
      </c>
    </row>
    <row r="141" customFormat="false" ht="18" hidden="false" customHeight="true" outlineLevel="0" collapsed="false">
      <c r="A141" s="40"/>
      <c r="B141" s="47" t="str">
        <f aca="false">IF($A141="","",IFERROR(INDEX(Equipamentos!$C$3:$C$52,MATCH($A141,Equipamentos!$A$3:$A$52,0)),""))</f>
        <v/>
      </c>
      <c r="C141" s="40"/>
      <c r="D141" s="40"/>
      <c r="E141" s="42"/>
      <c r="F141" s="45" t="str">
        <f aca="false">IF($D141="","",COUNTIF($B$3:$B141,$B141))</f>
        <v/>
      </c>
      <c r="G141" s="47" t="str">
        <f aca="false">IF($D141="","",CONCATENATE($B141,"|",$F141))</f>
        <v/>
      </c>
      <c r="H141" s="46" t="str">
        <f aca="false">IF($D141="","",IF(COUNTIFS($B$3:$B$402,$B141,$D$3:$D$402,$D141)&gt;1,"Repetido",""))</f>
        <v/>
      </c>
    </row>
    <row r="142" customFormat="false" ht="18" hidden="false" customHeight="true" outlineLevel="0" collapsed="false">
      <c r="A142" s="40"/>
      <c r="B142" s="47" t="str">
        <f aca="false">IF($A142="","",IFERROR(INDEX(Equipamentos!$C$3:$C$52,MATCH($A142,Equipamentos!$A$3:$A$52,0)),""))</f>
        <v/>
      </c>
      <c r="C142" s="40"/>
      <c r="D142" s="40"/>
      <c r="E142" s="42"/>
      <c r="F142" s="45" t="str">
        <f aca="false">IF($D142="","",COUNTIF($B$3:$B142,$B142))</f>
        <v/>
      </c>
      <c r="G142" s="47" t="str">
        <f aca="false">IF($D142="","",CONCATENATE($B142,"|",$F142))</f>
        <v/>
      </c>
      <c r="H142" s="46" t="str">
        <f aca="false">IF($D142="","",IF(COUNTIFS($B$3:$B$402,$B142,$D$3:$D$402,$D142)&gt;1,"Repetido",""))</f>
        <v/>
      </c>
    </row>
    <row r="143" customFormat="false" ht="18" hidden="false" customHeight="true" outlineLevel="0" collapsed="false">
      <c r="A143" s="40"/>
      <c r="B143" s="47" t="str">
        <f aca="false">IF($A143="","",IFERROR(INDEX(Equipamentos!$C$3:$C$52,MATCH($A143,Equipamentos!$A$3:$A$52,0)),""))</f>
        <v/>
      </c>
      <c r="C143" s="40"/>
      <c r="D143" s="40"/>
      <c r="E143" s="42"/>
      <c r="F143" s="45" t="str">
        <f aca="false">IF($D143="","",COUNTIF($B$3:$B143,$B143))</f>
        <v/>
      </c>
      <c r="G143" s="47" t="str">
        <f aca="false">IF($D143="","",CONCATENATE($B143,"|",$F143))</f>
        <v/>
      </c>
      <c r="H143" s="46" t="str">
        <f aca="false">IF($D143="","",IF(COUNTIFS($B$3:$B$402,$B143,$D$3:$D$402,$D143)&gt;1,"Repetido",""))</f>
        <v/>
      </c>
    </row>
    <row r="144" customFormat="false" ht="18" hidden="false" customHeight="true" outlineLevel="0" collapsed="false">
      <c r="A144" s="40"/>
      <c r="B144" s="47" t="str">
        <f aca="false">IF($A144="","",IFERROR(INDEX(Equipamentos!$C$3:$C$52,MATCH($A144,Equipamentos!$A$3:$A$52,0)),""))</f>
        <v/>
      </c>
      <c r="C144" s="40"/>
      <c r="D144" s="40"/>
      <c r="E144" s="42"/>
      <c r="F144" s="45" t="str">
        <f aca="false">IF($D144="","",COUNTIF($B$3:$B144,$B144))</f>
        <v/>
      </c>
      <c r="G144" s="47" t="str">
        <f aca="false">IF($D144="","",CONCATENATE($B144,"|",$F144))</f>
        <v/>
      </c>
      <c r="H144" s="46" t="str">
        <f aca="false">IF($D144="","",IF(COUNTIFS($B$3:$B$402,$B144,$D$3:$D$402,$D144)&gt;1,"Repetido",""))</f>
        <v/>
      </c>
    </row>
    <row r="145" customFormat="false" ht="18" hidden="false" customHeight="true" outlineLevel="0" collapsed="false">
      <c r="A145" s="40"/>
      <c r="B145" s="47" t="str">
        <f aca="false">IF($A145="","",IFERROR(INDEX(Equipamentos!$C$3:$C$52,MATCH($A145,Equipamentos!$A$3:$A$52,0)),""))</f>
        <v/>
      </c>
      <c r="C145" s="40"/>
      <c r="D145" s="40"/>
      <c r="E145" s="42"/>
      <c r="F145" s="45" t="str">
        <f aca="false">IF($D145="","",COUNTIF($B$3:$B145,$B145))</f>
        <v/>
      </c>
      <c r="G145" s="47" t="str">
        <f aca="false">IF($D145="","",CONCATENATE($B145,"|",$F145))</f>
        <v/>
      </c>
      <c r="H145" s="46" t="str">
        <f aca="false">IF($D145="","",IF(COUNTIFS($B$3:$B$402,$B145,$D$3:$D$402,$D145)&gt;1,"Repetido",""))</f>
        <v/>
      </c>
    </row>
    <row r="146" customFormat="false" ht="18" hidden="false" customHeight="true" outlineLevel="0" collapsed="false">
      <c r="A146" s="40"/>
      <c r="B146" s="47" t="str">
        <f aca="false">IF($A146="","",IFERROR(INDEX(Equipamentos!$C$3:$C$52,MATCH($A146,Equipamentos!$A$3:$A$52,0)),""))</f>
        <v/>
      </c>
      <c r="C146" s="40"/>
      <c r="D146" s="40"/>
      <c r="E146" s="42"/>
      <c r="F146" s="45" t="str">
        <f aca="false">IF($D146="","",COUNTIF($B$3:$B146,$B146))</f>
        <v/>
      </c>
      <c r="G146" s="47" t="str">
        <f aca="false">IF($D146="","",CONCATENATE($B146,"|",$F146))</f>
        <v/>
      </c>
      <c r="H146" s="46" t="str">
        <f aca="false">IF($D146="","",IF(COUNTIFS($B$3:$B$402,$B146,$D$3:$D$402,$D146)&gt;1,"Repetido",""))</f>
        <v/>
      </c>
    </row>
    <row r="147" customFormat="false" ht="18" hidden="false" customHeight="true" outlineLevel="0" collapsed="false">
      <c r="A147" s="40"/>
      <c r="B147" s="47" t="str">
        <f aca="false">IF($A147="","",IFERROR(INDEX(Equipamentos!$C$3:$C$52,MATCH($A147,Equipamentos!$A$3:$A$52,0)),""))</f>
        <v/>
      </c>
      <c r="C147" s="40"/>
      <c r="D147" s="40"/>
      <c r="E147" s="42"/>
      <c r="F147" s="45" t="str">
        <f aca="false">IF($D147="","",COUNTIF($B$3:$B147,$B147))</f>
        <v/>
      </c>
      <c r="G147" s="47" t="str">
        <f aca="false">IF($D147="","",CONCATENATE($B147,"|",$F147))</f>
        <v/>
      </c>
      <c r="H147" s="46" t="str">
        <f aca="false">IF($D147="","",IF(COUNTIFS($B$3:$B$402,$B147,$D$3:$D$402,$D147)&gt;1,"Repetido",""))</f>
        <v/>
      </c>
    </row>
    <row r="148" customFormat="false" ht="18" hidden="false" customHeight="true" outlineLevel="0" collapsed="false">
      <c r="A148" s="40"/>
      <c r="B148" s="47" t="str">
        <f aca="false">IF($A148="","",IFERROR(INDEX(Equipamentos!$C$3:$C$52,MATCH($A148,Equipamentos!$A$3:$A$52,0)),""))</f>
        <v/>
      </c>
      <c r="C148" s="40"/>
      <c r="D148" s="40"/>
      <c r="E148" s="42"/>
      <c r="F148" s="45" t="str">
        <f aca="false">IF($D148="","",COUNTIF($B$3:$B148,$B148))</f>
        <v/>
      </c>
      <c r="G148" s="47" t="str">
        <f aca="false">IF($D148="","",CONCATENATE($B148,"|",$F148))</f>
        <v/>
      </c>
      <c r="H148" s="46" t="str">
        <f aca="false">IF($D148="","",IF(COUNTIFS($B$3:$B$402,$B148,$D$3:$D$402,$D148)&gt;1,"Repetido",""))</f>
        <v/>
      </c>
    </row>
    <row r="149" customFormat="false" ht="18" hidden="false" customHeight="true" outlineLevel="0" collapsed="false">
      <c r="A149" s="40"/>
      <c r="B149" s="47" t="str">
        <f aca="false">IF($A149="","",IFERROR(INDEX(Equipamentos!$C$3:$C$52,MATCH($A149,Equipamentos!$A$3:$A$52,0)),""))</f>
        <v/>
      </c>
      <c r="C149" s="40"/>
      <c r="D149" s="40"/>
      <c r="E149" s="42"/>
      <c r="F149" s="45" t="str">
        <f aca="false">IF($D149="","",COUNTIF($B$3:$B149,$B149))</f>
        <v/>
      </c>
      <c r="G149" s="47" t="str">
        <f aca="false">IF($D149="","",CONCATENATE($B149,"|",$F149))</f>
        <v/>
      </c>
      <c r="H149" s="46" t="str">
        <f aca="false">IF($D149="","",IF(COUNTIFS($B$3:$B$402,$B149,$D$3:$D$402,$D149)&gt;1,"Repetido",""))</f>
        <v/>
      </c>
    </row>
    <row r="150" customFormat="false" ht="18" hidden="false" customHeight="true" outlineLevel="0" collapsed="false">
      <c r="A150" s="40"/>
      <c r="B150" s="47" t="str">
        <f aca="false">IF($A150="","",IFERROR(INDEX(Equipamentos!$C$3:$C$52,MATCH($A150,Equipamentos!$A$3:$A$52,0)),""))</f>
        <v/>
      </c>
      <c r="C150" s="40"/>
      <c r="D150" s="40"/>
      <c r="E150" s="42"/>
      <c r="F150" s="45" t="str">
        <f aca="false">IF($D150="","",COUNTIF($B$3:$B150,$B150))</f>
        <v/>
      </c>
      <c r="G150" s="47" t="str">
        <f aca="false">IF($D150="","",CONCATENATE($B150,"|",$F150))</f>
        <v/>
      </c>
      <c r="H150" s="46" t="str">
        <f aca="false">IF($D150="","",IF(COUNTIFS($B$3:$B$402,$B150,$D$3:$D$402,$D150)&gt;1,"Repetido",""))</f>
        <v/>
      </c>
    </row>
    <row r="151" customFormat="false" ht="18" hidden="false" customHeight="true" outlineLevel="0" collapsed="false">
      <c r="A151" s="40"/>
      <c r="B151" s="47" t="str">
        <f aca="false">IF($A151="","",IFERROR(INDEX(Equipamentos!$C$3:$C$52,MATCH($A151,Equipamentos!$A$3:$A$52,0)),""))</f>
        <v/>
      </c>
      <c r="C151" s="40"/>
      <c r="D151" s="40"/>
      <c r="E151" s="42"/>
      <c r="F151" s="45" t="str">
        <f aca="false">IF($D151="","",COUNTIF($B$3:$B151,$B151))</f>
        <v/>
      </c>
      <c r="G151" s="47" t="str">
        <f aca="false">IF($D151="","",CONCATENATE($B151,"|",$F151))</f>
        <v/>
      </c>
      <c r="H151" s="46" t="str">
        <f aca="false">IF($D151="","",IF(COUNTIFS($B$3:$B$402,$B151,$D$3:$D$402,$D151)&gt;1,"Repetido",""))</f>
        <v/>
      </c>
    </row>
    <row r="152" customFormat="false" ht="18" hidden="false" customHeight="true" outlineLevel="0" collapsed="false">
      <c r="A152" s="40"/>
      <c r="B152" s="47" t="str">
        <f aca="false">IF($A152="","",IFERROR(INDEX(Equipamentos!$C$3:$C$52,MATCH($A152,Equipamentos!$A$3:$A$52,0)),""))</f>
        <v/>
      </c>
      <c r="C152" s="40"/>
      <c r="D152" s="40"/>
      <c r="E152" s="42"/>
      <c r="F152" s="45" t="str">
        <f aca="false">IF($D152="","",COUNTIF($B$3:$B152,$B152))</f>
        <v/>
      </c>
      <c r="G152" s="47" t="str">
        <f aca="false">IF($D152="","",CONCATENATE($B152,"|",$F152))</f>
        <v/>
      </c>
      <c r="H152" s="46" t="str">
        <f aca="false">IF($D152="","",IF(COUNTIFS($B$3:$B$402,$B152,$D$3:$D$402,$D152)&gt;1,"Repetido",""))</f>
        <v/>
      </c>
    </row>
    <row r="153" customFormat="false" ht="18" hidden="false" customHeight="true" outlineLevel="0" collapsed="false">
      <c r="A153" s="40"/>
      <c r="B153" s="47" t="str">
        <f aca="false">IF($A153="","",IFERROR(INDEX(Equipamentos!$C$3:$C$52,MATCH($A153,Equipamentos!$A$3:$A$52,0)),""))</f>
        <v/>
      </c>
      <c r="C153" s="40"/>
      <c r="D153" s="40"/>
      <c r="E153" s="42"/>
      <c r="F153" s="45" t="str">
        <f aca="false">IF($D153="","",COUNTIF($B$3:$B153,$B153))</f>
        <v/>
      </c>
      <c r="G153" s="47" t="str">
        <f aca="false">IF($D153="","",CONCATENATE($B153,"|",$F153))</f>
        <v/>
      </c>
      <c r="H153" s="46" t="str">
        <f aca="false">IF($D153="","",IF(COUNTIFS($B$3:$B$402,$B153,$D$3:$D$402,$D153)&gt;1,"Repetido",""))</f>
        <v/>
      </c>
    </row>
    <row r="154" customFormat="false" ht="18" hidden="false" customHeight="true" outlineLevel="0" collapsed="false">
      <c r="A154" s="40"/>
      <c r="B154" s="47" t="str">
        <f aca="false">IF($A154="","",IFERROR(INDEX(Equipamentos!$C$3:$C$52,MATCH($A154,Equipamentos!$A$3:$A$52,0)),""))</f>
        <v/>
      </c>
      <c r="C154" s="40"/>
      <c r="D154" s="40"/>
      <c r="E154" s="42"/>
      <c r="F154" s="45" t="str">
        <f aca="false">IF($D154="","",COUNTIF($B$3:$B154,$B154))</f>
        <v/>
      </c>
      <c r="G154" s="47" t="str">
        <f aca="false">IF($D154="","",CONCATENATE($B154,"|",$F154))</f>
        <v/>
      </c>
      <c r="H154" s="46" t="str">
        <f aca="false">IF($D154="","",IF(COUNTIFS($B$3:$B$402,$B154,$D$3:$D$402,$D154)&gt;1,"Repetido",""))</f>
        <v/>
      </c>
    </row>
    <row r="155" customFormat="false" ht="18" hidden="false" customHeight="true" outlineLevel="0" collapsed="false">
      <c r="A155" s="40"/>
      <c r="B155" s="47" t="str">
        <f aca="false">IF($A155="","",IFERROR(INDEX(Equipamentos!$C$3:$C$52,MATCH($A155,Equipamentos!$A$3:$A$52,0)),""))</f>
        <v/>
      </c>
      <c r="C155" s="40"/>
      <c r="D155" s="40"/>
      <c r="E155" s="42"/>
      <c r="F155" s="45" t="str">
        <f aca="false">IF($D155="","",COUNTIF($B$3:$B155,$B155))</f>
        <v/>
      </c>
      <c r="G155" s="47" t="str">
        <f aca="false">IF($D155="","",CONCATENATE($B155,"|",$F155))</f>
        <v/>
      </c>
      <c r="H155" s="46" t="str">
        <f aca="false">IF($D155="","",IF(COUNTIFS($B$3:$B$402,$B155,$D$3:$D$402,$D155)&gt;1,"Repetido",""))</f>
        <v/>
      </c>
    </row>
    <row r="156" customFormat="false" ht="18" hidden="false" customHeight="true" outlineLevel="0" collapsed="false">
      <c r="A156" s="40"/>
      <c r="B156" s="47" t="str">
        <f aca="false">IF($A156="","",IFERROR(INDEX(Equipamentos!$C$3:$C$52,MATCH($A156,Equipamentos!$A$3:$A$52,0)),""))</f>
        <v/>
      </c>
      <c r="C156" s="40"/>
      <c r="D156" s="40"/>
      <c r="E156" s="42"/>
      <c r="F156" s="45" t="str">
        <f aca="false">IF($D156="","",COUNTIF($B$3:$B156,$B156))</f>
        <v/>
      </c>
      <c r="G156" s="47" t="str">
        <f aca="false">IF($D156="","",CONCATENATE($B156,"|",$F156))</f>
        <v/>
      </c>
      <c r="H156" s="46" t="str">
        <f aca="false">IF($D156="","",IF(COUNTIFS($B$3:$B$402,$B156,$D$3:$D$402,$D156)&gt;1,"Repetido",""))</f>
        <v/>
      </c>
    </row>
    <row r="157" customFormat="false" ht="18" hidden="false" customHeight="true" outlineLevel="0" collapsed="false">
      <c r="A157" s="40"/>
      <c r="B157" s="47" t="str">
        <f aca="false">IF($A157="","",IFERROR(INDEX(Equipamentos!$C$3:$C$52,MATCH($A157,Equipamentos!$A$3:$A$52,0)),""))</f>
        <v/>
      </c>
      <c r="C157" s="40"/>
      <c r="D157" s="40"/>
      <c r="E157" s="42"/>
      <c r="F157" s="45" t="str">
        <f aca="false">IF($D157="","",COUNTIF($B$3:$B157,$B157))</f>
        <v/>
      </c>
      <c r="G157" s="47" t="str">
        <f aca="false">IF($D157="","",CONCATENATE($B157,"|",$F157))</f>
        <v/>
      </c>
      <c r="H157" s="46" t="str">
        <f aca="false">IF($D157="","",IF(COUNTIFS($B$3:$B$402,$B157,$D$3:$D$402,$D157)&gt;1,"Repetido",""))</f>
        <v/>
      </c>
    </row>
    <row r="158" customFormat="false" ht="18" hidden="false" customHeight="true" outlineLevel="0" collapsed="false">
      <c r="A158" s="40"/>
      <c r="B158" s="47" t="str">
        <f aca="false">IF($A158="","",IFERROR(INDEX(Equipamentos!$C$3:$C$52,MATCH($A158,Equipamentos!$A$3:$A$52,0)),""))</f>
        <v/>
      </c>
      <c r="C158" s="40"/>
      <c r="D158" s="40"/>
      <c r="E158" s="42"/>
      <c r="F158" s="45" t="str">
        <f aca="false">IF($D158="","",COUNTIF($B$3:$B158,$B158))</f>
        <v/>
      </c>
      <c r="G158" s="47" t="str">
        <f aca="false">IF($D158="","",CONCATENATE($B158,"|",$F158))</f>
        <v/>
      </c>
      <c r="H158" s="46" t="str">
        <f aca="false">IF($D158="","",IF(COUNTIFS($B$3:$B$402,$B158,$D$3:$D$402,$D158)&gt;1,"Repetido",""))</f>
        <v/>
      </c>
    </row>
    <row r="159" customFormat="false" ht="18" hidden="false" customHeight="true" outlineLevel="0" collapsed="false">
      <c r="A159" s="40"/>
      <c r="B159" s="47" t="str">
        <f aca="false">IF($A159="","",IFERROR(INDEX(Equipamentos!$C$3:$C$52,MATCH($A159,Equipamentos!$A$3:$A$52,0)),""))</f>
        <v/>
      </c>
      <c r="C159" s="40"/>
      <c r="D159" s="40"/>
      <c r="E159" s="42"/>
      <c r="F159" s="45" t="str">
        <f aca="false">IF($D159="","",COUNTIF($B$3:$B159,$B159))</f>
        <v/>
      </c>
      <c r="G159" s="47" t="str">
        <f aca="false">IF($D159="","",CONCATENATE($B159,"|",$F159))</f>
        <v/>
      </c>
      <c r="H159" s="46" t="str">
        <f aca="false">IF($D159="","",IF(COUNTIFS($B$3:$B$402,$B159,$D$3:$D$402,$D159)&gt;1,"Repetido",""))</f>
        <v/>
      </c>
    </row>
    <row r="160" customFormat="false" ht="18" hidden="false" customHeight="true" outlineLevel="0" collapsed="false">
      <c r="A160" s="40"/>
      <c r="B160" s="47" t="str">
        <f aca="false">IF($A160="","",IFERROR(INDEX(Equipamentos!$C$3:$C$52,MATCH($A160,Equipamentos!$A$3:$A$52,0)),""))</f>
        <v/>
      </c>
      <c r="C160" s="40"/>
      <c r="D160" s="40"/>
      <c r="E160" s="42"/>
      <c r="F160" s="45" t="str">
        <f aca="false">IF($D160="","",COUNTIF($B$3:$B160,$B160))</f>
        <v/>
      </c>
      <c r="G160" s="47" t="str">
        <f aca="false">IF($D160="","",CONCATENATE($B160,"|",$F160))</f>
        <v/>
      </c>
      <c r="H160" s="46" t="str">
        <f aca="false">IF($D160="","",IF(COUNTIFS($B$3:$B$402,$B160,$D$3:$D$402,$D160)&gt;1,"Repetido",""))</f>
        <v/>
      </c>
    </row>
    <row r="161" customFormat="false" ht="18" hidden="false" customHeight="true" outlineLevel="0" collapsed="false">
      <c r="A161" s="40"/>
      <c r="B161" s="47" t="str">
        <f aca="false">IF($A161="","",IFERROR(INDEX(Equipamentos!$C$3:$C$52,MATCH($A161,Equipamentos!$A$3:$A$52,0)),""))</f>
        <v/>
      </c>
      <c r="C161" s="40"/>
      <c r="D161" s="40"/>
      <c r="E161" s="42"/>
      <c r="F161" s="45" t="str">
        <f aca="false">IF($D161="","",COUNTIF($B$3:$B161,$B161))</f>
        <v/>
      </c>
      <c r="G161" s="47" t="str">
        <f aca="false">IF($D161="","",CONCATENATE($B161,"|",$F161))</f>
        <v/>
      </c>
      <c r="H161" s="46" t="str">
        <f aca="false">IF($D161="","",IF(COUNTIFS($B$3:$B$402,$B161,$D$3:$D$402,$D161)&gt;1,"Repetido",""))</f>
        <v/>
      </c>
    </row>
    <row r="162" customFormat="false" ht="18" hidden="false" customHeight="true" outlineLevel="0" collapsed="false">
      <c r="A162" s="40"/>
      <c r="B162" s="47" t="str">
        <f aca="false">IF($A162="","",IFERROR(INDEX(Equipamentos!$C$3:$C$52,MATCH($A162,Equipamentos!$A$3:$A$52,0)),""))</f>
        <v/>
      </c>
      <c r="C162" s="40"/>
      <c r="D162" s="40"/>
      <c r="E162" s="42"/>
      <c r="F162" s="45" t="str">
        <f aca="false">IF($D162="","",COUNTIF($B$3:$B162,$B162))</f>
        <v/>
      </c>
      <c r="G162" s="47" t="str">
        <f aca="false">IF($D162="","",CONCATENATE($B162,"|",$F162))</f>
        <v/>
      </c>
      <c r="H162" s="46" t="str">
        <f aca="false">IF($D162="","",IF(COUNTIFS($B$3:$B$402,$B162,$D$3:$D$402,$D162)&gt;1,"Repetido",""))</f>
        <v/>
      </c>
    </row>
    <row r="163" customFormat="false" ht="18" hidden="false" customHeight="true" outlineLevel="0" collapsed="false">
      <c r="A163" s="40"/>
      <c r="B163" s="47" t="str">
        <f aca="false">IF($A163="","",IFERROR(INDEX(Equipamentos!$C$3:$C$52,MATCH($A163,Equipamentos!$A$3:$A$52,0)),""))</f>
        <v/>
      </c>
      <c r="C163" s="40"/>
      <c r="D163" s="40"/>
      <c r="E163" s="42"/>
      <c r="F163" s="45" t="str">
        <f aca="false">IF($D163="","",COUNTIF($B$3:$B163,$B163))</f>
        <v/>
      </c>
      <c r="G163" s="47" t="str">
        <f aca="false">IF($D163="","",CONCATENATE($B163,"|",$F163))</f>
        <v/>
      </c>
      <c r="H163" s="46" t="str">
        <f aca="false">IF($D163="","",IF(COUNTIFS($B$3:$B$402,$B163,$D$3:$D$402,$D163)&gt;1,"Repetido",""))</f>
        <v/>
      </c>
    </row>
    <row r="164" customFormat="false" ht="18" hidden="false" customHeight="true" outlineLevel="0" collapsed="false">
      <c r="A164" s="40"/>
      <c r="B164" s="47" t="str">
        <f aca="false">IF($A164="","",IFERROR(INDEX(Equipamentos!$C$3:$C$52,MATCH($A164,Equipamentos!$A$3:$A$52,0)),""))</f>
        <v/>
      </c>
      <c r="C164" s="40"/>
      <c r="D164" s="40"/>
      <c r="E164" s="42"/>
      <c r="F164" s="45" t="str">
        <f aca="false">IF($D164="","",COUNTIF($B$3:$B164,$B164))</f>
        <v/>
      </c>
      <c r="G164" s="47" t="str">
        <f aca="false">IF($D164="","",CONCATENATE($B164,"|",$F164))</f>
        <v/>
      </c>
      <c r="H164" s="46" t="str">
        <f aca="false">IF($D164="","",IF(COUNTIFS($B$3:$B$402,$B164,$D$3:$D$402,$D164)&gt;1,"Repetido",""))</f>
        <v/>
      </c>
    </row>
    <row r="165" customFormat="false" ht="18" hidden="false" customHeight="true" outlineLevel="0" collapsed="false">
      <c r="A165" s="40"/>
      <c r="B165" s="47" t="str">
        <f aca="false">IF($A165="","",IFERROR(INDEX(Equipamentos!$C$3:$C$52,MATCH($A165,Equipamentos!$A$3:$A$52,0)),""))</f>
        <v/>
      </c>
      <c r="C165" s="40"/>
      <c r="D165" s="40"/>
      <c r="E165" s="42"/>
      <c r="F165" s="45" t="str">
        <f aca="false">IF($D165="","",COUNTIF($B$3:$B165,$B165))</f>
        <v/>
      </c>
      <c r="G165" s="47" t="str">
        <f aca="false">IF($D165="","",CONCATENATE($B165,"|",$F165))</f>
        <v/>
      </c>
      <c r="H165" s="46" t="str">
        <f aca="false">IF($D165="","",IF(COUNTIFS($B$3:$B$402,$B165,$D$3:$D$402,$D165)&gt;1,"Repetido",""))</f>
        <v/>
      </c>
    </row>
    <row r="166" customFormat="false" ht="18" hidden="false" customHeight="true" outlineLevel="0" collapsed="false">
      <c r="A166" s="40"/>
      <c r="B166" s="47" t="str">
        <f aca="false">IF($A166="","",IFERROR(INDEX(Equipamentos!$C$3:$C$52,MATCH($A166,Equipamentos!$A$3:$A$52,0)),""))</f>
        <v/>
      </c>
      <c r="C166" s="40"/>
      <c r="D166" s="40"/>
      <c r="E166" s="42"/>
      <c r="F166" s="45" t="str">
        <f aca="false">IF($D166="","",COUNTIF($B$3:$B166,$B166))</f>
        <v/>
      </c>
      <c r="G166" s="47" t="str">
        <f aca="false">IF($D166="","",CONCATENATE($B166,"|",$F166))</f>
        <v/>
      </c>
      <c r="H166" s="46" t="str">
        <f aca="false">IF($D166="","",IF(COUNTIFS($B$3:$B$402,$B166,$D$3:$D$402,$D166)&gt;1,"Repetido",""))</f>
        <v/>
      </c>
    </row>
    <row r="167" customFormat="false" ht="18" hidden="false" customHeight="true" outlineLevel="0" collapsed="false">
      <c r="A167" s="40"/>
      <c r="B167" s="47" t="str">
        <f aca="false">IF($A167="","",IFERROR(INDEX(Equipamentos!$C$3:$C$52,MATCH($A167,Equipamentos!$A$3:$A$52,0)),""))</f>
        <v/>
      </c>
      <c r="C167" s="40"/>
      <c r="D167" s="40"/>
      <c r="E167" s="42"/>
      <c r="F167" s="45" t="str">
        <f aca="false">IF($D167="","",COUNTIF($B$3:$B167,$B167))</f>
        <v/>
      </c>
      <c r="G167" s="47" t="str">
        <f aca="false">IF($D167="","",CONCATENATE($B167,"|",$F167))</f>
        <v/>
      </c>
      <c r="H167" s="46" t="str">
        <f aca="false">IF($D167="","",IF(COUNTIFS($B$3:$B$402,$B167,$D$3:$D$402,$D167)&gt;1,"Repetido",""))</f>
        <v/>
      </c>
    </row>
    <row r="168" customFormat="false" ht="18" hidden="false" customHeight="true" outlineLevel="0" collapsed="false">
      <c r="A168" s="40"/>
      <c r="B168" s="47" t="str">
        <f aca="false">IF($A168="","",IFERROR(INDEX(Equipamentos!$C$3:$C$52,MATCH($A168,Equipamentos!$A$3:$A$52,0)),""))</f>
        <v/>
      </c>
      <c r="C168" s="40"/>
      <c r="D168" s="40"/>
      <c r="E168" s="42"/>
      <c r="F168" s="45" t="str">
        <f aca="false">IF($D168="","",COUNTIF($B$3:$B168,$B168))</f>
        <v/>
      </c>
      <c r="G168" s="47" t="str">
        <f aca="false">IF($D168="","",CONCATENATE($B168,"|",$F168))</f>
        <v/>
      </c>
      <c r="H168" s="46" t="str">
        <f aca="false">IF($D168="","",IF(COUNTIFS($B$3:$B$402,$B168,$D$3:$D$402,$D168)&gt;1,"Repetido",""))</f>
        <v/>
      </c>
    </row>
    <row r="169" customFormat="false" ht="18" hidden="false" customHeight="true" outlineLevel="0" collapsed="false">
      <c r="A169" s="40"/>
      <c r="B169" s="47" t="str">
        <f aca="false">IF($A169="","",IFERROR(INDEX(Equipamentos!$C$3:$C$52,MATCH($A169,Equipamentos!$A$3:$A$52,0)),""))</f>
        <v/>
      </c>
      <c r="C169" s="40"/>
      <c r="D169" s="40"/>
      <c r="E169" s="42"/>
      <c r="F169" s="45" t="str">
        <f aca="false">IF($D169="","",COUNTIF($B$3:$B169,$B169))</f>
        <v/>
      </c>
      <c r="G169" s="47" t="str">
        <f aca="false">IF($D169="","",CONCATENATE($B169,"|",$F169))</f>
        <v/>
      </c>
      <c r="H169" s="46" t="str">
        <f aca="false">IF($D169="","",IF(COUNTIFS($B$3:$B$402,$B169,$D$3:$D$402,$D169)&gt;1,"Repetido",""))</f>
        <v/>
      </c>
    </row>
    <row r="170" customFormat="false" ht="18" hidden="false" customHeight="true" outlineLevel="0" collapsed="false">
      <c r="A170" s="40"/>
      <c r="B170" s="47" t="str">
        <f aca="false">IF($A170="","",IFERROR(INDEX(Equipamentos!$C$3:$C$52,MATCH($A170,Equipamentos!$A$3:$A$52,0)),""))</f>
        <v/>
      </c>
      <c r="C170" s="40"/>
      <c r="D170" s="40"/>
      <c r="E170" s="42"/>
      <c r="F170" s="45" t="str">
        <f aca="false">IF($D170="","",COUNTIF($B$3:$B170,$B170))</f>
        <v/>
      </c>
      <c r="G170" s="47" t="str">
        <f aca="false">IF($D170="","",CONCATENATE($B170,"|",$F170))</f>
        <v/>
      </c>
      <c r="H170" s="46" t="str">
        <f aca="false">IF($D170="","",IF(COUNTIFS($B$3:$B$402,$B170,$D$3:$D$402,$D170)&gt;1,"Repetido",""))</f>
        <v/>
      </c>
    </row>
    <row r="171" customFormat="false" ht="18" hidden="false" customHeight="true" outlineLevel="0" collapsed="false">
      <c r="A171" s="40"/>
      <c r="B171" s="47" t="str">
        <f aca="false">IF($A171="","",IFERROR(INDEX(Equipamentos!$C$3:$C$52,MATCH($A171,Equipamentos!$A$3:$A$52,0)),""))</f>
        <v/>
      </c>
      <c r="C171" s="40"/>
      <c r="D171" s="40"/>
      <c r="E171" s="42"/>
      <c r="F171" s="45" t="str">
        <f aca="false">IF($D171="","",COUNTIF($B$3:$B171,$B171))</f>
        <v/>
      </c>
      <c r="G171" s="47" t="str">
        <f aca="false">IF($D171="","",CONCATENATE($B171,"|",$F171))</f>
        <v/>
      </c>
      <c r="H171" s="46" t="str">
        <f aca="false">IF($D171="","",IF(COUNTIFS($B$3:$B$402,$B171,$D$3:$D$402,$D171)&gt;1,"Repetido",""))</f>
        <v/>
      </c>
    </row>
    <row r="172" customFormat="false" ht="18" hidden="false" customHeight="true" outlineLevel="0" collapsed="false">
      <c r="A172" s="40"/>
      <c r="B172" s="47" t="str">
        <f aca="false">IF($A172="","",IFERROR(INDEX(Equipamentos!$C$3:$C$52,MATCH($A172,Equipamentos!$A$3:$A$52,0)),""))</f>
        <v/>
      </c>
      <c r="C172" s="40"/>
      <c r="D172" s="40"/>
      <c r="E172" s="42"/>
      <c r="F172" s="45" t="str">
        <f aca="false">IF($D172="","",COUNTIF($B$3:$B172,$B172))</f>
        <v/>
      </c>
      <c r="G172" s="47" t="str">
        <f aca="false">IF($D172="","",CONCATENATE($B172,"|",$F172))</f>
        <v/>
      </c>
      <c r="H172" s="46" t="str">
        <f aca="false">IF($D172="","",IF(COUNTIFS($B$3:$B$402,$B172,$D$3:$D$402,$D172)&gt;1,"Repetido",""))</f>
        <v/>
      </c>
    </row>
    <row r="173" customFormat="false" ht="18" hidden="false" customHeight="true" outlineLevel="0" collapsed="false">
      <c r="A173" s="40"/>
      <c r="B173" s="47" t="str">
        <f aca="false">IF($A173="","",IFERROR(INDEX(Equipamentos!$C$3:$C$52,MATCH($A173,Equipamentos!$A$3:$A$52,0)),""))</f>
        <v/>
      </c>
      <c r="C173" s="40"/>
      <c r="D173" s="40"/>
      <c r="E173" s="42"/>
      <c r="F173" s="45" t="str">
        <f aca="false">IF($D173="","",COUNTIF($B$3:$B173,$B173))</f>
        <v/>
      </c>
      <c r="G173" s="47" t="str">
        <f aca="false">IF($D173="","",CONCATENATE($B173,"|",$F173))</f>
        <v/>
      </c>
      <c r="H173" s="46" t="str">
        <f aca="false">IF($D173="","",IF(COUNTIFS($B$3:$B$402,$B173,$D$3:$D$402,$D173)&gt;1,"Repetido",""))</f>
        <v/>
      </c>
    </row>
    <row r="174" customFormat="false" ht="18" hidden="false" customHeight="true" outlineLevel="0" collapsed="false">
      <c r="A174" s="40"/>
      <c r="B174" s="47" t="str">
        <f aca="false">IF($A174="","",IFERROR(INDEX(Equipamentos!$C$3:$C$52,MATCH($A174,Equipamentos!$A$3:$A$52,0)),""))</f>
        <v/>
      </c>
      <c r="C174" s="40"/>
      <c r="D174" s="40"/>
      <c r="E174" s="42"/>
      <c r="F174" s="45" t="str">
        <f aca="false">IF($D174="","",COUNTIF($B$3:$B174,$B174))</f>
        <v/>
      </c>
      <c r="G174" s="47" t="str">
        <f aca="false">IF($D174="","",CONCATENATE($B174,"|",$F174))</f>
        <v/>
      </c>
      <c r="H174" s="46" t="str">
        <f aca="false">IF($D174="","",IF(COUNTIFS($B$3:$B$402,$B174,$D$3:$D$402,$D174)&gt;1,"Repetido",""))</f>
        <v/>
      </c>
    </row>
    <row r="175" customFormat="false" ht="18" hidden="false" customHeight="true" outlineLevel="0" collapsed="false">
      <c r="A175" s="40"/>
      <c r="B175" s="47" t="str">
        <f aca="false">IF($A175="","",IFERROR(INDEX(Equipamentos!$C$3:$C$52,MATCH($A175,Equipamentos!$A$3:$A$52,0)),""))</f>
        <v/>
      </c>
      <c r="C175" s="40"/>
      <c r="D175" s="40"/>
      <c r="E175" s="42"/>
      <c r="F175" s="45" t="str">
        <f aca="false">IF($D175="","",COUNTIF($B$3:$B175,$B175))</f>
        <v/>
      </c>
      <c r="G175" s="47" t="str">
        <f aca="false">IF($D175="","",CONCATENATE($B175,"|",$F175))</f>
        <v/>
      </c>
      <c r="H175" s="46" t="str">
        <f aca="false">IF($D175="","",IF(COUNTIFS($B$3:$B$402,$B175,$D$3:$D$402,$D175)&gt;1,"Repetido",""))</f>
        <v/>
      </c>
    </row>
    <row r="176" customFormat="false" ht="18" hidden="false" customHeight="true" outlineLevel="0" collapsed="false">
      <c r="A176" s="40"/>
      <c r="B176" s="47" t="str">
        <f aca="false">IF($A176="","",IFERROR(INDEX(Equipamentos!$C$3:$C$52,MATCH($A176,Equipamentos!$A$3:$A$52,0)),""))</f>
        <v/>
      </c>
      <c r="C176" s="40"/>
      <c r="D176" s="40"/>
      <c r="E176" s="42"/>
      <c r="F176" s="45" t="str">
        <f aca="false">IF($D176="","",COUNTIF($B$3:$B176,$B176))</f>
        <v/>
      </c>
      <c r="G176" s="47" t="str">
        <f aca="false">IF($D176="","",CONCATENATE($B176,"|",$F176))</f>
        <v/>
      </c>
      <c r="H176" s="46" t="str">
        <f aca="false">IF($D176="","",IF(COUNTIFS($B$3:$B$402,$B176,$D$3:$D$402,$D176)&gt;1,"Repetido",""))</f>
        <v/>
      </c>
    </row>
    <row r="177" customFormat="false" ht="18" hidden="false" customHeight="true" outlineLevel="0" collapsed="false">
      <c r="A177" s="40"/>
      <c r="B177" s="47" t="str">
        <f aca="false">IF($A177="","",IFERROR(INDEX(Equipamentos!$C$3:$C$52,MATCH($A177,Equipamentos!$A$3:$A$52,0)),""))</f>
        <v/>
      </c>
      <c r="C177" s="40"/>
      <c r="D177" s="40"/>
      <c r="E177" s="42"/>
      <c r="F177" s="45" t="str">
        <f aca="false">IF($D177="","",COUNTIF($B$3:$B177,$B177))</f>
        <v/>
      </c>
      <c r="G177" s="47" t="str">
        <f aca="false">IF($D177="","",CONCATENATE($B177,"|",$F177))</f>
        <v/>
      </c>
      <c r="H177" s="46" t="str">
        <f aca="false">IF($D177="","",IF(COUNTIFS($B$3:$B$402,$B177,$D$3:$D$402,$D177)&gt;1,"Repetido",""))</f>
        <v/>
      </c>
    </row>
    <row r="178" customFormat="false" ht="18" hidden="false" customHeight="true" outlineLevel="0" collapsed="false">
      <c r="A178" s="40"/>
      <c r="B178" s="47" t="str">
        <f aca="false">IF($A178="","",IFERROR(INDEX(Equipamentos!$C$3:$C$52,MATCH($A178,Equipamentos!$A$3:$A$52,0)),""))</f>
        <v/>
      </c>
      <c r="C178" s="40"/>
      <c r="D178" s="40"/>
      <c r="E178" s="42"/>
      <c r="F178" s="45" t="str">
        <f aca="false">IF($D178="","",COUNTIF($B$3:$B178,$B178))</f>
        <v/>
      </c>
      <c r="G178" s="47" t="str">
        <f aca="false">IF($D178="","",CONCATENATE($B178,"|",$F178))</f>
        <v/>
      </c>
      <c r="H178" s="46" t="str">
        <f aca="false">IF($D178="","",IF(COUNTIFS($B$3:$B$402,$B178,$D$3:$D$402,$D178)&gt;1,"Repetido",""))</f>
        <v/>
      </c>
    </row>
    <row r="179" customFormat="false" ht="18" hidden="false" customHeight="true" outlineLevel="0" collapsed="false">
      <c r="A179" s="40"/>
      <c r="B179" s="47" t="str">
        <f aca="false">IF($A179="","",IFERROR(INDEX(Equipamentos!$C$3:$C$52,MATCH($A179,Equipamentos!$A$3:$A$52,0)),""))</f>
        <v/>
      </c>
      <c r="C179" s="40"/>
      <c r="D179" s="40"/>
      <c r="E179" s="42"/>
      <c r="F179" s="45" t="str">
        <f aca="false">IF($D179="","",COUNTIF($B$3:$B179,$B179))</f>
        <v/>
      </c>
      <c r="G179" s="47" t="str">
        <f aca="false">IF($D179="","",CONCATENATE($B179,"|",$F179))</f>
        <v/>
      </c>
      <c r="H179" s="46" t="str">
        <f aca="false">IF($D179="","",IF(COUNTIFS($B$3:$B$402,$B179,$D$3:$D$402,$D179)&gt;1,"Repetido",""))</f>
        <v/>
      </c>
    </row>
    <row r="180" customFormat="false" ht="18" hidden="false" customHeight="true" outlineLevel="0" collapsed="false">
      <c r="A180" s="40"/>
      <c r="B180" s="47" t="str">
        <f aca="false">IF($A180="","",IFERROR(INDEX(Equipamentos!$C$3:$C$52,MATCH($A180,Equipamentos!$A$3:$A$52,0)),""))</f>
        <v/>
      </c>
      <c r="C180" s="40"/>
      <c r="D180" s="40"/>
      <c r="E180" s="42"/>
      <c r="F180" s="45" t="str">
        <f aca="false">IF($D180="","",COUNTIF($B$3:$B180,$B180))</f>
        <v/>
      </c>
      <c r="G180" s="47" t="str">
        <f aca="false">IF($D180="","",CONCATENATE($B180,"|",$F180))</f>
        <v/>
      </c>
      <c r="H180" s="46" t="str">
        <f aca="false">IF($D180="","",IF(COUNTIFS($B$3:$B$402,$B180,$D$3:$D$402,$D180)&gt;1,"Repetido",""))</f>
        <v/>
      </c>
    </row>
    <row r="181" customFormat="false" ht="18" hidden="false" customHeight="true" outlineLevel="0" collapsed="false">
      <c r="A181" s="40"/>
      <c r="B181" s="47" t="str">
        <f aca="false">IF($A181="","",IFERROR(INDEX(Equipamentos!$C$3:$C$52,MATCH($A181,Equipamentos!$A$3:$A$52,0)),""))</f>
        <v/>
      </c>
      <c r="C181" s="40"/>
      <c r="D181" s="40"/>
      <c r="E181" s="42"/>
      <c r="F181" s="45" t="str">
        <f aca="false">IF($D181="","",COUNTIF($B$3:$B181,$B181))</f>
        <v/>
      </c>
      <c r="G181" s="47" t="str">
        <f aca="false">IF($D181="","",CONCATENATE($B181,"|",$F181))</f>
        <v/>
      </c>
      <c r="H181" s="46" t="str">
        <f aca="false">IF($D181="","",IF(COUNTIFS($B$3:$B$402,$B181,$D$3:$D$402,$D181)&gt;1,"Repetido",""))</f>
        <v/>
      </c>
    </row>
    <row r="182" customFormat="false" ht="18" hidden="false" customHeight="true" outlineLevel="0" collapsed="false">
      <c r="A182" s="40"/>
      <c r="B182" s="47" t="str">
        <f aca="false">IF($A182="","",IFERROR(INDEX(Equipamentos!$C$3:$C$52,MATCH($A182,Equipamentos!$A$3:$A$52,0)),""))</f>
        <v/>
      </c>
      <c r="C182" s="40"/>
      <c r="D182" s="40"/>
      <c r="E182" s="42"/>
      <c r="F182" s="45" t="str">
        <f aca="false">IF($D182="","",COUNTIF($B$3:$B182,$B182))</f>
        <v/>
      </c>
      <c r="G182" s="47" t="str">
        <f aca="false">IF($D182="","",CONCATENATE($B182,"|",$F182))</f>
        <v/>
      </c>
      <c r="H182" s="46" t="str">
        <f aca="false">IF($D182="","",IF(COUNTIFS($B$3:$B$402,$B182,$D$3:$D$402,$D182)&gt;1,"Repetido",""))</f>
        <v/>
      </c>
    </row>
    <row r="183" customFormat="false" ht="18" hidden="false" customHeight="true" outlineLevel="0" collapsed="false">
      <c r="A183" s="40"/>
      <c r="B183" s="47" t="str">
        <f aca="false">IF($A183="","",IFERROR(INDEX(Equipamentos!$C$3:$C$52,MATCH($A183,Equipamentos!$A$3:$A$52,0)),""))</f>
        <v/>
      </c>
      <c r="C183" s="40"/>
      <c r="D183" s="40"/>
      <c r="E183" s="42"/>
      <c r="F183" s="45" t="str">
        <f aca="false">IF($D183="","",COUNTIF($B$3:$B183,$B183))</f>
        <v/>
      </c>
      <c r="G183" s="47" t="str">
        <f aca="false">IF($D183="","",CONCATENATE($B183,"|",$F183))</f>
        <v/>
      </c>
      <c r="H183" s="46" t="str">
        <f aca="false">IF($D183="","",IF(COUNTIFS($B$3:$B$402,$B183,$D$3:$D$402,$D183)&gt;1,"Repetido",""))</f>
        <v/>
      </c>
    </row>
    <row r="184" customFormat="false" ht="18" hidden="false" customHeight="true" outlineLevel="0" collapsed="false">
      <c r="A184" s="40"/>
      <c r="B184" s="47" t="str">
        <f aca="false">IF($A184="","",IFERROR(INDEX(Equipamentos!$C$3:$C$52,MATCH($A184,Equipamentos!$A$3:$A$52,0)),""))</f>
        <v/>
      </c>
      <c r="C184" s="40"/>
      <c r="D184" s="40"/>
      <c r="E184" s="42"/>
      <c r="F184" s="45" t="str">
        <f aca="false">IF($D184="","",COUNTIF($B$3:$B184,$B184))</f>
        <v/>
      </c>
      <c r="G184" s="47" t="str">
        <f aca="false">IF($D184="","",CONCATENATE($B184,"|",$F184))</f>
        <v/>
      </c>
      <c r="H184" s="46" t="str">
        <f aca="false">IF($D184="","",IF(COUNTIFS($B$3:$B$402,$B184,$D$3:$D$402,$D184)&gt;1,"Repetido",""))</f>
        <v/>
      </c>
    </row>
    <row r="185" customFormat="false" ht="18" hidden="false" customHeight="true" outlineLevel="0" collapsed="false">
      <c r="A185" s="40"/>
      <c r="B185" s="47" t="str">
        <f aca="false">IF($A185="","",IFERROR(INDEX(Equipamentos!$C$3:$C$52,MATCH($A185,Equipamentos!$A$3:$A$52,0)),""))</f>
        <v/>
      </c>
      <c r="C185" s="40"/>
      <c r="D185" s="40"/>
      <c r="E185" s="42"/>
      <c r="F185" s="45" t="str">
        <f aca="false">IF($D185="","",COUNTIF($B$3:$B185,$B185))</f>
        <v/>
      </c>
      <c r="G185" s="47" t="str">
        <f aca="false">IF($D185="","",CONCATENATE($B185,"|",$F185))</f>
        <v/>
      </c>
      <c r="H185" s="46" t="str">
        <f aca="false">IF($D185="","",IF(COUNTIFS($B$3:$B$402,$B185,$D$3:$D$402,$D185)&gt;1,"Repetido",""))</f>
        <v/>
      </c>
    </row>
    <row r="186" customFormat="false" ht="18" hidden="false" customHeight="true" outlineLevel="0" collapsed="false">
      <c r="A186" s="40"/>
      <c r="B186" s="47" t="str">
        <f aca="false">IF($A186="","",IFERROR(INDEX(Equipamentos!$C$3:$C$52,MATCH($A186,Equipamentos!$A$3:$A$52,0)),""))</f>
        <v/>
      </c>
      <c r="C186" s="40"/>
      <c r="D186" s="40"/>
      <c r="E186" s="42"/>
      <c r="F186" s="45" t="str">
        <f aca="false">IF($D186="","",COUNTIF($B$3:$B186,$B186))</f>
        <v/>
      </c>
      <c r="G186" s="47" t="str">
        <f aca="false">IF($D186="","",CONCATENATE($B186,"|",$F186))</f>
        <v/>
      </c>
      <c r="H186" s="46" t="str">
        <f aca="false">IF($D186="","",IF(COUNTIFS($B$3:$B$402,$B186,$D$3:$D$402,$D186)&gt;1,"Repetido",""))</f>
        <v/>
      </c>
    </row>
    <row r="187" customFormat="false" ht="18" hidden="false" customHeight="true" outlineLevel="0" collapsed="false">
      <c r="A187" s="40"/>
      <c r="B187" s="47" t="str">
        <f aca="false">IF($A187="","",IFERROR(INDEX(Equipamentos!$C$3:$C$52,MATCH($A187,Equipamentos!$A$3:$A$52,0)),""))</f>
        <v/>
      </c>
      <c r="C187" s="40"/>
      <c r="D187" s="40"/>
      <c r="E187" s="42"/>
      <c r="F187" s="45" t="str">
        <f aca="false">IF($D187="","",COUNTIF($B$3:$B187,$B187))</f>
        <v/>
      </c>
      <c r="G187" s="47" t="str">
        <f aca="false">IF($D187="","",CONCATENATE($B187,"|",$F187))</f>
        <v/>
      </c>
      <c r="H187" s="46" t="str">
        <f aca="false">IF($D187="","",IF(COUNTIFS($B$3:$B$402,$B187,$D$3:$D$402,$D187)&gt;1,"Repetido",""))</f>
        <v/>
      </c>
    </row>
    <row r="188" customFormat="false" ht="18" hidden="false" customHeight="true" outlineLevel="0" collapsed="false">
      <c r="A188" s="40"/>
      <c r="B188" s="47" t="str">
        <f aca="false">IF($A188="","",IFERROR(INDEX(Equipamentos!$C$3:$C$52,MATCH($A188,Equipamentos!$A$3:$A$52,0)),""))</f>
        <v/>
      </c>
      <c r="C188" s="40"/>
      <c r="D188" s="40"/>
      <c r="E188" s="42"/>
      <c r="F188" s="45" t="str">
        <f aca="false">IF($D188="","",COUNTIF($B$3:$B188,$B188))</f>
        <v/>
      </c>
      <c r="G188" s="47" t="str">
        <f aca="false">IF($D188="","",CONCATENATE($B188,"|",$F188))</f>
        <v/>
      </c>
      <c r="H188" s="46" t="str">
        <f aca="false">IF($D188="","",IF(COUNTIFS($B$3:$B$402,$B188,$D$3:$D$402,$D188)&gt;1,"Repetido",""))</f>
        <v/>
      </c>
    </row>
    <row r="189" customFormat="false" ht="18" hidden="false" customHeight="true" outlineLevel="0" collapsed="false">
      <c r="A189" s="40"/>
      <c r="B189" s="47" t="str">
        <f aca="false">IF($A189="","",IFERROR(INDEX(Equipamentos!$C$3:$C$52,MATCH($A189,Equipamentos!$A$3:$A$52,0)),""))</f>
        <v/>
      </c>
      <c r="C189" s="40"/>
      <c r="D189" s="40"/>
      <c r="E189" s="42"/>
      <c r="F189" s="45" t="str">
        <f aca="false">IF($D189="","",COUNTIF($B$3:$B189,$B189))</f>
        <v/>
      </c>
      <c r="G189" s="47" t="str">
        <f aca="false">IF($D189="","",CONCATENATE($B189,"|",$F189))</f>
        <v/>
      </c>
      <c r="H189" s="46" t="str">
        <f aca="false">IF($D189="","",IF(COUNTIFS($B$3:$B$402,$B189,$D$3:$D$402,$D189)&gt;1,"Repetido",""))</f>
        <v/>
      </c>
    </row>
    <row r="190" customFormat="false" ht="18" hidden="false" customHeight="true" outlineLevel="0" collapsed="false">
      <c r="A190" s="40"/>
      <c r="B190" s="47" t="str">
        <f aca="false">IF($A190="","",IFERROR(INDEX(Equipamentos!$C$3:$C$52,MATCH($A190,Equipamentos!$A$3:$A$52,0)),""))</f>
        <v/>
      </c>
      <c r="C190" s="40"/>
      <c r="D190" s="40"/>
      <c r="E190" s="42"/>
      <c r="F190" s="45" t="str">
        <f aca="false">IF($D190="","",COUNTIF($B$3:$B190,$B190))</f>
        <v/>
      </c>
      <c r="G190" s="47" t="str">
        <f aca="false">IF($D190="","",CONCATENATE($B190,"|",$F190))</f>
        <v/>
      </c>
      <c r="H190" s="46" t="str">
        <f aca="false">IF($D190="","",IF(COUNTIFS($B$3:$B$402,$B190,$D$3:$D$402,$D190)&gt;1,"Repetido",""))</f>
        <v/>
      </c>
    </row>
    <row r="191" customFormat="false" ht="18" hidden="false" customHeight="true" outlineLevel="0" collapsed="false">
      <c r="A191" s="40"/>
      <c r="B191" s="47" t="str">
        <f aca="false">IF($A191="","",IFERROR(INDEX(Equipamentos!$C$3:$C$52,MATCH($A191,Equipamentos!$A$3:$A$52,0)),""))</f>
        <v/>
      </c>
      <c r="C191" s="40"/>
      <c r="D191" s="40"/>
      <c r="E191" s="42"/>
      <c r="F191" s="45" t="str">
        <f aca="false">IF($D191="","",COUNTIF($B$3:$B191,$B191))</f>
        <v/>
      </c>
      <c r="G191" s="47" t="str">
        <f aca="false">IF($D191="","",CONCATENATE($B191,"|",$F191))</f>
        <v/>
      </c>
      <c r="H191" s="46" t="str">
        <f aca="false">IF($D191="","",IF(COUNTIFS($B$3:$B$402,$B191,$D$3:$D$402,$D191)&gt;1,"Repetido",""))</f>
        <v/>
      </c>
    </row>
    <row r="192" customFormat="false" ht="18" hidden="false" customHeight="true" outlineLevel="0" collapsed="false">
      <c r="A192" s="40"/>
      <c r="B192" s="47" t="str">
        <f aca="false">IF($A192="","",IFERROR(INDEX(Equipamentos!$C$3:$C$52,MATCH($A192,Equipamentos!$A$3:$A$52,0)),""))</f>
        <v/>
      </c>
      <c r="C192" s="40"/>
      <c r="D192" s="40"/>
      <c r="E192" s="42"/>
      <c r="F192" s="45" t="str">
        <f aca="false">IF($D192="","",COUNTIF($B$3:$B192,$B192))</f>
        <v/>
      </c>
      <c r="G192" s="47" t="str">
        <f aca="false">IF($D192="","",CONCATENATE($B192,"|",$F192))</f>
        <v/>
      </c>
      <c r="H192" s="46" t="str">
        <f aca="false">IF($D192="","",IF(COUNTIFS($B$3:$B$402,$B192,$D$3:$D$402,$D192)&gt;1,"Repetido",""))</f>
        <v/>
      </c>
    </row>
    <row r="193" customFormat="false" ht="18" hidden="false" customHeight="true" outlineLevel="0" collapsed="false">
      <c r="A193" s="40"/>
      <c r="B193" s="47" t="str">
        <f aca="false">IF($A193="","",IFERROR(INDEX(Equipamentos!$C$3:$C$52,MATCH($A193,Equipamentos!$A$3:$A$52,0)),""))</f>
        <v/>
      </c>
      <c r="C193" s="40"/>
      <c r="D193" s="40"/>
      <c r="E193" s="42"/>
      <c r="F193" s="45" t="str">
        <f aca="false">IF($D193="","",COUNTIF($B$3:$B193,$B193))</f>
        <v/>
      </c>
      <c r="G193" s="47" t="str">
        <f aca="false">IF($D193="","",CONCATENATE($B193,"|",$F193))</f>
        <v/>
      </c>
      <c r="H193" s="46" t="str">
        <f aca="false">IF($D193="","",IF(COUNTIFS($B$3:$B$402,$B193,$D$3:$D$402,$D193)&gt;1,"Repetido",""))</f>
        <v/>
      </c>
    </row>
    <row r="194" customFormat="false" ht="18" hidden="false" customHeight="true" outlineLevel="0" collapsed="false">
      <c r="A194" s="40"/>
      <c r="B194" s="47" t="str">
        <f aca="false">IF($A194="","",IFERROR(INDEX(Equipamentos!$C$3:$C$52,MATCH($A194,Equipamentos!$A$3:$A$52,0)),""))</f>
        <v/>
      </c>
      <c r="C194" s="40"/>
      <c r="D194" s="40"/>
      <c r="E194" s="42"/>
      <c r="F194" s="45" t="str">
        <f aca="false">IF($D194="","",COUNTIF($B$3:$B194,$B194))</f>
        <v/>
      </c>
      <c r="G194" s="47" t="str">
        <f aca="false">IF($D194="","",CONCATENATE($B194,"|",$F194))</f>
        <v/>
      </c>
      <c r="H194" s="46" t="str">
        <f aca="false">IF($D194="","",IF(COUNTIFS($B$3:$B$402,$B194,$D$3:$D$402,$D194)&gt;1,"Repetido",""))</f>
        <v/>
      </c>
    </row>
    <row r="195" customFormat="false" ht="18" hidden="false" customHeight="true" outlineLevel="0" collapsed="false">
      <c r="A195" s="40"/>
      <c r="B195" s="47" t="str">
        <f aca="false">IF($A195="","",IFERROR(INDEX(Equipamentos!$C$3:$C$52,MATCH($A195,Equipamentos!$A$3:$A$52,0)),""))</f>
        <v/>
      </c>
      <c r="C195" s="40"/>
      <c r="D195" s="40"/>
      <c r="E195" s="42"/>
      <c r="F195" s="45" t="str">
        <f aca="false">IF($D195="","",COUNTIF($B$3:$B195,$B195))</f>
        <v/>
      </c>
      <c r="G195" s="47" t="str">
        <f aca="false">IF($D195="","",CONCATENATE($B195,"|",$F195))</f>
        <v/>
      </c>
      <c r="H195" s="46" t="str">
        <f aca="false">IF($D195="","",IF(COUNTIFS($B$3:$B$402,$B195,$D$3:$D$402,$D195)&gt;1,"Repetido",""))</f>
        <v/>
      </c>
    </row>
    <row r="196" customFormat="false" ht="18" hidden="false" customHeight="true" outlineLevel="0" collapsed="false">
      <c r="A196" s="40"/>
      <c r="B196" s="47" t="str">
        <f aca="false">IF($A196="","",IFERROR(INDEX(Equipamentos!$C$3:$C$52,MATCH($A196,Equipamentos!$A$3:$A$52,0)),""))</f>
        <v/>
      </c>
      <c r="C196" s="40"/>
      <c r="D196" s="40"/>
      <c r="E196" s="42"/>
      <c r="F196" s="45" t="str">
        <f aca="false">IF($D196="","",COUNTIF($B$3:$B196,$B196))</f>
        <v/>
      </c>
      <c r="G196" s="47" t="str">
        <f aca="false">IF($D196="","",CONCATENATE($B196,"|",$F196))</f>
        <v/>
      </c>
      <c r="H196" s="46" t="str">
        <f aca="false">IF($D196="","",IF(COUNTIFS($B$3:$B$402,$B196,$D$3:$D$402,$D196)&gt;1,"Repetido",""))</f>
        <v/>
      </c>
    </row>
    <row r="197" customFormat="false" ht="18" hidden="false" customHeight="true" outlineLevel="0" collapsed="false">
      <c r="A197" s="40"/>
      <c r="B197" s="47" t="str">
        <f aca="false">IF($A197="","",IFERROR(INDEX(Equipamentos!$C$3:$C$52,MATCH($A197,Equipamentos!$A$3:$A$52,0)),""))</f>
        <v/>
      </c>
      <c r="C197" s="40"/>
      <c r="D197" s="40"/>
      <c r="E197" s="42"/>
      <c r="F197" s="45" t="str">
        <f aca="false">IF($D197="","",COUNTIF($B$3:$B197,$B197))</f>
        <v/>
      </c>
      <c r="G197" s="47" t="str">
        <f aca="false">IF($D197="","",CONCATENATE($B197,"|",$F197))</f>
        <v/>
      </c>
      <c r="H197" s="46" t="str">
        <f aca="false">IF($D197="","",IF(COUNTIFS($B$3:$B$402,$B197,$D$3:$D$402,$D197)&gt;1,"Repetido",""))</f>
        <v/>
      </c>
    </row>
    <row r="198" customFormat="false" ht="18" hidden="false" customHeight="true" outlineLevel="0" collapsed="false">
      <c r="A198" s="40"/>
      <c r="B198" s="47" t="str">
        <f aca="false">IF($A198="","",IFERROR(INDEX(Equipamentos!$C$3:$C$52,MATCH($A198,Equipamentos!$A$3:$A$52,0)),""))</f>
        <v/>
      </c>
      <c r="C198" s="40"/>
      <c r="D198" s="40"/>
      <c r="E198" s="42"/>
      <c r="F198" s="45" t="str">
        <f aca="false">IF($D198="","",COUNTIF($B$3:$B198,$B198))</f>
        <v/>
      </c>
      <c r="G198" s="47" t="str">
        <f aca="false">IF($D198="","",CONCATENATE($B198,"|",$F198))</f>
        <v/>
      </c>
      <c r="H198" s="46" t="str">
        <f aca="false">IF($D198="","",IF(COUNTIFS($B$3:$B$402,$B198,$D$3:$D$402,$D198)&gt;1,"Repetido",""))</f>
        <v/>
      </c>
    </row>
    <row r="199" customFormat="false" ht="18" hidden="false" customHeight="true" outlineLevel="0" collapsed="false">
      <c r="A199" s="40"/>
      <c r="B199" s="47" t="str">
        <f aca="false">IF($A199="","",IFERROR(INDEX(Equipamentos!$C$3:$C$52,MATCH($A199,Equipamentos!$A$3:$A$52,0)),""))</f>
        <v/>
      </c>
      <c r="C199" s="40"/>
      <c r="D199" s="40"/>
      <c r="E199" s="42"/>
      <c r="F199" s="45" t="str">
        <f aca="false">IF($D199="","",COUNTIF($B$3:$B199,$B199))</f>
        <v/>
      </c>
      <c r="G199" s="47" t="str">
        <f aca="false">IF($D199="","",CONCATENATE($B199,"|",$F199))</f>
        <v/>
      </c>
      <c r="H199" s="46" t="str">
        <f aca="false">IF($D199="","",IF(COUNTIFS($B$3:$B$402,$B199,$D$3:$D$402,$D199)&gt;1,"Repetido",""))</f>
        <v/>
      </c>
    </row>
    <row r="200" customFormat="false" ht="18" hidden="false" customHeight="true" outlineLevel="0" collapsed="false">
      <c r="A200" s="40"/>
      <c r="B200" s="47" t="str">
        <f aca="false">IF($A200="","",IFERROR(INDEX(Equipamentos!$C$3:$C$52,MATCH($A200,Equipamentos!$A$3:$A$52,0)),""))</f>
        <v/>
      </c>
      <c r="C200" s="40"/>
      <c r="D200" s="40"/>
      <c r="E200" s="42"/>
      <c r="F200" s="45" t="str">
        <f aca="false">IF($D200="","",COUNTIF($B$3:$B200,$B200))</f>
        <v/>
      </c>
      <c r="G200" s="47" t="str">
        <f aca="false">IF($D200="","",CONCATENATE($B200,"|",$F200))</f>
        <v/>
      </c>
      <c r="H200" s="46" t="str">
        <f aca="false">IF($D200="","",IF(COUNTIFS($B$3:$B$402,$B200,$D$3:$D$402,$D200)&gt;1,"Repetido",""))</f>
        <v/>
      </c>
    </row>
    <row r="201" customFormat="false" ht="18" hidden="false" customHeight="true" outlineLevel="0" collapsed="false">
      <c r="A201" s="40"/>
      <c r="B201" s="47" t="str">
        <f aca="false">IF($A201="","",IFERROR(INDEX(Equipamentos!$C$3:$C$52,MATCH($A201,Equipamentos!$A$3:$A$52,0)),""))</f>
        <v/>
      </c>
      <c r="C201" s="40"/>
      <c r="D201" s="40"/>
      <c r="E201" s="42"/>
      <c r="F201" s="45" t="str">
        <f aca="false">IF($D201="","",COUNTIF($B$3:$B201,$B201))</f>
        <v/>
      </c>
      <c r="G201" s="47" t="str">
        <f aca="false">IF($D201="","",CONCATENATE($B201,"|",$F201))</f>
        <v/>
      </c>
      <c r="H201" s="46" t="str">
        <f aca="false">IF($D201="","",IF(COUNTIFS($B$3:$B$402,$B201,$D$3:$D$402,$D201)&gt;1,"Repetido",""))</f>
        <v/>
      </c>
    </row>
    <row r="202" customFormat="false" ht="18" hidden="false" customHeight="true" outlineLevel="0" collapsed="false">
      <c r="A202" s="40"/>
      <c r="B202" s="47" t="str">
        <f aca="false">IF($A202="","",IFERROR(INDEX(Equipamentos!$C$3:$C$52,MATCH($A202,Equipamentos!$A$3:$A$52,0)),""))</f>
        <v/>
      </c>
      <c r="C202" s="40"/>
      <c r="D202" s="40"/>
      <c r="E202" s="42"/>
      <c r="F202" s="45" t="str">
        <f aca="false">IF($D202="","",COUNTIF($B$3:$B202,$B202))</f>
        <v/>
      </c>
      <c r="G202" s="47" t="str">
        <f aca="false">IF($D202="","",CONCATENATE($B202,"|",$F202))</f>
        <v/>
      </c>
      <c r="H202" s="46" t="str">
        <f aca="false">IF($D202="","",IF(COUNTIFS($B$3:$B$402,$B202,$D$3:$D$402,$D202)&gt;1,"Repetido",""))</f>
        <v/>
      </c>
    </row>
    <row r="203" customFormat="false" ht="18" hidden="false" customHeight="true" outlineLevel="0" collapsed="false">
      <c r="A203" s="40"/>
      <c r="B203" s="47" t="str">
        <f aca="false">IF($A203="","",IFERROR(INDEX(Equipamentos!$C$3:$C$52,MATCH($A203,Equipamentos!$A$3:$A$52,0)),""))</f>
        <v/>
      </c>
      <c r="C203" s="40"/>
      <c r="D203" s="40"/>
      <c r="E203" s="42"/>
      <c r="F203" s="45" t="str">
        <f aca="false">IF($D203="","",COUNTIF($B$3:$B203,$B203))</f>
        <v/>
      </c>
      <c r="G203" s="47" t="str">
        <f aca="false">IF($D203="","",CONCATENATE($B203,"|",$F203))</f>
        <v/>
      </c>
      <c r="H203" s="46" t="str">
        <f aca="false">IF($D203="","",IF(COUNTIFS($B$3:$B$402,$B203,$D$3:$D$402,$D203)&gt;1,"Repetido",""))</f>
        <v/>
      </c>
    </row>
    <row r="204" customFormat="false" ht="18" hidden="false" customHeight="true" outlineLevel="0" collapsed="false">
      <c r="A204" s="40"/>
      <c r="B204" s="47" t="str">
        <f aca="false">IF($A204="","",IFERROR(INDEX(Equipamentos!$C$3:$C$52,MATCH($A204,Equipamentos!$A$3:$A$52,0)),""))</f>
        <v/>
      </c>
      <c r="C204" s="40"/>
      <c r="D204" s="40"/>
      <c r="E204" s="42"/>
      <c r="F204" s="45" t="str">
        <f aca="false">IF($D204="","",COUNTIF($B$3:$B204,$B204))</f>
        <v/>
      </c>
      <c r="G204" s="47" t="str">
        <f aca="false">IF($D204="","",CONCATENATE($B204,"|",$F204))</f>
        <v/>
      </c>
      <c r="H204" s="46" t="str">
        <f aca="false">IF($D204="","",IF(COUNTIFS($B$3:$B$402,$B204,$D$3:$D$402,$D204)&gt;1,"Repetido",""))</f>
        <v/>
      </c>
    </row>
    <row r="205" customFormat="false" ht="18" hidden="false" customHeight="true" outlineLevel="0" collapsed="false">
      <c r="A205" s="40"/>
      <c r="B205" s="47" t="str">
        <f aca="false">IF($A205="","",IFERROR(INDEX(Equipamentos!$C$3:$C$52,MATCH($A205,Equipamentos!$A$3:$A$52,0)),""))</f>
        <v/>
      </c>
      <c r="C205" s="40"/>
      <c r="D205" s="40"/>
      <c r="E205" s="42"/>
      <c r="F205" s="45" t="str">
        <f aca="false">IF($D205="","",COUNTIF($B$3:$B205,$B205))</f>
        <v/>
      </c>
      <c r="G205" s="47" t="str">
        <f aca="false">IF($D205="","",CONCATENATE($B205,"|",$F205))</f>
        <v/>
      </c>
      <c r="H205" s="46" t="str">
        <f aca="false">IF($D205="","",IF(COUNTIFS($B$3:$B$402,$B205,$D$3:$D$402,$D205)&gt;1,"Repetido",""))</f>
        <v/>
      </c>
    </row>
    <row r="206" customFormat="false" ht="18" hidden="false" customHeight="true" outlineLevel="0" collapsed="false">
      <c r="A206" s="40"/>
      <c r="B206" s="47" t="str">
        <f aca="false">IF($A206="","",IFERROR(INDEX(Equipamentos!$C$3:$C$52,MATCH($A206,Equipamentos!$A$3:$A$52,0)),""))</f>
        <v/>
      </c>
      <c r="C206" s="40"/>
      <c r="D206" s="40"/>
      <c r="E206" s="42"/>
      <c r="F206" s="45" t="str">
        <f aca="false">IF($D206="","",COUNTIF($B$3:$B206,$B206))</f>
        <v/>
      </c>
      <c r="G206" s="47" t="str">
        <f aca="false">IF($D206="","",CONCATENATE($B206,"|",$F206))</f>
        <v/>
      </c>
      <c r="H206" s="46" t="str">
        <f aca="false">IF($D206="","",IF(COUNTIFS($B$3:$B$402,$B206,$D$3:$D$402,$D206)&gt;1,"Repetido",""))</f>
        <v/>
      </c>
    </row>
    <row r="207" customFormat="false" ht="18" hidden="false" customHeight="true" outlineLevel="0" collapsed="false">
      <c r="A207" s="40"/>
      <c r="B207" s="47" t="str">
        <f aca="false">IF($A207="","",IFERROR(INDEX(Equipamentos!$C$3:$C$52,MATCH($A207,Equipamentos!$A$3:$A$52,0)),""))</f>
        <v/>
      </c>
      <c r="C207" s="40"/>
      <c r="D207" s="40"/>
      <c r="E207" s="42"/>
      <c r="F207" s="45" t="str">
        <f aca="false">IF($D207="","",COUNTIF($B$3:$B207,$B207))</f>
        <v/>
      </c>
      <c r="G207" s="47" t="str">
        <f aca="false">IF($D207="","",CONCATENATE($B207,"|",$F207))</f>
        <v/>
      </c>
      <c r="H207" s="46" t="str">
        <f aca="false">IF($D207="","",IF(COUNTIFS($B$3:$B$402,$B207,$D$3:$D$402,$D207)&gt;1,"Repetido",""))</f>
        <v/>
      </c>
    </row>
    <row r="208" customFormat="false" ht="18" hidden="false" customHeight="true" outlineLevel="0" collapsed="false">
      <c r="A208" s="40"/>
      <c r="B208" s="47" t="str">
        <f aca="false">IF($A208="","",IFERROR(INDEX(Equipamentos!$C$3:$C$52,MATCH($A208,Equipamentos!$A$3:$A$52,0)),""))</f>
        <v/>
      </c>
      <c r="C208" s="40"/>
      <c r="D208" s="40"/>
      <c r="E208" s="42"/>
      <c r="F208" s="45" t="str">
        <f aca="false">IF($D208="","",COUNTIF($B$3:$B208,$B208))</f>
        <v/>
      </c>
      <c r="G208" s="47" t="str">
        <f aca="false">IF($D208="","",CONCATENATE($B208,"|",$F208))</f>
        <v/>
      </c>
      <c r="H208" s="46" t="str">
        <f aca="false">IF($D208="","",IF(COUNTIFS($B$3:$B$402,$B208,$D$3:$D$402,$D208)&gt;1,"Repetido",""))</f>
        <v/>
      </c>
    </row>
    <row r="209" customFormat="false" ht="18" hidden="false" customHeight="true" outlineLevel="0" collapsed="false">
      <c r="A209" s="40"/>
      <c r="B209" s="47" t="str">
        <f aca="false">IF($A209="","",IFERROR(INDEX(Equipamentos!$C$3:$C$52,MATCH($A209,Equipamentos!$A$3:$A$52,0)),""))</f>
        <v/>
      </c>
      <c r="C209" s="40"/>
      <c r="D209" s="40"/>
      <c r="E209" s="42"/>
      <c r="F209" s="45" t="str">
        <f aca="false">IF($D209="","",COUNTIF($B$3:$B209,$B209))</f>
        <v/>
      </c>
      <c r="G209" s="47" t="str">
        <f aca="false">IF($D209="","",CONCATENATE($B209,"|",$F209))</f>
        <v/>
      </c>
      <c r="H209" s="46" t="str">
        <f aca="false">IF($D209="","",IF(COUNTIFS($B$3:$B$402,$B209,$D$3:$D$402,$D209)&gt;1,"Repetido",""))</f>
        <v/>
      </c>
    </row>
    <row r="210" customFormat="false" ht="18" hidden="false" customHeight="true" outlineLevel="0" collapsed="false">
      <c r="A210" s="40"/>
      <c r="B210" s="47" t="str">
        <f aca="false">IF($A210="","",IFERROR(INDEX(Equipamentos!$C$3:$C$52,MATCH($A210,Equipamentos!$A$3:$A$52,0)),""))</f>
        <v/>
      </c>
      <c r="C210" s="40"/>
      <c r="D210" s="40"/>
      <c r="E210" s="42"/>
      <c r="F210" s="45" t="str">
        <f aca="false">IF($D210="","",COUNTIF($B$3:$B210,$B210))</f>
        <v/>
      </c>
      <c r="G210" s="47" t="str">
        <f aca="false">IF($D210="","",CONCATENATE($B210,"|",$F210))</f>
        <v/>
      </c>
      <c r="H210" s="46" t="str">
        <f aca="false">IF($D210="","",IF(COUNTIFS($B$3:$B$402,$B210,$D$3:$D$402,$D210)&gt;1,"Repetido",""))</f>
        <v/>
      </c>
    </row>
    <row r="211" customFormat="false" ht="18" hidden="false" customHeight="true" outlineLevel="0" collapsed="false">
      <c r="A211" s="40"/>
      <c r="B211" s="47" t="str">
        <f aca="false">IF($A211="","",IFERROR(INDEX(Equipamentos!$C$3:$C$52,MATCH($A211,Equipamentos!$A$3:$A$52,0)),""))</f>
        <v/>
      </c>
      <c r="C211" s="40"/>
      <c r="D211" s="40"/>
      <c r="E211" s="42"/>
      <c r="F211" s="45" t="str">
        <f aca="false">IF($D211="","",COUNTIF($B$3:$B211,$B211))</f>
        <v/>
      </c>
      <c r="G211" s="47" t="str">
        <f aca="false">IF($D211="","",CONCATENATE($B211,"|",$F211))</f>
        <v/>
      </c>
      <c r="H211" s="46" t="str">
        <f aca="false">IF($D211="","",IF(COUNTIFS($B$3:$B$402,$B211,$D$3:$D$402,$D211)&gt;1,"Repetido",""))</f>
        <v/>
      </c>
    </row>
    <row r="212" customFormat="false" ht="18" hidden="false" customHeight="true" outlineLevel="0" collapsed="false">
      <c r="A212" s="40"/>
      <c r="B212" s="47" t="str">
        <f aca="false">IF($A212="","",IFERROR(INDEX(Equipamentos!$C$3:$C$52,MATCH($A212,Equipamentos!$A$3:$A$52,0)),""))</f>
        <v/>
      </c>
      <c r="C212" s="40"/>
      <c r="D212" s="40"/>
      <c r="E212" s="42"/>
      <c r="F212" s="45" t="str">
        <f aca="false">IF($D212="","",COUNTIF($B$3:$B212,$B212))</f>
        <v/>
      </c>
      <c r="G212" s="47" t="str">
        <f aca="false">IF($D212="","",CONCATENATE($B212,"|",$F212))</f>
        <v/>
      </c>
      <c r="H212" s="46" t="str">
        <f aca="false">IF($D212="","",IF(COUNTIFS($B$3:$B$402,$B212,$D$3:$D$402,$D212)&gt;1,"Repetido",""))</f>
        <v/>
      </c>
    </row>
    <row r="213" customFormat="false" ht="18" hidden="false" customHeight="true" outlineLevel="0" collapsed="false">
      <c r="A213" s="40"/>
      <c r="B213" s="47" t="str">
        <f aca="false">IF($A213="","",IFERROR(INDEX(Equipamentos!$C$3:$C$52,MATCH($A213,Equipamentos!$A$3:$A$52,0)),""))</f>
        <v/>
      </c>
      <c r="C213" s="40"/>
      <c r="D213" s="40"/>
      <c r="E213" s="42"/>
      <c r="F213" s="45" t="str">
        <f aca="false">IF($D213="","",COUNTIF($B$3:$B213,$B213))</f>
        <v/>
      </c>
      <c r="G213" s="47" t="str">
        <f aca="false">IF($D213="","",CONCATENATE($B213,"|",$F213))</f>
        <v/>
      </c>
      <c r="H213" s="46" t="str">
        <f aca="false">IF($D213="","",IF(COUNTIFS($B$3:$B$402,$B213,$D$3:$D$402,$D213)&gt;1,"Repetido",""))</f>
        <v/>
      </c>
    </row>
    <row r="214" customFormat="false" ht="18" hidden="false" customHeight="true" outlineLevel="0" collapsed="false">
      <c r="A214" s="40"/>
      <c r="B214" s="47" t="str">
        <f aca="false">IF($A214="","",IFERROR(INDEX(Equipamentos!$C$3:$C$52,MATCH($A214,Equipamentos!$A$3:$A$52,0)),""))</f>
        <v/>
      </c>
      <c r="C214" s="40"/>
      <c r="D214" s="40"/>
      <c r="E214" s="42"/>
      <c r="F214" s="45" t="str">
        <f aca="false">IF($D214="","",COUNTIF($B$3:$B214,$B214))</f>
        <v/>
      </c>
      <c r="G214" s="47" t="str">
        <f aca="false">IF($D214="","",CONCATENATE($B214,"|",$F214))</f>
        <v/>
      </c>
      <c r="H214" s="46" t="str">
        <f aca="false">IF($D214="","",IF(COUNTIFS($B$3:$B$402,$B214,$D$3:$D$402,$D214)&gt;1,"Repetido",""))</f>
        <v/>
      </c>
    </row>
    <row r="215" customFormat="false" ht="18" hidden="false" customHeight="true" outlineLevel="0" collapsed="false">
      <c r="A215" s="40"/>
      <c r="B215" s="47" t="str">
        <f aca="false">IF($A215="","",IFERROR(INDEX(Equipamentos!$C$3:$C$52,MATCH($A215,Equipamentos!$A$3:$A$52,0)),""))</f>
        <v/>
      </c>
      <c r="C215" s="40"/>
      <c r="D215" s="40"/>
      <c r="E215" s="42"/>
      <c r="F215" s="45" t="str">
        <f aca="false">IF($D215="","",COUNTIF($B$3:$B215,$B215))</f>
        <v/>
      </c>
      <c r="G215" s="47" t="str">
        <f aca="false">IF($D215="","",CONCATENATE($B215,"|",$F215))</f>
        <v/>
      </c>
      <c r="H215" s="46" t="str">
        <f aca="false">IF($D215="","",IF(COUNTIFS($B$3:$B$402,$B215,$D$3:$D$402,$D215)&gt;1,"Repetido",""))</f>
        <v/>
      </c>
    </row>
    <row r="216" customFormat="false" ht="18" hidden="false" customHeight="true" outlineLevel="0" collapsed="false">
      <c r="A216" s="40"/>
      <c r="B216" s="47" t="str">
        <f aca="false">IF($A216="","",IFERROR(INDEX(Equipamentos!$C$3:$C$52,MATCH($A216,Equipamentos!$A$3:$A$52,0)),""))</f>
        <v/>
      </c>
      <c r="C216" s="40"/>
      <c r="D216" s="40"/>
      <c r="E216" s="42"/>
      <c r="F216" s="45" t="str">
        <f aca="false">IF($D216="","",COUNTIF($B$3:$B216,$B216))</f>
        <v/>
      </c>
      <c r="G216" s="47" t="str">
        <f aca="false">IF($D216="","",CONCATENATE($B216,"|",$F216))</f>
        <v/>
      </c>
      <c r="H216" s="46" t="str">
        <f aca="false">IF($D216="","",IF(COUNTIFS($B$3:$B$402,$B216,$D$3:$D$402,$D216)&gt;1,"Repetido",""))</f>
        <v/>
      </c>
    </row>
    <row r="217" customFormat="false" ht="18" hidden="false" customHeight="true" outlineLevel="0" collapsed="false">
      <c r="A217" s="40"/>
      <c r="B217" s="47" t="str">
        <f aca="false">IF($A217="","",IFERROR(INDEX(Equipamentos!$C$3:$C$52,MATCH($A217,Equipamentos!$A$3:$A$52,0)),""))</f>
        <v/>
      </c>
      <c r="C217" s="40"/>
      <c r="D217" s="40"/>
      <c r="E217" s="42"/>
      <c r="F217" s="45" t="str">
        <f aca="false">IF($D217="","",COUNTIF($B$3:$B217,$B217))</f>
        <v/>
      </c>
      <c r="G217" s="47" t="str">
        <f aca="false">IF($D217="","",CONCATENATE($B217,"|",$F217))</f>
        <v/>
      </c>
      <c r="H217" s="46" t="str">
        <f aca="false">IF($D217="","",IF(COUNTIFS($B$3:$B$402,$B217,$D$3:$D$402,$D217)&gt;1,"Repetido",""))</f>
        <v/>
      </c>
    </row>
    <row r="218" customFormat="false" ht="18" hidden="false" customHeight="true" outlineLevel="0" collapsed="false">
      <c r="A218" s="40"/>
      <c r="B218" s="47" t="str">
        <f aca="false">IF($A218="","",IFERROR(INDEX(Equipamentos!$C$3:$C$52,MATCH($A218,Equipamentos!$A$3:$A$52,0)),""))</f>
        <v/>
      </c>
      <c r="C218" s="40"/>
      <c r="D218" s="40"/>
      <c r="E218" s="42"/>
      <c r="F218" s="45" t="str">
        <f aca="false">IF($D218="","",COUNTIF($B$3:$B218,$B218))</f>
        <v/>
      </c>
      <c r="G218" s="47" t="str">
        <f aca="false">IF($D218="","",CONCATENATE($B218,"|",$F218))</f>
        <v/>
      </c>
      <c r="H218" s="46" t="str">
        <f aca="false">IF($D218="","",IF(COUNTIFS($B$3:$B$402,$B218,$D$3:$D$402,$D218)&gt;1,"Repetido",""))</f>
        <v/>
      </c>
    </row>
    <row r="219" customFormat="false" ht="18" hidden="false" customHeight="true" outlineLevel="0" collapsed="false">
      <c r="A219" s="40"/>
      <c r="B219" s="47" t="str">
        <f aca="false">IF($A219="","",IFERROR(INDEX(Equipamentos!$C$3:$C$52,MATCH($A219,Equipamentos!$A$3:$A$52,0)),""))</f>
        <v/>
      </c>
      <c r="C219" s="40"/>
      <c r="D219" s="40"/>
      <c r="E219" s="42"/>
      <c r="F219" s="45" t="str">
        <f aca="false">IF($D219="","",COUNTIF($B$3:$B219,$B219))</f>
        <v/>
      </c>
      <c r="G219" s="47" t="str">
        <f aca="false">IF($D219="","",CONCATENATE($B219,"|",$F219))</f>
        <v/>
      </c>
      <c r="H219" s="46" t="str">
        <f aca="false">IF($D219="","",IF(COUNTIFS($B$3:$B$402,$B219,$D$3:$D$402,$D219)&gt;1,"Repetido",""))</f>
        <v/>
      </c>
    </row>
    <row r="220" customFormat="false" ht="18" hidden="false" customHeight="true" outlineLevel="0" collapsed="false">
      <c r="A220" s="40"/>
      <c r="B220" s="47" t="str">
        <f aca="false">IF($A220="","",IFERROR(INDEX(Equipamentos!$C$3:$C$52,MATCH($A220,Equipamentos!$A$3:$A$52,0)),""))</f>
        <v/>
      </c>
      <c r="C220" s="40"/>
      <c r="D220" s="40"/>
      <c r="E220" s="42"/>
      <c r="F220" s="45" t="str">
        <f aca="false">IF($D220="","",COUNTIF($B$3:$B220,$B220))</f>
        <v/>
      </c>
      <c r="G220" s="47" t="str">
        <f aca="false">IF($D220="","",CONCATENATE($B220,"|",$F220))</f>
        <v/>
      </c>
      <c r="H220" s="46" t="str">
        <f aca="false">IF($D220="","",IF(COUNTIFS($B$3:$B$402,$B220,$D$3:$D$402,$D220)&gt;1,"Repetido",""))</f>
        <v/>
      </c>
    </row>
    <row r="221" customFormat="false" ht="18" hidden="false" customHeight="true" outlineLevel="0" collapsed="false">
      <c r="A221" s="40"/>
      <c r="B221" s="47" t="str">
        <f aca="false">IF($A221="","",IFERROR(INDEX(Equipamentos!$C$3:$C$52,MATCH($A221,Equipamentos!$A$3:$A$52,0)),""))</f>
        <v/>
      </c>
      <c r="C221" s="40"/>
      <c r="D221" s="40"/>
      <c r="E221" s="42"/>
      <c r="F221" s="45" t="str">
        <f aca="false">IF($D221="","",COUNTIF($B$3:$B221,$B221))</f>
        <v/>
      </c>
      <c r="G221" s="47" t="str">
        <f aca="false">IF($D221="","",CONCATENATE($B221,"|",$F221))</f>
        <v/>
      </c>
      <c r="H221" s="46" t="str">
        <f aca="false">IF($D221="","",IF(COUNTIFS($B$3:$B$402,$B221,$D$3:$D$402,$D221)&gt;1,"Repetido",""))</f>
        <v/>
      </c>
    </row>
    <row r="222" customFormat="false" ht="18" hidden="false" customHeight="true" outlineLevel="0" collapsed="false">
      <c r="A222" s="40"/>
      <c r="B222" s="47" t="str">
        <f aca="false">IF($A222="","",IFERROR(INDEX(Equipamentos!$C$3:$C$52,MATCH($A222,Equipamentos!$A$3:$A$52,0)),""))</f>
        <v/>
      </c>
      <c r="C222" s="40"/>
      <c r="D222" s="40"/>
      <c r="E222" s="42"/>
      <c r="F222" s="45" t="str">
        <f aca="false">IF($D222="","",COUNTIF($B$3:$B222,$B222))</f>
        <v/>
      </c>
      <c r="G222" s="47" t="str">
        <f aca="false">IF($D222="","",CONCATENATE($B222,"|",$F222))</f>
        <v/>
      </c>
      <c r="H222" s="46" t="str">
        <f aca="false">IF($D222="","",IF(COUNTIFS($B$3:$B$402,$B222,$D$3:$D$402,$D222)&gt;1,"Repetido",""))</f>
        <v/>
      </c>
    </row>
    <row r="223" customFormat="false" ht="18" hidden="false" customHeight="true" outlineLevel="0" collapsed="false">
      <c r="A223" s="40"/>
      <c r="B223" s="47" t="str">
        <f aca="false">IF($A223="","",IFERROR(INDEX(Equipamentos!$C$3:$C$52,MATCH($A223,Equipamentos!$A$3:$A$52,0)),""))</f>
        <v/>
      </c>
      <c r="C223" s="40"/>
      <c r="D223" s="40"/>
      <c r="E223" s="42"/>
      <c r="F223" s="45" t="str">
        <f aca="false">IF($D223="","",COUNTIF($B$3:$B223,$B223))</f>
        <v/>
      </c>
      <c r="G223" s="47" t="str">
        <f aca="false">IF($D223="","",CONCATENATE($B223,"|",$F223))</f>
        <v/>
      </c>
      <c r="H223" s="46" t="str">
        <f aca="false">IF($D223="","",IF(COUNTIFS($B$3:$B$402,$B223,$D$3:$D$402,$D223)&gt;1,"Repetido",""))</f>
        <v/>
      </c>
    </row>
    <row r="224" customFormat="false" ht="18" hidden="false" customHeight="true" outlineLevel="0" collapsed="false">
      <c r="A224" s="40"/>
      <c r="B224" s="47" t="str">
        <f aca="false">IF($A224="","",IFERROR(INDEX(Equipamentos!$C$3:$C$52,MATCH($A224,Equipamentos!$A$3:$A$52,0)),""))</f>
        <v/>
      </c>
      <c r="C224" s="40"/>
      <c r="D224" s="40"/>
      <c r="E224" s="42"/>
      <c r="F224" s="45" t="str">
        <f aca="false">IF($D224="","",COUNTIF($B$3:$B224,$B224))</f>
        <v/>
      </c>
      <c r="G224" s="47" t="str">
        <f aca="false">IF($D224="","",CONCATENATE($B224,"|",$F224))</f>
        <v/>
      </c>
      <c r="H224" s="46" t="str">
        <f aca="false">IF($D224="","",IF(COUNTIFS($B$3:$B$402,$B224,$D$3:$D$402,$D224)&gt;1,"Repetido",""))</f>
        <v/>
      </c>
    </row>
    <row r="225" customFormat="false" ht="18" hidden="false" customHeight="true" outlineLevel="0" collapsed="false">
      <c r="A225" s="40"/>
      <c r="B225" s="47" t="str">
        <f aca="false">IF($A225="","",IFERROR(INDEX(Equipamentos!$C$3:$C$52,MATCH($A225,Equipamentos!$A$3:$A$52,0)),""))</f>
        <v/>
      </c>
      <c r="C225" s="40"/>
      <c r="D225" s="40"/>
      <c r="E225" s="42"/>
      <c r="F225" s="45" t="str">
        <f aca="false">IF($D225="","",COUNTIF($B$3:$B225,$B225))</f>
        <v/>
      </c>
      <c r="G225" s="47" t="str">
        <f aca="false">IF($D225="","",CONCATENATE($B225,"|",$F225))</f>
        <v/>
      </c>
      <c r="H225" s="46" t="str">
        <f aca="false">IF($D225="","",IF(COUNTIFS($B$3:$B$402,$B225,$D$3:$D$402,$D225)&gt;1,"Repetido",""))</f>
        <v/>
      </c>
    </row>
    <row r="226" customFormat="false" ht="18" hidden="false" customHeight="true" outlineLevel="0" collapsed="false">
      <c r="A226" s="40"/>
      <c r="B226" s="47" t="str">
        <f aca="false">IF($A226="","",IFERROR(INDEX(Equipamentos!$C$3:$C$52,MATCH($A226,Equipamentos!$A$3:$A$52,0)),""))</f>
        <v/>
      </c>
      <c r="C226" s="40"/>
      <c r="D226" s="40"/>
      <c r="E226" s="42"/>
      <c r="F226" s="45" t="str">
        <f aca="false">IF($D226="","",COUNTIF($B$3:$B226,$B226))</f>
        <v/>
      </c>
      <c r="G226" s="47" t="str">
        <f aca="false">IF($D226="","",CONCATENATE($B226,"|",$F226))</f>
        <v/>
      </c>
      <c r="H226" s="46" t="str">
        <f aca="false">IF($D226="","",IF(COUNTIFS($B$3:$B$402,$B226,$D$3:$D$402,$D226)&gt;1,"Repetido",""))</f>
        <v/>
      </c>
    </row>
    <row r="227" customFormat="false" ht="18" hidden="false" customHeight="true" outlineLevel="0" collapsed="false">
      <c r="A227" s="40"/>
      <c r="B227" s="47" t="str">
        <f aca="false">IF($A227="","",IFERROR(INDEX(Equipamentos!$C$3:$C$52,MATCH($A227,Equipamentos!$A$3:$A$52,0)),""))</f>
        <v/>
      </c>
      <c r="C227" s="40"/>
      <c r="D227" s="40"/>
      <c r="E227" s="42"/>
      <c r="F227" s="45" t="str">
        <f aca="false">IF($D227="","",COUNTIF($B$3:$B227,$B227))</f>
        <v/>
      </c>
      <c r="G227" s="47" t="str">
        <f aca="false">IF($D227="","",CONCATENATE($B227,"|",$F227))</f>
        <v/>
      </c>
      <c r="H227" s="46" t="str">
        <f aca="false">IF($D227="","",IF(COUNTIFS($B$3:$B$402,$B227,$D$3:$D$402,$D227)&gt;1,"Repetido",""))</f>
        <v/>
      </c>
    </row>
    <row r="228" customFormat="false" ht="18" hidden="false" customHeight="true" outlineLevel="0" collapsed="false">
      <c r="A228" s="40"/>
      <c r="B228" s="47" t="str">
        <f aca="false">IF($A228="","",IFERROR(INDEX(Equipamentos!$C$3:$C$52,MATCH($A228,Equipamentos!$A$3:$A$52,0)),""))</f>
        <v/>
      </c>
      <c r="C228" s="40"/>
      <c r="D228" s="40"/>
      <c r="E228" s="42"/>
      <c r="F228" s="45" t="str">
        <f aca="false">IF($D228="","",COUNTIF($B$3:$B228,$B228))</f>
        <v/>
      </c>
      <c r="G228" s="47" t="str">
        <f aca="false">IF($D228="","",CONCATENATE($B228,"|",$F228))</f>
        <v/>
      </c>
      <c r="H228" s="46" t="str">
        <f aca="false">IF($D228="","",IF(COUNTIFS($B$3:$B$402,$B228,$D$3:$D$402,$D228)&gt;1,"Repetido",""))</f>
        <v/>
      </c>
    </row>
    <row r="229" customFormat="false" ht="18" hidden="false" customHeight="true" outlineLevel="0" collapsed="false">
      <c r="A229" s="40"/>
      <c r="B229" s="47" t="str">
        <f aca="false">IF($A229="","",IFERROR(INDEX(Equipamentos!$C$3:$C$52,MATCH($A229,Equipamentos!$A$3:$A$52,0)),""))</f>
        <v/>
      </c>
      <c r="C229" s="40"/>
      <c r="D229" s="40"/>
      <c r="E229" s="42"/>
      <c r="F229" s="45" t="str">
        <f aca="false">IF($D229="","",COUNTIF($B$3:$B229,$B229))</f>
        <v/>
      </c>
      <c r="G229" s="47" t="str">
        <f aca="false">IF($D229="","",CONCATENATE($B229,"|",$F229))</f>
        <v/>
      </c>
      <c r="H229" s="46" t="str">
        <f aca="false">IF($D229="","",IF(COUNTIFS($B$3:$B$402,$B229,$D$3:$D$402,$D229)&gt;1,"Repetido",""))</f>
        <v/>
      </c>
    </row>
    <row r="230" customFormat="false" ht="18" hidden="false" customHeight="true" outlineLevel="0" collapsed="false">
      <c r="A230" s="40"/>
      <c r="B230" s="47" t="str">
        <f aca="false">IF($A230="","",IFERROR(INDEX(Equipamentos!$C$3:$C$52,MATCH($A230,Equipamentos!$A$3:$A$52,0)),""))</f>
        <v/>
      </c>
      <c r="C230" s="40"/>
      <c r="D230" s="40"/>
      <c r="E230" s="42"/>
      <c r="F230" s="45" t="str">
        <f aca="false">IF($D230="","",COUNTIF($B$3:$B230,$B230))</f>
        <v/>
      </c>
      <c r="G230" s="47" t="str">
        <f aca="false">IF($D230="","",CONCATENATE($B230,"|",$F230))</f>
        <v/>
      </c>
      <c r="H230" s="46" t="str">
        <f aca="false">IF($D230="","",IF(COUNTIFS($B$3:$B$402,$B230,$D$3:$D$402,$D230)&gt;1,"Repetido",""))</f>
        <v/>
      </c>
    </row>
    <row r="231" customFormat="false" ht="18" hidden="false" customHeight="true" outlineLevel="0" collapsed="false">
      <c r="A231" s="40"/>
      <c r="B231" s="47" t="str">
        <f aca="false">IF($A231="","",IFERROR(INDEX(Equipamentos!$C$3:$C$52,MATCH($A231,Equipamentos!$A$3:$A$52,0)),""))</f>
        <v/>
      </c>
      <c r="C231" s="40"/>
      <c r="D231" s="40"/>
      <c r="E231" s="42"/>
      <c r="F231" s="45" t="str">
        <f aca="false">IF($D231="","",COUNTIF($B$3:$B231,$B231))</f>
        <v/>
      </c>
      <c r="G231" s="47" t="str">
        <f aca="false">IF($D231="","",CONCATENATE($B231,"|",$F231))</f>
        <v/>
      </c>
      <c r="H231" s="46" t="str">
        <f aca="false">IF($D231="","",IF(COUNTIFS($B$3:$B$402,$B231,$D$3:$D$402,$D231)&gt;1,"Repetido",""))</f>
        <v/>
      </c>
    </row>
    <row r="232" customFormat="false" ht="18" hidden="false" customHeight="true" outlineLevel="0" collapsed="false">
      <c r="A232" s="40"/>
      <c r="B232" s="47" t="str">
        <f aca="false">IF($A232="","",IFERROR(INDEX(Equipamentos!$C$3:$C$52,MATCH($A232,Equipamentos!$A$3:$A$52,0)),""))</f>
        <v/>
      </c>
      <c r="C232" s="40"/>
      <c r="D232" s="40"/>
      <c r="E232" s="42"/>
      <c r="F232" s="45" t="str">
        <f aca="false">IF($D232="","",COUNTIF($B$3:$B232,$B232))</f>
        <v/>
      </c>
      <c r="G232" s="47" t="str">
        <f aca="false">IF($D232="","",CONCATENATE($B232,"|",$F232))</f>
        <v/>
      </c>
      <c r="H232" s="46" t="str">
        <f aca="false">IF($D232="","",IF(COUNTIFS($B$3:$B$402,$B232,$D$3:$D$402,$D232)&gt;1,"Repetido",""))</f>
        <v/>
      </c>
    </row>
    <row r="233" customFormat="false" ht="18" hidden="false" customHeight="true" outlineLevel="0" collapsed="false">
      <c r="A233" s="40"/>
      <c r="B233" s="47" t="str">
        <f aca="false">IF($A233="","",IFERROR(INDEX(Equipamentos!$C$3:$C$52,MATCH($A233,Equipamentos!$A$3:$A$52,0)),""))</f>
        <v/>
      </c>
      <c r="C233" s="40"/>
      <c r="D233" s="40"/>
      <c r="E233" s="42"/>
      <c r="F233" s="45" t="str">
        <f aca="false">IF($D233="","",COUNTIF($B$3:$B233,$B233))</f>
        <v/>
      </c>
      <c r="G233" s="47" t="str">
        <f aca="false">IF($D233="","",CONCATENATE($B233,"|",$F233))</f>
        <v/>
      </c>
      <c r="H233" s="46" t="str">
        <f aca="false">IF($D233="","",IF(COUNTIFS($B$3:$B$402,$B233,$D$3:$D$402,$D233)&gt;1,"Repetido",""))</f>
        <v/>
      </c>
    </row>
    <row r="234" customFormat="false" ht="18" hidden="false" customHeight="true" outlineLevel="0" collapsed="false">
      <c r="A234" s="40"/>
      <c r="B234" s="47" t="str">
        <f aca="false">IF($A234="","",IFERROR(INDEX(Equipamentos!$C$3:$C$52,MATCH($A234,Equipamentos!$A$3:$A$52,0)),""))</f>
        <v/>
      </c>
      <c r="C234" s="40"/>
      <c r="D234" s="40"/>
      <c r="E234" s="42"/>
      <c r="F234" s="45" t="str">
        <f aca="false">IF($D234="","",COUNTIF($B$3:$B234,$B234))</f>
        <v/>
      </c>
      <c r="G234" s="47" t="str">
        <f aca="false">IF($D234="","",CONCATENATE($B234,"|",$F234))</f>
        <v/>
      </c>
      <c r="H234" s="46" t="str">
        <f aca="false">IF($D234="","",IF(COUNTIFS($B$3:$B$402,$B234,$D$3:$D$402,$D234)&gt;1,"Repetido",""))</f>
        <v/>
      </c>
    </row>
    <row r="235" customFormat="false" ht="18" hidden="false" customHeight="true" outlineLevel="0" collapsed="false">
      <c r="A235" s="40"/>
      <c r="B235" s="47" t="str">
        <f aca="false">IF($A235="","",IFERROR(INDEX(Equipamentos!$C$3:$C$52,MATCH($A235,Equipamentos!$A$3:$A$52,0)),""))</f>
        <v/>
      </c>
      <c r="C235" s="40"/>
      <c r="D235" s="40"/>
      <c r="E235" s="42"/>
      <c r="F235" s="45" t="str">
        <f aca="false">IF($D235="","",COUNTIF($B$3:$B235,$B235))</f>
        <v/>
      </c>
      <c r="G235" s="47" t="str">
        <f aca="false">IF($D235="","",CONCATENATE($B235,"|",$F235))</f>
        <v/>
      </c>
      <c r="H235" s="46" t="str">
        <f aca="false">IF($D235="","",IF(COUNTIFS($B$3:$B$402,$B235,$D$3:$D$402,$D235)&gt;1,"Repetido",""))</f>
        <v/>
      </c>
    </row>
    <row r="236" customFormat="false" ht="18" hidden="false" customHeight="true" outlineLevel="0" collapsed="false">
      <c r="A236" s="40"/>
      <c r="B236" s="47" t="str">
        <f aca="false">IF($A236="","",IFERROR(INDEX(Equipamentos!$C$3:$C$52,MATCH($A236,Equipamentos!$A$3:$A$52,0)),""))</f>
        <v/>
      </c>
      <c r="C236" s="40"/>
      <c r="D236" s="40"/>
      <c r="E236" s="42"/>
      <c r="F236" s="45" t="str">
        <f aca="false">IF($D236="","",COUNTIF($B$3:$B236,$B236))</f>
        <v/>
      </c>
      <c r="G236" s="47" t="str">
        <f aca="false">IF($D236="","",CONCATENATE($B236,"|",$F236))</f>
        <v/>
      </c>
      <c r="H236" s="46" t="str">
        <f aca="false">IF($D236="","",IF(COUNTIFS($B$3:$B$402,$B236,$D$3:$D$402,$D236)&gt;1,"Repetido",""))</f>
        <v/>
      </c>
    </row>
    <row r="237" customFormat="false" ht="18" hidden="false" customHeight="true" outlineLevel="0" collapsed="false">
      <c r="A237" s="40"/>
      <c r="B237" s="47" t="str">
        <f aca="false">IF($A237="","",IFERROR(INDEX(Equipamentos!$C$3:$C$52,MATCH($A237,Equipamentos!$A$3:$A$52,0)),""))</f>
        <v/>
      </c>
      <c r="C237" s="40"/>
      <c r="D237" s="40"/>
      <c r="E237" s="42"/>
      <c r="F237" s="45" t="str">
        <f aca="false">IF($D237="","",COUNTIF($B$3:$B237,$B237))</f>
        <v/>
      </c>
      <c r="G237" s="47" t="str">
        <f aca="false">IF($D237="","",CONCATENATE($B237,"|",$F237))</f>
        <v/>
      </c>
      <c r="H237" s="46" t="str">
        <f aca="false">IF($D237="","",IF(COUNTIFS($B$3:$B$402,$B237,$D$3:$D$402,$D237)&gt;1,"Repetido",""))</f>
        <v/>
      </c>
    </row>
    <row r="238" customFormat="false" ht="18" hidden="false" customHeight="true" outlineLevel="0" collapsed="false">
      <c r="A238" s="40"/>
      <c r="B238" s="47" t="str">
        <f aca="false">IF($A238="","",IFERROR(INDEX(Equipamentos!$C$3:$C$52,MATCH($A238,Equipamentos!$A$3:$A$52,0)),""))</f>
        <v/>
      </c>
      <c r="C238" s="40"/>
      <c r="D238" s="40"/>
      <c r="E238" s="42"/>
      <c r="F238" s="45" t="str">
        <f aca="false">IF($D238="","",COUNTIF($B$3:$B238,$B238))</f>
        <v/>
      </c>
      <c r="G238" s="47" t="str">
        <f aca="false">IF($D238="","",CONCATENATE($B238,"|",$F238))</f>
        <v/>
      </c>
      <c r="H238" s="46" t="str">
        <f aca="false">IF($D238="","",IF(COUNTIFS($B$3:$B$402,$B238,$D$3:$D$402,$D238)&gt;1,"Repetido",""))</f>
        <v/>
      </c>
    </row>
    <row r="239" customFormat="false" ht="18" hidden="false" customHeight="true" outlineLevel="0" collapsed="false">
      <c r="A239" s="40"/>
      <c r="B239" s="47" t="str">
        <f aca="false">IF($A239="","",IFERROR(INDEX(Equipamentos!$C$3:$C$52,MATCH($A239,Equipamentos!$A$3:$A$52,0)),""))</f>
        <v/>
      </c>
      <c r="C239" s="40"/>
      <c r="D239" s="40"/>
      <c r="E239" s="42"/>
      <c r="F239" s="45" t="str">
        <f aca="false">IF($D239="","",COUNTIF($B$3:$B239,$B239))</f>
        <v/>
      </c>
      <c r="G239" s="47" t="str">
        <f aca="false">IF($D239="","",CONCATENATE($B239,"|",$F239))</f>
        <v/>
      </c>
      <c r="H239" s="46" t="str">
        <f aca="false">IF($D239="","",IF(COUNTIFS($B$3:$B$402,$B239,$D$3:$D$402,$D239)&gt;1,"Repetido",""))</f>
        <v/>
      </c>
    </row>
    <row r="240" customFormat="false" ht="18" hidden="false" customHeight="true" outlineLevel="0" collapsed="false">
      <c r="A240" s="40"/>
      <c r="B240" s="47" t="str">
        <f aca="false">IF($A240="","",IFERROR(INDEX(Equipamentos!$C$3:$C$52,MATCH($A240,Equipamentos!$A$3:$A$52,0)),""))</f>
        <v/>
      </c>
      <c r="C240" s="40"/>
      <c r="D240" s="40"/>
      <c r="E240" s="42"/>
      <c r="F240" s="45" t="str">
        <f aca="false">IF($D240="","",COUNTIF($B$3:$B240,$B240))</f>
        <v/>
      </c>
      <c r="G240" s="47" t="str">
        <f aca="false">IF($D240="","",CONCATENATE($B240,"|",$F240))</f>
        <v/>
      </c>
      <c r="H240" s="46" t="str">
        <f aca="false">IF($D240="","",IF(COUNTIFS($B$3:$B$402,$B240,$D$3:$D$402,$D240)&gt;1,"Repetido",""))</f>
        <v/>
      </c>
    </row>
    <row r="241" customFormat="false" ht="18" hidden="false" customHeight="true" outlineLevel="0" collapsed="false">
      <c r="A241" s="40"/>
      <c r="B241" s="47" t="str">
        <f aca="false">IF($A241="","",IFERROR(INDEX(Equipamentos!$C$3:$C$52,MATCH($A241,Equipamentos!$A$3:$A$52,0)),""))</f>
        <v/>
      </c>
      <c r="C241" s="40"/>
      <c r="D241" s="40"/>
      <c r="E241" s="42"/>
      <c r="F241" s="45" t="str">
        <f aca="false">IF($D241="","",COUNTIF($B$3:$B241,$B241))</f>
        <v/>
      </c>
      <c r="G241" s="47" t="str">
        <f aca="false">IF($D241="","",CONCATENATE($B241,"|",$F241))</f>
        <v/>
      </c>
      <c r="H241" s="46" t="str">
        <f aca="false">IF($D241="","",IF(COUNTIFS($B$3:$B$402,$B241,$D$3:$D$402,$D241)&gt;1,"Repetido",""))</f>
        <v/>
      </c>
    </row>
    <row r="242" customFormat="false" ht="18" hidden="false" customHeight="true" outlineLevel="0" collapsed="false">
      <c r="A242" s="40"/>
      <c r="B242" s="47" t="str">
        <f aca="false">IF($A242="","",IFERROR(INDEX(Equipamentos!$C$3:$C$52,MATCH($A242,Equipamentos!$A$3:$A$52,0)),""))</f>
        <v/>
      </c>
      <c r="C242" s="40"/>
      <c r="D242" s="40"/>
      <c r="E242" s="42"/>
      <c r="F242" s="45" t="str">
        <f aca="false">IF($D242="","",COUNTIF($B$3:$B242,$B242))</f>
        <v/>
      </c>
      <c r="G242" s="47" t="str">
        <f aca="false">IF($D242="","",CONCATENATE($B242,"|",$F242))</f>
        <v/>
      </c>
      <c r="H242" s="46" t="str">
        <f aca="false">IF($D242="","",IF(COUNTIFS($B$3:$B$402,$B242,$D$3:$D$402,$D242)&gt;1,"Repetido",""))</f>
        <v/>
      </c>
    </row>
    <row r="243" customFormat="false" ht="18" hidden="false" customHeight="true" outlineLevel="0" collapsed="false">
      <c r="A243" s="40"/>
      <c r="B243" s="47" t="str">
        <f aca="false">IF($A243="","",IFERROR(INDEX(Equipamentos!$C$3:$C$52,MATCH($A243,Equipamentos!$A$3:$A$52,0)),""))</f>
        <v/>
      </c>
      <c r="C243" s="40"/>
      <c r="D243" s="40"/>
      <c r="E243" s="42"/>
      <c r="F243" s="45" t="str">
        <f aca="false">IF($D243="","",COUNTIF($B$3:$B243,$B243))</f>
        <v/>
      </c>
      <c r="G243" s="47" t="str">
        <f aca="false">IF($D243="","",CONCATENATE($B243,"|",$F243))</f>
        <v/>
      </c>
      <c r="H243" s="46" t="str">
        <f aca="false">IF($D243="","",IF(COUNTIFS($B$3:$B$402,$B243,$D$3:$D$402,$D243)&gt;1,"Repetido",""))</f>
        <v/>
      </c>
    </row>
    <row r="244" customFormat="false" ht="18" hidden="false" customHeight="true" outlineLevel="0" collapsed="false">
      <c r="A244" s="40"/>
      <c r="B244" s="47" t="str">
        <f aca="false">IF($A244="","",IFERROR(INDEX(Equipamentos!$C$3:$C$52,MATCH($A244,Equipamentos!$A$3:$A$52,0)),""))</f>
        <v/>
      </c>
      <c r="C244" s="40"/>
      <c r="D244" s="40"/>
      <c r="E244" s="42"/>
      <c r="F244" s="45" t="str">
        <f aca="false">IF($D244="","",COUNTIF($B$3:$B244,$B244))</f>
        <v/>
      </c>
      <c r="G244" s="47" t="str">
        <f aca="false">IF($D244="","",CONCATENATE($B244,"|",$F244))</f>
        <v/>
      </c>
      <c r="H244" s="46" t="str">
        <f aca="false">IF($D244="","",IF(COUNTIFS($B$3:$B$402,$B244,$D$3:$D$402,$D244)&gt;1,"Repetido",""))</f>
        <v/>
      </c>
    </row>
    <row r="245" customFormat="false" ht="18" hidden="false" customHeight="true" outlineLevel="0" collapsed="false">
      <c r="A245" s="40"/>
      <c r="B245" s="47" t="str">
        <f aca="false">IF($A245="","",IFERROR(INDEX(Equipamentos!$C$3:$C$52,MATCH($A245,Equipamentos!$A$3:$A$52,0)),""))</f>
        <v/>
      </c>
      <c r="C245" s="40"/>
      <c r="D245" s="40"/>
      <c r="E245" s="42"/>
      <c r="F245" s="45" t="str">
        <f aca="false">IF($D245="","",COUNTIF($B$3:$B245,$B245))</f>
        <v/>
      </c>
      <c r="G245" s="47" t="str">
        <f aca="false">IF($D245="","",CONCATENATE($B245,"|",$F245))</f>
        <v/>
      </c>
      <c r="H245" s="46" t="str">
        <f aca="false">IF($D245="","",IF(COUNTIFS($B$3:$B$402,$B245,$D$3:$D$402,$D245)&gt;1,"Repetido",""))</f>
        <v/>
      </c>
    </row>
    <row r="246" customFormat="false" ht="18" hidden="false" customHeight="true" outlineLevel="0" collapsed="false">
      <c r="A246" s="40"/>
      <c r="B246" s="47" t="str">
        <f aca="false">IF($A246="","",IFERROR(INDEX(Equipamentos!$C$3:$C$52,MATCH($A246,Equipamentos!$A$3:$A$52,0)),""))</f>
        <v/>
      </c>
      <c r="C246" s="40"/>
      <c r="D246" s="40"/>
      <c r="E246" s="42"/>
      <c r="F246" s="45" t="str">
        <f aca="false">IF($D246="","",COUNTIF($B$3:$B246,$B246))</f>
        <v/>
      </c>
      <c r="G246" s="47" t="str">
        <f aca="false">IF($D246="","",CONCATENATE($B246,"|",$F246))</f>
        <v/>
      </c>
      <c r="H246" s="46" t="str">
        <f aca="false">IF($D246="","",IF(COUNTIFS($B$3:$B$402,$B246,$D$3:$D$402,$D246)&gt;1,"Repetido",""))</f>
        <v/>
      </c>
    </row>
    <row r="247" customFormat="false" ht="18" hidden="false" customHeight="true" outlineLevel="0" collapsed="false">
      <c r="A247" s="40"/>
      <c r="B247" s="47" t="str">
        <f aca="false">IF($A247="","",IFERROR(INDEX(Equipamentos!$C$3:$C$52,MATCH($A247,Equipamentos!$A$3:$A$52,0)),""))</f>
        <v/>
      </c>
      <c r="C247" s="40"/>
      <c r="D247" s="40"/>
      <c r="E247" s="42"/>
      <c r="F247" s="45" t="str">
        <f aca="false">IF($D247="","",COUNTIF($B$3:$B247,$B247))</f>
        <v/>
      </c>
      <c r="G247" s="47" t="str">
        <f aca="false">IF($D247="","",CONCATENATE($B247,"|",$F247))</f>
        <v/>
      </c>
      <c r="H247" s="46" t="str">
        <f aca="false">IF($D247="","",IF(COUNTIFS($B$3:$B$402,$B247,$D$3:$D$402,$D247)&gt;1,"Repetido",""))</f>
        <v/>
      </c>
    </row>
    <row r="248" customFormat="false" ht="18" hidden="false" customHeight="true" outlineLevel="0" collapsed="false">
      <c r="A248" s="40"/>
      <c r="B248" s="47" t="str">
        <f aca="false">IF($A248="","",IFERROR(INDEX(Equipamentos!$C$3:$C$52,MATCH($A248,Equipamentos!$A$3:$A$52,0)),""))</f>
        <v/>
      </c>
      <c r="C248" s="40"/>
      <c r="D248" s="40"/>
      <c r="E248" s="42"/>
      <c r="F248" s="45" t="str">
        <f aca="false">IF($D248="","",COUNTIF($B$3:$B248,$B248))</f>
        <v/>
      </c>
      <c r="G248" s="47" t="str">
        <f aca="false">IF($D248="","",CONCATENATE($B248,"|",$F248))</f>
        <v/>
      </c>
      <c r="H248" s="46" t="str">
        <f aca="false">IF($D248="","",IF(COUNTIFS($B$3:$B$402,$B248,$D$3:$D$402,$D248)&gt;1,"Repetido",""))</f>
        <v/>
      </c>
    </row>
    <row r="249" customFormat="false" ht="18" hidden="false" customHeight="true" outlineLevel="0" collapsed="false">
      <c r="A249" s="40"/>
      <c r="B249" s="47" t="str">
        <f aca="false">IF($A249="","",IFERROR(INDEX(Equipamentos!$C$3:$C$52,MATCH($A249,Equipamentos!$A$3:$A$52,0)),""))</f>
        <v/>
      </c>
      <c r="C249" s="40"/>
      <c r="D249" s="40"/>
      <c r="E249" s="42"/>
      <c r="F249" s="45" t="str">
        <f aca="false">IF($D249="","",COUNTIF($B$3:$B249,$B249))</f>
        <v/>
      </c>
      <c r="G249" s="47" t="str">
        <f aca="false">IF($D249="","",CONCATENATE($B249,"|",$F249))</f>
        <v/>
      </c>
      <c r="H249" s="46" t="str">
        <f aca="false">IF($D249="","",IF(COUNTIFS($B$3:$B$402,$B249,$D$3:$D$402,$D249)&gt;1,"Repetido",""))</f>
        <v/>
      </c>
    </row>
    <row r="250" customFormat="false" ht="18" hidden="false" customHeight="true" outlineLevel="0" collapsed="false">
      <c r="A250" s="40"/>
      <c r="B250" s="47" t="str">
        <f aca="false">IF($A250="","",IFERROR(INDEX(Equipamentos!$C$3:$C$52,MATCH($A250,Equipamentos!$A$3:$A$52,0)),""))</f>
        <v/>
      </c>
      <c r="C250" s="40"/>
      <c r="D250" s="40"/>
      <c r="E250" s="42"/>
      <c r="F250" s="45" t="str">
        <f aca="false">IF($D250="","",COUNTIF($B$3:$B250,$B250))</f>
        <v/>
      </c>
      <c r="G250" s="47" t="str">
        <f aca="false">IF($D250="","",CONCATENATE($B250,"|",$F250))</f>
        <v/>
      </c>
      <c r="H250" s="46" t="str">
        <f aca="false">IF($D250="","",IF(COUNTIFS($B$3:$B$402,$B250,$D$3:$D$402,$D250)&gt;1,"Repetido",""))</f>
        <v/>
      </c>
    </row>
    <row r="251" customFormat="false" ht="18" hidden="false" customHeight="true" outlineLevel="0" collapsed="false">
      <c r="A251" s="40"/>
      <c r="B251" s="47" t="str">
        <f aca="false">IF($A251="","",IFERROR(INDEX(Equipamentos!$C$3:$C$52,MATCH($A251,Equipamentos!$A$3:$A$52,0)),""))</f>
        <v/>
      </c>
      <c r="C251" s="40"/>
      <c r="D251" s="40"/>
      <c r="E251" s="42"/>
      <c r="F251" s="45" t="str">
        <f aca="false">IF($D251="","",COUNTIF($B$3:$B251,$B251))</f>
        <v/>
      </c>
      <c r="G251" s="47" t="str">
        <f aca="false">IF($D251="","",CONCATENATE($B251,"|",$F251))</f>
        <v/>
      </c>
      <c r="H251" s="46" t="str">
        <f aca="false">IF($D251="","",IF(COUNTIFS($B$3:$B$402,$B251,$D$3:$D$402,$D251)&gt;1,"Repetido",""))</f>
        <v/>
      </c>
    </row>
    <row r="252" customFormat="false" ht="18" hidden="false" customHeight="true" outlineLevel="0" collapsed="false">
      <c r="A252" s="40"/>
      <c r="B252" s="47" t="str">
        <f aca="false">IF($A252="","",IFERROR(INDEX(Equipamentos!$C$3:$C$52,MATCH($A252,Equipamentos!$A$3:$A$52,0)),""))</f>
        <v/>
      </c>
      <c r="C252" s="40"/>
      <c r="D252" s="40"/>
      <c r="E252" s="42"/>
      <c r="F252" s="45" t="str">
        <f aca="false">IF($D252="","",COUNTIF($B$3:$B252,$B252))</f>
        <v/>
      </c>
      <c r="G252" s="47" t="str">
        <f aca="false">IF($D252="","",CONCATENATE($B252,"|",$F252))</f>
        <v/>
      </c>
      <c r="H252" s="46" t="str">
        <f aca="false">IF($D252="","",IF(COUNTIFS($B$3:$B$402,$B252,$D$3:$D$402,$D252)&gt;1,"Repetido",""))</f>
        <v/>
      </c>
    </row>
    <row r="253" customFormat="false" ht="18" hidden="false" customHeight="true" outlineLevel="0" collapsed="false">
      <c r="A253" s="40"/>
      <c r="B253" s="47" t="str">
        <f aca="false">IF($A253="","",IFERROR(INDEX(Equipamentos!$C$3:$C$52,MATCH($A253,Equipamentos!$A$3:$A$52,0)),""))</f>
        <v/>
      </c>
      <c r="C253" s="40"/>
      <c r="D253" s="40"/>
      <c r="E253" s="42"/>
      <c r="F253" s="45" t="str">
        <f aca="false">IF($D253="","",COUNTIF($B$3:$B253,$B253))</f>
        <v/>
      </c>
      <c r="G253" s="47" t="str">
        <f aca="false">IF($D253="","",CONCATENATE($B253,"|",$F253))</f>
        <v/>
      </c>
      <c r="H253" s="46" t="str">
        <f aca="false">IF($D253="","",IF(COUNTIFS($B$3:$B$402,$B253,$D$3:$D$402,$D253)&gt;1,"Repetido",""))</f>
        <v/>
      </c>
    </row>
    <row r="254" customFormat="false" ht="18" hidden="false" customHeight="true" outlineLevel="0" collapsed="false">
      <c r="A254" s="40"/>
      <c r="B254" s="47" t="str">
        <f aca="false">IF($A254="","",IFERROR(INDEX(Equipamentos!$C$3:$C$52,MATCH($A254,Equipamentos!$A$3:$A$52,0)),""))</f>
        <v/>
      </c>
      <c r="C254" s="40"/>
      <c r="D254" s="40"/>
      <c r="E254" s="42"/>
      <c r="F254" s="45" t="str">
        <f aca="false">IF($D254="","",COUNTIF($B$3:$B254,$B254))</f>
        <v/>
      </c>
      <c r="G254" s="47" t="str">
        <f aca="false">IF($D254="","",CONCATENATE($B254,"|",$F254))</f>
        <v/>
      </c>
      <c r="H254" s="46" t="str">
        <f aca="false">IF($D254="","",IF(COUNTIFS($B$3:$B$402,$B254,$D$3:$D$402,$D254)&gt;1,"Repetido",""))</f>
        <v/>
      </c>
    </row>
    <row r="255" customFormat="false" ht="18" hidden="false" customHeight="true" outlineLevel="0" collapsed="false">
      <c r="A255" s="40"/>
      <c r="B255" s="47" t="str">
        <f aca="false">IF($A255="","",IFERROR(INDEX(Equipamentos!$C$3:$C$52,MATCH($A255,Equipamentos!$A$3:$A$52,0)),""))</f>
        <v/>
      </c>
      <c r="C255" s="40"/>
      <c r="D255" s="40"/>
      <c r="E255" s="42"/>
      <c r="F255" s="45" t="str">
        <f aca="false">IF($D255="","",COUNTIF($B$3:$B255,$B255))</f>
        <v/>
      </c>
      <c r="G255" s="47" t="str">
        <f aca="false">IF($D255="","",CONCATENATE($B255,"|",$F255))</f>
        <v/>
      </c>
      <c r="H255" s="46" t="str">
        <f aca="false">IF($D255="","",IF(COUNTIFS($B$3:$B$402,$B255,$D$3:$D$402,$D255)&gt;1,"Repetido",""))</f>
        <v/>
      </c>
    </row>
    <row r="256" customFormat="false" ht="18" hidden="false" customHeight="true" outlineLevel="0" collapsed="false">
      <c r="A256" s="40"/>
      <c r="B256" s="47" t="str">
        <f aca="false">IF($A256="","",IFERROR(INDEX(Equipamentos!$C$3:$C$52,MATCH($A256,Equipamentos!$A$3:$A$52,0)),""))</f>
        <v/>
      </c>
      <c r="C256" s="40"/>
      <c r="D256" s="40"/>
      <c r="E256" s="42"/>
      <c r="F256" s="45" t="str">
        <f aca="false">IF($D256="","",COUNTIF($B$3:$B256,$B256))</f>
        <v/>
      </c>
      <c r="G256" s="47" t="str">
        <f aca="false">IF($D256="","",CONCATENATE($B256,"|",$F256))</f>
        <v/>
      </c>
      <c r="H256" s="46" t="str">
        <f aca="false">IF($D256="","",IF(COUNTIFS($B$3:$B$402,$B256,$D$3:$D$402,$D256)&gt;1,"Repetido",""))</f>
        <v/>
      </c>
    </row>
    <row r="257" customFormat="false" ht="18" hidden="false" customHeight="true" outlineLevel="0" collapsed="false">
      <c r="A257" s="40"/>
      <c r="B257" s="47" t="str">
        <f aca="false">IF($A257="","",IFERROR(INDEX(Equipamentos!$C$3:$C$52,MATCH($A257,Equipamentos!$A$3:$A$52,0)),""))</f>
        <v/>
      </c>
      <c r="C257" s="40"/>
      <c r="D257" s="40"/>
      <c r="E257" s="42"/>
      <c r="F257" s="45" t="str">
        <f aca="false">IF($D257="","",COUNTIF($B$3:$B257,$B257))</f>
        <v/>
      </c>
      <c r="G257" s="47" t="str">
        <f aca="false">IF($D257="","",CONCATENATE($B257,"|",$F257))</f>
        <v/>
      </c>
      <c r="H257" s="46" t="str">
        <f aca="false">IF($D257="","",IF(COUNTIFS($B$3:$B$402,$B257,$D$3:$D$402,$D257)&gt;1,"Repetido",""))</f>
        <v/>
      </c>
    </row>
    <row r="258" customFormat="false" ht="18" hidden="false" customHeight="true" outlineLevel="0" collapsed="false">
      <c r="A258" s="40"/>
      <c r="B258" s="47" t="str">
        <f aca="false">IF($A258="","",IFERROR(INDEX(Equipamentos!$C$3:$C$52,MATCH($A258,Equipamentos!$A$3:$A$52,0)),""))</f>
        <v/>
      </c>
      <c r="C258" s="40"/>
      <c r="D258" s="40"/>
      <c r="E258" s="42"/>
      <c r="F258" s="45" t="str">
        <f aca="false">IF($D258="","",COUNTIF($B$3:$B258,$B258))</f>
        <v/>
      </c>
      <c r="G258" s="47" t="str">
        <f aca="false">IF($D258="","",CONCATENATE($B258,"|",$F258))</f>
        <v/>
      </c>
      <c r="H258" s="46" t="str">
        <f aca="false">IF($D258="","",IF(COUNTIFS($B$3:$B$402,$B258,$D$3:$D$402,$D258)&gt;1,"Repetido",""))</f>
        <v/>
      </c>
    </row>
    <row r="259" customFormat="false" ht="18" hidden="false" customHeight="true" outlineLevel="0" collapsed="false">
      <c r="A259" s="40"/>
      <c r="B259" s="47" t="str">
        <f aca="false">IF($A259="","",IFERROR(INDEX(Equipamentos!$C$3:$C$52,MATCH($A259,Equipamentos!$A$3:$A$52,0)),""))</f>
        <v/>
      </c>
      <c r="C259" s="40"/>
      <c r="D259" s="40"/>
      <c r="E259" s="42"/>
      <c r="F259" s="45" t="str">
        <f aca="false">IF($D259="","",COUNTIF($B$3:$B259,$B259))</f>
        <v/>
      </c>
      <c r="G259" s="47" t="str">
        <f aca="false">IF($D259="","",CONCATENATE($B259,"|",$F259))</f>
        <v/>
      </c>
      <c r="H259" s="46" t="str">
        <f aca="false">IF($D259="","",IF(COUNTIFS($B$3:$B$402,$B259,$D$3:$D$402,$D259)&gt;1,"Repetido",""))</f>
        <v/>
      </c>
    </row>
    <row r="260" customFormat="false" ht="18" hidden="false" customHeight="true" outlineLevel="0" collapsed="false">
      <c r="A260" s="40"/>
      <c r="B260" s="47" t="str">
        <f aca="false">IF($A260="","",IFERROR(INDEX(Equipamentos!$C$3:$C$52,MATCH($A260,Equipamentos!$A$3:$A$52,0)),""))</f>
        <v/>
      </c>
      <c r="C260" s="40"/>
      <c r="D260" s="40"/>
      <c r="E260" s="42"/>
      <c r="F260" s="45" t="str">
        <f aca="false">IF($D260="","",COUNTIF($B$3:$B260,$B260))</f>
        <v/>
      </c>
      <c r="G260" s="47" t="str">
        <f aca="false">IF($D260="","",CONCATENATE($B260,"|",$F260))</f>
        <v/>
      </c>
      <c r="H260" s="46" t="str">
        <f aca="false">IF($D260="","",IF(COUNTIFS($B$3:$B$402,$B260,$D$3:$D$402,$D260)&gt;1,"Repetido",""))</f>
        <v/>
      </c>
    </row>
    <row r="261" customFormat="false" ht="18" hidden="false" customHeight="true" outlineLevel="0" collapsed="false">
      <c r="A261" s="40"/>
      <c r="B261" s="47" t="str">
        <f aca="false">IF($A261="","",IFERROR(INDEX(Equipamentos!$C$3:$C$52,MATCH($A261,Equipamentos!$A$3:$A$52,0)),""))</f>
        <v/>
      </c>
      <c r="C261" s="40"/>
      <c r="D261" s="40"/>
      <c r="E261" s="42"/>
      <c r="F261" s="45" t="str">
        <f aca="false">IF($D261="","",COUNTIF($B$3:$B261,$B261))</f>
        <v/>
      </c>
      <c r="G261" s="47" t="str">
        <f aca="false">IF($D261="","",CONCATENATE($B261,"|",$F261))</f>
        <v/>
      </c>
      <c r="H261" s="46" t="str">
        <f aca="false">IF($D261="","",IF(COUNTIFS($B$3:$B$402,$B261,$D$3:$D$402,$D261)&gt;1,"Repetido",""))</f>
        <v/>
      </c>
    </row>
    <row r="262" customFormat="false" ht="18" hidden="false" customHeight="true" outlineLevel="0" collapsed="false">
      <c r="A262" s="40"/>
      <c r="B262" s="47" t="str">
        <f aca="false">IF($A262="","",IFERROR(INDEX(Equipamentos!$C$3:$C$52,MATCH($A262,Equipamentos!$A$3:$A$52,0)),""))</f>
        <v/>
      </c>
      <c r="C262" s="40"/>
      <c r="D262" s="40"/>
      <c r="E262" s="42"/>
      <c r="F262" s="45" t="str">
        <f aca="false">IF($D262="","",COUNTIF($B$3:$B262,$B262))</f>
        <v/>
      </c>
      <c r="G262" s="47" t="str">
        <f aca="false">IF($D262="","",CONCATENATE($B262,"|",$F262))</f>
        <v/>
      </c>
      <c r="H262" s="46" t="str">
        <f aca="false">IF($D262="","",IF(COUNTIFS($B$3:$B$402,$B262,$D$3:$D$402,$D262)&gt;1,"Repetido",""))</f>
        <v/>
      </c>
    </row>
    <row r="263" customFormat="false" ht="18" hidden="false" customHeight="true" outlineLevel="0" collapsed="false">
      <c r="A263" s="40"/>
      <c r="B263" s="47" t="str">
        <f aca="false">IF($A263="","",IFERROR(INDEX(Equipamentos!$C$3:$C$52,MATCH($A263,Equipamentos!$A$3:$A$52,0)),""))</f>
        <v/>
      </c>
      <c r="C263" s="40"/>
      <c r="D263" s="40"/>
      <c r="E263" s="42"/>
      <c r="F263" s="45" t="str">
        <f aca="false">IF($D263="","",COUNTIF($B$3:$B263,$B263))</f>
        <v/>
      </c>
      <c r="G263" s="47" t="str">
        <f aca="false">IF($D263="","",CONCATENATE($B263,"|",$F263))</f>
        <v/>
      </c>
      <c r="H263" s="46" t="str">
        <f aca="false">IF($D263="","",IF(COUNTIFS($B$3:$B$402,$B263,$D$3:$D$402,$D263)&gt;1,"Repetido",""))</f>
        <v/>
      </c>
    </row>
    <row r="264" customFormat="false" ht="18" hidden="false" customHeight="true" outlineLevel="0" collapsed="false">
      <c r="A264" s="40"/>
      <c r="B264" s="47" t="str">
        <f aca="false">IF($A264="","",IFERROR(INDEX(Equipamentos!$C$3:$C$52,MATCH($A264,Equipamentos!$A$3:$A$52,0)),""))</f>
        <v/>
      </c>
      <c r="C264" s="40"/>
      <c r="D264" s="40"/>
      <c r="E264" s="42"/>
      <c r="F264" s="45" t="str">
        <f aca="false">IF($D264="","",COUNTIF($B$3:$B264,$B264))</f>
        <v/>
      </c>
      <c r="G264" s="47" t="str">
        <f aca="false">IF($D264="","",CONCATENATE($B264,"|",$F264))</f>
        <v/>
      </c>
      <c r="H264" s="46" t="str">
        <f aca="false">IF($D264="","",IF(COUNTIFS($B$3:$B$402,$B264,$D$3:$D$402,$D264)&gt;1,"Repetido",""))</f>
        <v/>
      </c>
    </row>
    <row r="265" customFormat="false" ht="18" hidden="false" customHeight="true" outlineLevel="0" collapsed="false">
      <c r="A265" s="40"/>
      <c r="B265" s="47" t="str">
        <f aca="false">IF($A265="","",IFERROR(INDEX(Equipamentos!$C$3:$C$52,MATCH($A265,Equipamentos!$A$3:$A$52,0)),""))</f>
        <v/>
      </c>
      <c r="C265" s="40"/>
      <c r="D265" s="40"/>
      <c r="E265" s="42"/>
      <c r="F265" s="45" t="str">
        <f aca="false">IF($D265="","",COUNTIF($B$3:$B265,$B265))</f>
        <v/>
      </c>
      <c r="G265" s="47" t="str">
        <f aca="false">IF($D265="","",CONCATENATE($B265,"|",$F265))</f>
        <v/>
      </c>
      <c r="H265" s="46" t="str">
        <f aca="false">IF($D265="","",IF(COUNTIFS($B$3:$B$402,$B265,$D$3:$D$402,$D265)&gt;1,"Repetido",""))</f>
        <v/>
      </c>
    </row>
    <row r="266" customFormat="false" ht="18" hidden="false" customHeight="true" outlineLevel="0" collapsed="false">
      <c r="A266" s="40"/>
      <c r="B266" s="47" t="str">
        <f aca="false">IF($A266="","",IFERROR(INDEX(Equipamentos!$C$3:$C$52,MATCH($A266,Equipamentos!$A$3:$A$52,0)),""))</f>
        <v/>
      </c>
      <c r="C266" s="40"/>
      <c r="D266" s="40"/>
      <c r="E266" s="42"/>
      <c r="F266" s="45" t="str">
        <f aca="false">IF($D266="","",COUNTIF($B$3:$B266,$B266))</f>
        <v/>
      </c>
      <c r="G266" s="47" t="str">
        <f aca="false">IF($D266="","",CONCATENATE($B266,"|",$F266))</f>
        <v/>
      </c>
      <c r="H266" s="46" t="str">
        <f aca="false">IF($D266="","",IF(COUNTIFS($B$3:$B$402,$B266,$D$3:$D$402,$D266)&gt;1,"Repetido",""))</f>
        <v/>
      </c>
    </row>
    <row r="267" customFormat="false" ht="18" hidden="false" customHeight="true" outlineLevel="0" collapsed="false">
      <c r="A267" s="40"/>
      <c r="B267" s="47" t="str">
        <f aca="false">IF($A267="","",IFERROR(INDEX(Equipamentos!$C$3:$C$52,MATCH($A267,Equipamentos!$A$3:$A$52,0)),""))</f>
        <v/>
      </c>
      <c r="C267" s="40"/>
      <c r="D267" s="40"/>
      <c r="E267" s="42"/>
      <c r="F267" s="45" t="str">
        <f aca="false">IF($D267="","",COUNTIF($B$3:$B267,$B267))</f>
        <v/>
      </c>
      <c r="G267" s="47" t="str">
        <f aca="false">IF($D267="","",CONCATENATE($B267,"|",$F267))</f>
        <v/>
      </c>
      <c r="H267" s="46" t="str">
        <f aca="false">IF($D267="","",IF(COUNTIFS($B$3:$B$402,$B267,$D$3:$D$402,$D267)&gt;1,"Repetido",""))</f>
        <v/>
      </c>
    </row>
    <row r="268" customFormat="false" ht="18" hidden="false" customHeight="true" outlineLevel="0" collapsed="false">
      <c r="A268" s="40"/>
      <c r="B268" s="47" t="str">
        <f aca="false">IF($A268="","",IFERROR(INDEX(Equipamentos!$C$3:$C$52,MATCH($A268,Equipamentos!$A$3:$A$52,0)),""))</f>
        <v/>
      </c>
      <c r="C268" s="40"/>
      <c r="D268" s="40"/>
      <c r="E268" s="42"/>
      <c r="F268" s="45" t="str">
        <f aca="false">IF($D268="","",COUNTIF($B$3:$B268,$B268))</f>
        <v/>
      </c>
      <c r="G268" s="47" t="str">
        <f aca="false">IF($D268="","",CONCATENATE($B268,"|",$F268))</f>
        <v/>
      </c>
      <c r="H268" s="46" t="str">
        <f aca="false">IF($D268="","",IF(COUNTIFS($B$3:$B$402,$B268,$D$3:$D$402,$D268)&gt;1,"Repetido",""))</f>
        <v/>
      </c>
    </row>
    <row r="269" customFormat="false" ht="18" hidden="false" customHeight="true" outlineLevel="0" collapsed="false">
      <c r="A269" s="40"/>
      <c r="B269" s="47" t="str">
        <f aca="false">IF($A269="","",IFERROR(INDEX(Equipamentos!$C$3:$C$52,MATCH($A269,Equipamentos!$A$3:$A$52,0)),""))</f>
        <v/>
      </c>
      <c r="C269" s="40"/>
      <c r="D269" s="40"/>
      <c r="E269" s="42"/>
      <c r="F269" s="45" t="str">
        <f aca="false">IF($D269="","",COUNTIF($B$3:$B269,$B269))</f>
        <v/>
      </c>
      <c r="G269" s="47" t="str">
        <f aca="false">IF($D269="","",CONCATENATE($B269,"|",$F269))</f>
        <v/>
      </c>
      <c r="H269" s="46" t="str">
        <f aca="false">IF($D269="","",IF(COUNTIFS($B$3:$B$402,$B269,$D$3:$D$402,$D269)&gt;1,"Repetido",""))</f>
        <v/>
      </c>
    </row>
    <row r="270" customFormat="false" ht="18" hidden="false" customHeight="true" outlineLevel="0" collapsed="false">
      <c r="A270" s="40"/>
      <c r="B270" s="47" t="str">
        <f aca="false">IF($A270="","",IFERROR(INDEX(Equipamentos!$C$3:$C$52,MATCH($A270,Equipamentos!$A$3:$A$52,0)),""))</f>
        <v/>
      </c>
      <c r="C270" s="40"/>
      <c r="D270" s="40"/>
      <c r="E270" s="42"/>
      <c r="F270" s="45" t="str">
        <f aca="false">IF($D270="","",COUNTIF($B$3:$B270,$B270))</f>
        <v/>
      </c>
      <c r="G270" s="47" t="str">
        <f aca="false">IF($D270="","",CONCATENATE($B270,"|",$F270))</f>
        <v/>
      </c>
      <c r="H270" s="46" t="str">
        <f aca="false">IF($D270="","",IF(COUNTIFS($B$3:$B$402,$B270,$D$3:$D$402,$D270)&gt;1,"Repetido",""))</f>
        <v/>
      </c>
    </row>
    <row r="271" customFormat="false" ht="18" hidden="false" customHeight="true" outlineLevel="0" collapsed="false">
      <c r="A271" s="40"/>
      <c r="B271" s="47" t="str">
        <f aca="false">IF($A271="","",IFERROR(INDEX(Equipamentos!$C$3:$C$52,MATCH($A271,Equipamentos!$A$3:$A$52,0)),""))</f>
        <v/>
      </c>
      <c r="C271" s="40"/>
      <c r="D271" s="40"/>
      <c r="E271" s="42"/>
      <c r="F271" s="45" t="str">
        <f aca="false">IF($D271="","",COUNTIF($B$3:$B271,$B271))</f>
        <v/>
      </c>
      <c r="G271" s="47" t="str">
        <f aca="false">IF($D271="","",CONCATENATE($B271,"|",$F271))</f>
        <v/>
      </c>
      <c r="H271" s="46" t="str">
        <f aca="false">IF($D271="","",IF(COUNTIFS($B$3:$B$402,$B271,$D$3:$D$402,$D271)&gt;1,"Repetido",""))</f>
        <v/>
      </c>
    </row>
    <row r="272" customFormat="false" ht="18" hidden="false" customHeight="true" outlineLevel="0" collapsed="false">
      <c r="A272" s="40"/>
      <c r="B272" s="47" t="str">
        <f aca="false">IF($A272="","",IFERROR(INDEX(Equipamentos!$C$3:$C$52,MATCH($A272,Equipamentos!$A$3:$A$52,0)),""))</f>
        <v/>
      </c>
      <c r="C272" s="40"/>
      <c r="D272" s="40"/>
      <c r="E272" s="42"/>
      <c r="F272" s="45" t="str">
        <f aca="false">IF($D272="","",COUNTIF($B$3:$B272,$B272))</f>
        <v/>
      </c>
      <c r="G272" s="47" t="str">
        <f aca="false">IF($D272="","",CONCATENATE($B272,"|",$F272))</f>
        <v/>
      </c>
      <c r="H272" s="46" t="str">
        <f aca="false">IF($D272="","",IF(COUNTIFS($B$3:$B$402,$B272,$D$3:$D$402,$D272)&gt;1,"Repetido",""))</f>
        <v/>
      </c>
    </row>
    <row r="273" customFormat="false" ht="18" hidden="false" customHeight="true" outlineLevel="0" collapsed="false">
      <c r="A273" s="40"/>
      <c r="B273" s="47" t="str">
        <f aca="false">IF($A273="","",IFERROR(INDEX(Equipamentos!$C$3:$C$52,MATCH($A273,Equipamentos!$A$3:$A$52,0)),""))</f>
        <v/>
      </c>
      <c r="C273" s="40"/>
      <c r="D273" s="40"/>
      <c r="E273" s="42"/>
      <c r="F273" s="45" t="str">
        <f aca="false">IF($D273="","",COUNTIF($B$3:$B273,$B273))</f>
        <v/>
      </c>
      <c r="G273" s="47" t="str">
        <f aca="false">IF($D273="","",CONCATENATE($B273,"|",$F273))</f>
        <v/>
      </c>
      <c r="H273" s="46" t="str">
        <f aca="false">IF($D273="","",IF(COUNTIFS($B$3:$B$402,$B273,$D$3:$D$402,$D273)&gt;1,"Repetido",""))</f>
        <v/>
      </c>
    </row>
    <row r="274" customFormat="false" ht="18" hidden="false" customHeight="true" outlineLevel="0" collapsed="false">
      <c r="A274" s="40"/>
      <c r="B274" s="47" t="str">
        <f aca="false">IF($A274="","",IFERROR(INDEX(Equipamentos!$C$3:$C$52,MATCH($A274,Equipamentos!$A$3:$A$52,0)),""))</f>
        <v/>
      </c>
      <c r="C274" s="40"/>
      <c r="D274" s="40"/>
      <c r="E274" s="42"/>
      <c r="F274" s="45" t="str">
        <f aca="false">IF($D274="","",COUNTIF($B$3:$B274,$B274))</f>
        <v/>
      </c>
      <c r="G274" s="47" t="str">
        <f aca="false">IF($D274="","",CONCATENATE($B274,"|",$F274))</f>
        <v/>
      </c>
      <c r="H274" s="46" t="str">
        <f aca="false">IF($D274="","",IF(COUNTIFS($B$3:$B$402,$B274,$D$3:$D$402,$D274)&gt;1,"Repetido",""))</f>
        <v/>
      </c>
    </row>
    <row r="275" customFormat="false" ht="18" hidden="false" customHeight="true" outlineLevel="0" collapsed="false">
      <c r="A275" s="40"/>
      <c r="B275" s="47" t="str">
        <f aca="false">IF($A275="","",IFERROR(INDEX(Equipamentos!$C$3:$C$52,MATCH($A275,Equipamentos!$A$3:$A$52,0)),""))</f>
        <v/>
      </c>
      <c r="C275" s="40"/>
      <c r="D275" s="40"/>
      <c r="E275" s="42"/>
      <c r="F275" s="45" t="str">
        <f aca="false">IF($D275="","",COUNTIF($B$3:$B275,$B275))</f>
        <v/>
      </c>
      <c r="G275" s="47" t="str">
        <f aca="false">IF($D275="","",CONCATENATE($B275,"|",$F275))</f>
        <v/>
      </c>
      <c r="H275" s="46" t="str">
        <f aca="false">IF($D275="","",IF(COUNTIFS($B$3:$B$402,$B275,$D$3:$D$402,$D275)&gt;1,"Repetido",""))</f>
        <v/>
      </c>
    </row>
    <row r="276" customFormat="false" ht="18" hidden="false" customHeight="true" outlineLevel="0" collapsed="false">
      <c r="A276" s="40"/>
      <c r="B276" s="47" t="str">
        <f aca="false">IF($A276="","",IFERROR(INDEX(Equipamentos!$C$3:$C$52,MATCH($A276,Equipamentos!$A$3:$A$52,0)),""))</f>
        <v/>
      </c>
      <c r="C276" s="40"/>
      <c r="D276" s="40"/>
      <c r="E276" s="42"/>
      <c r="F276" s="45" t="str">
        <f aca="false">IF($D276="","",COUNTIF($B$3:$B276,$B276))</f>
        <v/>
      </c>
      <c r="G276" s="47" t="str">
        <f aca="false">IF($D276="","",CONCATENATE($B276,"|",$F276))</f>
        <v/>
      </c>
      <c r="H276" s="46" t="str">
        <f aca="false">IF($D276="","",IF(COUNTIFS($B$3:$B$402,$B276,$D$3:$D$402,$D276)&gt;1,"Repetido",""))</f>
        <v/>
      </c>
    </row>
    <row r="277" customFormat="false" ht="18" hidden="false" customHeight="true" outlineLevel="0" collapsed="false">
      <c r="A277" s="40"/>
      <c r="B277" s="47" t="str">
        <f aca="false">IF($A277="","",IFERROR(INDEX(Equipamentos!$C$3:$C$52,MATCH($A277,Equipamentos!$A$3:$A$52,0)),""))</f>
        <v/>
      </c>
      <c r="C277" s="40"/>
      <c r="D277" s="40"/>
      <c r="E277" s="42"/>
      <c r="F277" s="45" t="str">
        <f aca="false">IF($D277="","",COUNTIF($B$3:$B277,$B277))</f>
        <v/>
      </c>
      <c r="G277" s="47" t="str">
        <f aca="false">IF($D277="","",CONCATENATE($B277,"|",$F277))</f>
        <v/>
      </c>
      <c r="H277" s="46" t="str">
        <f aca="false">IF($D277="","",IF(COUNTIFS($B$3:$B$402,$B277,$D$3:$D$402,$D277)&gt;1,"Repetido",""))</f>
        <v/>
      </c>
    </row>
    <row r="278" customFormat="false" ht="18" hidden="false" customHeight="true" outlineLevel="0" collapsed="false">
      <c r="A278" s="40"/>
      <c r="B278" s="47" t="str">
        <f aca="false">IF($A278="","",IFERROR(INDEX(Equipamentos!$C$3:$C$52,MATCH($A278,Equipamentos!$A$3:$A$52,0)),""))</f>
        <v/>
      </c>
      <c r="C278" s="40"/>
      <c r="D278" s="40"/>
      <c r="E278" s="42"/>
      <c r="F278" s="45" t="str">
        <f aca="false">IF($D278="","",COUNTIF($B$3:$B278,$B278))</f>
        <v/>
      </c>
      <c r="G278" s="47" t="str">
        <f aca="false">IF($D278="","",CONCATENATE($B278,"|",$F278))</f>
        <v/>
      </c>
      <c r="H278" s="46" t="str">
        <f aca="false">IF($D278="","",IF(COUNTIFS($B$3:$B$402,$B278,$D$3:$D$402,$D278)&gt;1,"Repetido",""))</f>
        <v/>
      </c>
    </row>
    <row r="279" customFormat="false" ht="18" hidden="false" customHeight="true" outlineLevel="0" collapsed="false">
      <c r="A279" s="40"/>
      <c r="B279" s="47" t="str">
        <f aca="false">IF($A279="","",IFERROR(INDEX(Equipamentos!$C$3:$C$52,MATCH($A279,Equipamentos!$A$3:$A$52,0)),""))</f>
        <v/>
      </c>
      <c r="C279" s="40"/>
      <c r="D279" s="40"/>
      <c r="E279" s="42"/>
      <c r="F279" s="45" t="str">
        <f aca="false">IF($D279="","",COUNTIF($B$3:$B279,$B279))</f>
        <v/>
      </c>
      <c r="G279" s="47" t="str">
        <f aca="false">IF($D279="","",CONCATENATE($B279,"|",$F279))</f>
        <v/>
      </c>
      <c r="H279" s="46" t="str">
        <f aca="false">IF($D279="","",IF(COUNTIFS($B$3:$B$402,$B279,$D$3:$D$402,$D279)&gt;1,"Repetido",""))</f>
        <v/>
      </c>
    </row>
    <row r="280" customFormat="false" ht="18" hidden="false" customHeight="true" outlineLevel="0" collapsed="false">
      <c r="A280" s="40"/>
      <c r="B280" s="47" t="str">
        <f aca="false">IF($A280="","",IFERROR(INDEX(Equipamentos!$C$3:$C$52,MATCH($A280,Equipamentos!$A$3:$A$52,0)),""))</f>
        <v/>
      </c>
      <c r="C280" s="40"/>
      <c r="D280" s="40"/>
      <c r="E280" s="42"/>
      <c r="F280" s="45" t="str">
        <f aca="false">IF($D280="","",COUNTIF($B$3:$B280,$B280))</f>
        <v/>
      </c>
      <c r="G280" s="47" t="str">
        <f aca="false">IF($D280="","",CONCATENATE($B280,"|",$F280))</f>
        <v/>
      </c>
      <c r="H280" s="46" t="str">
        <f aca="false">IF($D280="","",IF(COUNTIFS($B$3:$B$402,$B280,$D$3:$D$402,$D280)&gt;1,"Repetido",""))</f>
        <v/>
      </c>
    </row>
    <row r="281" customFormat="false" ht="18" hidden="false" customHeight="true" outlineLevel="0" collapsed="false">
      <c r="A281" s="40"/>
      <c r="B281" s="47" t="str">
        <f aca="false">IF($A281="","",IFERROR(INDEX(Equipamentos!$C$3:$C$52,MATCH($A281,Equipamentos!$A$3:$A$52,0)),""))</f>
        <v/>
      </c>
      <c r="C281" s="40"/>
      <c r="D281" s="40"/>
      <c r="E281" s="42"/>
      <c r="F281" s="45" t="str">
        <f aca="false">IF($D281="","",COUNTIF($B$3:$B281,$B281))</f>
        <v/>
      </c>
      <c r="G281" s="47" t="str">
        <f aca="false">IF($D281="","",CONCATENATE($B281,"|",$F281))</f>
        <v/>
      </c>
      <c r="H281" s="46" t="str">
        <f aca="false">IF($D281="","",IF(COUNTIFS($B$3:$B$402,$B281,$D$3:$D$402,$D281)&gt;1,"Repetido",""))</f>
        <v/>
      </c>
    </row>
    <row r="282" customFormat="false" ht="18" hidden="false" customHeight="true" outlineLevel="0" collapsed="false">
      <c r="A282" s="40"/>
      <c r="B282" s="47" t="str">
        <f aca="false">IF($A282="","",IFERROR(INDEX(Equipamentos!$C$3:$C$52,MATCH($A282,Equipamentos!$A$3:$A$52,0)),""))</f>
        <v/>
      </c>
      <c r="C282" s="40"/>
      <c r="D282" s="40"/>
      <c r="E282" s="42"/>
      <c r="F282" s="45" t="str">
        <f aca="false">IF($D282="","",COUNTIF($B$3:$B282,$B282))</f>
        <v/>
      </c>
      <c r="G282" s="47" t="str">
        <f aca="false">IF($D282="","",CONCATENATE($B282,"|",$F282))</f>
        <v/>
      </c>
      <c r="H282" s="46" t="str">
        <f aca="false">IF($D282="","",IF(COUNTIFS($B$3:$B$402,$B282,$D$3:$D$402,$D282)&gt;1,"Repetido",""))</f>
        <v/>
      </c>
    </row>
    <row r="283" customFormat="false" ht="18" hidden="false" customHeight="true" outlineLevel="0" collapsed="false">
      <c r="A283" s="40"/>
      <c r="B283" s="47" t="str">
        <f aca="false">IF($A283="","",IFERROR(INDEX(Equipamentos!$C$3:$C$52,MATCH($A283,Equipamentos!$A$3:$A$52,0)),""))</f>
        <v/>
      </c>
      <c r="C283" s="40"/>
      <c r="D283" s="40"/>
      <c r="E283" s="42"/>
      <c r="F283" s="45" t="str">
        <f aca="false">IF($D283="","",COUNTIF($B$3:$B283,$B283))</f>
        <v/>
      </c>
      <c r="G283" s="47" t="str">
        <f aca="false">IF($D283="","",CONCATENATE($B283,"|",$F283))</f>
        <v/>
      </c>
      <c r="H283" s="46" t="str">
        <f aca="false">IF($D283="","",IF(COUNTIFS($B$3:$B$402,$B283,$D$3:$D$402,$D283)&gt;1,"Repetido",""))</f>
        <v/>
      </c>
    </row>
    <row r="284" customFormat="false" ht="18" hidden="false" customHeight="true" outlineLevel="0" collapsed="false">
      <c r="A284" s="40"/>
      <c r="B284" s="47" t="str">
        <f aca="false">IF($A284="","",IFERROR(INDEX(Equipamentos!$C$3:$C$52,MATCH($A284,Equipamentos!$A$3:$A$52,0)),""))</f>
        <v/>
      </c>
      <c r="C284" s="40"/>
      <c r="D284" s="40"/>
      <c r="E284" s="42"/>
      <c r="F284" s="45" t="str">
        <f aca="false">IF($D284="","",COUNTIF($B$3:$B284,$B284))</f>
        <v/>
      </c>
      <c r="G284" s="47" t="str">
        <f aca="false">IF($D284="","",CONCATENATE($B284,"|",$F284))</f>
        <v/>
      </c>
      <c r="H284" s="46" t="str">
        <f aca="false">IF($D284="","",IF(COUNTIFS($B$3:$B$402,$B284,$D$3:$D$402,$D284)&gt;1,"Repetido",""))</f>
        <v/>
      </c>
    </row>
    <row r="285" customFormat="false" ht="18" hidden="false" customHeight="true" outlineLevel="0" collapsed="false">
      <c r="A285" s="40"/>
      <c r="B285" s="47" t="str">
        <f aca="false">IF($A285="","",IFERROR(INDEX(Equipamentos!$C$3:$C$52,MATCH($A285,Equipamentos!$A$3:$A$52,0)),""))</f>
        <v/>
      </c>
      <c r="C285" s="40"/>
      <c r="D285" s="40"/>
      <c r="E285" s="42"/>
      <c r="F285" s="45" t="str">
        <f aca="false">IF($D285="","",COUNTIF($B$3:$B285,$B285))</f>
        <v/>
      </c>
      <c r="G285" s="47" t="str">
        <f aca="false">IF($D285="","",CONCATENATE($B285,"|",$F285))</f>
        <v/>
      </c>
      <c r="H285" s="46" t="str">
        <f aca="false">IF($D285="","",IF(COUNTIFS($B$3:$B$402,$B285,$D$3:$D$402,$D285)&gt;1,"Repetido",""))</f>
        <v/>
      </c>
    </row>
    <row r="286" customFormat="false" ht="18" hidden="false" customHeight="true" outlineLevel="0" collapsed="false">
      <c r="A286" s="40"/>
      <c r="B286" s="47" t="str">
        <f aca="false">IF($A286="","",IFERROR(INDEX(Equipamentos!$C$3:$C$52,MATCH($A286,Equipamentos!$A$3:$A$52,0)),""))</f>
        <v/>
      </c>
      <c r="C286" s="40"/>
      <c r="D286" s="40"/>
      <c r="E286" s="42"/>
      <c r="F286" s="45" t="str">
        <f aca="false">IF($D286="","",COUNTIF($B$3:$B286,$B286))</f>
        <v/>
      </c>
      <c r="G286" s="47" t="str">
        <f aca="false">IF($D286="","",CONCATENATE($B286,"|",$F286))</f>
        <v/>
      </c>
      <c r="H286" s="46" t="str">
        <f aca="false">IF($D286="","",IF(COUNTIFS($B$3:$B$402,$B286,$D$3:$D$402,$D286)&gt;1,"Repetido",""))</f>
        <v/>
      </c>
    </row>
    <row r="287" customFormat="false" ht="18" hidden="false" customHeight="true" outlineLevel="0" collapsed="false">
      <c r="A287" s="40"/>
      <c r="B287" s="47" t="str">
        <f aca="false">IF($A287="","",IFERROR(INDEX(Equipamentos!$C$3:$C$52,MATCH($A287,Equipamentos!$A$3:$A$52,0)),""))</f>
        <v/>
      </c>
      <c r="C287" s="40"/>
      <c r="D287" s="40"/>
      <c r="E287" s="42"/>
      <c r="F287" s="45" t="str">
        <f aca="false">IF($D287="","",COUNTIF($B$3:$B287,$B287))</f>
        <v/>
      </c>
      <c r="G287" s="47" t="str">
        <f aca="false">IF($D287="","",CONCATENATE($B287,"|",$F287))</f>
        <v/>
      </c>
      <c r="H287" s="46" t="str">
        <f aca="false">IF($D287="","",IF(COUNTIFS($B$3:$B$402,$B287,$D$3:$D$402,$D287)&gt;1,"Repetido",""))</f>
        <v/>
      </c>
    </row>
    <row r="288" customFormat="false" ht="18" hidden="false" customHeight="true" outlineLevel="0" collapsed="false">
      <c r="A288" s="40"/>
      <c r="B288" s="47" t="str">
        <f aca="false">IF($A288="","",IFERROR(INDEX(Equipamentos!$C$3:$C$52,MATCH($A288,Equipamentos!$A$3:$A$52,0)),""))</f>
        <v/>
      </c>
      <c r="C288" s="40"/>
      <c r="D288" s="40"/>
      <c r="E288" s="42"/>
      <c r="F288" s="45" t="str">
        <f aca="false">IF($D288="","",COUNTIF($B$3:$B288,$B288))</f>
        <v/>
      </c>
      <c r="G288" s="47" t="str">
        <f aca="false">IF($D288="","",CONCATENATE($B288,"|",$F288))</f>
        <v/>
      </c>
      <c r="H288" s="46" t="str">
        <f aca="false">IF($D288="","",IF(COUNTIFS($B$3:$B$402,$B288,$D$3:$D$402,$D288)&gt;1,"Repetido",""))</f>
        <v/>
      </c>
    </row>
    <row r="289" customFormat="false" ht="18" hidden="false" customHeight="true" outlineLevel="0" collapsed="false">
      <c r="A289" s="40"/>
      <c r="B289" s="47" t="str">
        <f aca="false">IF($A289="","",IFERROR(INDEX(Equipamentos!$C$3:$C$52,MATCH($A289,Equipamentos!$A$3:$A$52,0)),""))</f>
        <v/>
      </c>
      <c r="C289" s="40"/>
      <c r="D289" s="40"/>
      <c r="E289" s="42"/>
      <c r="F289" s="45" t="str">
        <f aca="false">IF($D289="","",COUNTIF($B$3:$B289,$B289))</f>
        <v/>
      </c>
      <c r="G289" s="47" t="str">
        <f aca="false">IF($D289="","",CONCATENATE($B289,"|",$F289))</f>
        <v/>
      </c>
      <c r="H289" s="46" t="str">
        <f aca="false">IF($D289="","",IF(COUNTIFS($B$3:$B$402,$B289,$D$3:$D$402,$D289)&gt;1,"Repetido",""))</f>
        <v/>
      </c>
    </row>
    <row r="290" customFormat="false" ht="18" hidden="false" customHeight="true" outlineLevel="0" collapsed="false">
      <c r="A290" s="40"/>
      <c r="B290" s="47" t="str">
        <f aca="false">IF($A290="","",IFERROR(INDEX(Equipamentos!$C$3:$C$52,MATCH($A290,Equipamentos!$A$3:$A$52,0)),""))</f>
        <v/>
      </c>
      <c r="C290" s="40"/>
      <c r="D290" s="40"/>
      <c r="E290" s="42"/>
      <c r="F290" s="45" t="str">
        <f aca="false">IF($D290="","",COUNTIF($B$3:$B290,$B290))</f>
        <v/>
      </c>
      <c r="G290" s="47" t="str">
        <f aca="false">IF($D290="","",CONCATENATE($B290,"|",$F290))</f>
        <v/>
      </c>
      <c r="H290" s="46" t="str">
        <f aca="false">IF($D290="","",IF(COUNTIFS($B$3:$B$402,$B290,$D$3:$D$402,$D290)&gt;1,"Repetido",""))</f>
        <v/>
      </c>
    </row>
    <row r="291" customFormat="false" ht="18" hidden="false" customHeight="true" outlineLevel="0" collapsed="false">
      <c r="A291" s="40"/>
      <c r="B291" s="47" t="str">
        <f aca="false">IF($A291="","",IFERROR(INDEX(Equipamentos!$C$3:$C$52,MATCH($A291,Equipamentos!$A$3:$A$52,0)),""))</f>
        <v/>
      </c>
      <c r="C291" s="40"/>
      <c r="D291" s="40"/>
      <c r="E291" s="42"/>
      <c r="F291" s="45" t="str">
        <f aca="false">IF($D291="","",COUNTIF($B$3:$B291,$B291))</f>
        <v/>
      </c>
      <c r="G291" s="47" t="str">
        <f aca="false">IF($D291="","",CONCATENATE($B291,"|",$F291))</f>
        <v/>
      </c>
      <c r="H291" s="46" t="str">
        <f aca="false">IF($D291="","",IF(COUNTIFS($B$3:$B$402,$B291,$D$3:$D$402,$D291)&gt;1,"Repetido",""))</f>
        <v/>
      </c>
    </row>
    <row r="292" customFormat="false" ht="18" hidden="false" customHeight="true" outlineLevel="0" collapsed="false">
      <c r="A292" s="40"/>
      <c r="B292" s="47" t="str">
        <f aca="false">IF($A292="","",IFERROR(INDEX(Equipamentos!$C$3:$C$52,MATCH($A292,Equipamentos!$A$3:$A$52,0)),""))</f>
        <v/>
      </c>
      <c r="C292" s="40"/>
      <c r="D292" s="40"/>
      <c r="E292" s="42"/>
      <c r="F292" s="45" t="str">
        <f aca="false">IF($D292="","",COUNTIF($B$3:$B292,$B292))</f>
        <v/>
      </c>
      <c r="G292" s="47" t="str">
        <f aca="false">IF($D292="","",CONCATENATE($B292,"|",$F292))</f>
        <v/>
      </c>
      <c r="H292" s="46" t="str">
        <f aca="false">IF($D292="","",IF(COUNTIFS($B$3:$B$402,$B292,$D$3:$D$402,$D292)&gt;1,"Repetido",""))</f>
        <v/>
      </c>
    </row>
    <row r="293" customFormat="false" ht="18" hidden="false" customHeight="true" outlineLevel="0" collapsed="false">
      <c r="A293" s="40"/>
      <c r="B293" s="47" t="str">
        <f aca="false">IF($A293="","",IFERROR(INDEX(Equipamentos!$C$3:$C$52,MATCH($A293,Equipamentos!$A$3:$A$52,0)),""))</f>
        <v/>
      </c>
      <c r="C293" s="40"/>
      <c r="D293" s="40"/>
      <c r="E293" s="42"/>
      <c r="F293" s="45" t="str">
        <f aca="false">IF($D293="","",COUNTIF($B$3:$B293,$B293))</f>
        <v/>
      </c>
      <c r="G293" s="47" t="str">
        <f aca="false">IF($D293="","",CONCATENATE($B293,"|",$F293))</f>
        <v/>
      </c>
      <c r="H293" s="46" t="str">
        <f aca="false">IF($D293="","",IF(COUNTIFS($B$3:$B$402,$B293,$D$3:$D$402,$D293)&gt;1,"Repetido",""))</f>
        <v/>
      </c>
    </row>
    <row r="294" customFormat="false" ht="18" hidden="false" customHeight="true" outlineLevel="0" collapsed="false">
      <c r="A294" s="40"/>
      <c r="B294" s="47" t="str">
        <f aca="false">IF($A294="","",IFERROR(INDEX(Equipamentos!$C$3:$C$52,MATCH($A294,Equipamentos!$A$3:$A$52,0)),""))</f>
        <v/>
      </c>
      <c r="C294" s="40"/>
      <c r="D294" s="40"/>
      <c r="E294" s="42"/>
      <c r="F294" s="45" t="str">
        <f aca="false">IF($D294="","",COUNTIF($B$3:$B294,$B294))</f>
        <v/>
      </c>
      <c r="G294" s="47" t="str">
        <f aca="false">IF($D294="","",CONCATENATE($B294,"|",$F294))</f>
        <v/>
      </c>
      <c r="H294" s="46" t="str">
        <f aca="false">IF($D294="","",IF(COUNTIFS($B$3:$B$402,$B294,$D$3:$D$402,$D294)&gt;1,"Repetido",""))</f>
        <v/>
      </c>
    </row>
    <row r="295" customFormat="false" ht="18" hidden="false" customHeight="true" outlineLevel="0" collapsed="false">
      <c r="A295" s="40"/>
      <c r="B295" s="47" t="str">
        <f aca="false">IF($A295="","",IFERROR(INDEX(Equipamentos!$C$3:$C$52,MATCH($A295,Equipamentos!$A$3:$A$52,0)),""))</f>
        <v/>
      </c>
      <c r="C295" s="40"/>
      <c r="D295" s="40"/>
      <c r="E295" s="42"/>
      <c r="F295" s="45" t="str">
        <f aca="false">IF($D295="","",COUNTIF($B$3:$B295,$B295))</f>
        <v/>
      </c>
      <c r="G295" s="47" t="str">
        <f aca="false">IF($D295="","",CONCATENATE($B295,"|",$F295))</f>
        <v/>
      </c>
      <c r="H295" s="46" t="str">
        <f aca="false">IF($D295="","",IF(COUNTIFS($B$3:$B$402,$B295,$D$3:$D$402,$D295)&gt;1,"Repetido",""))</f>
        <v/>
      </c>
    </row>
    <row r="296" customFormat="false" ht="18" hidden="false" customHeight="true" outlineLevel="0" collapsed="false">
      <c r="A296" s="40"/>
      <c r="B296" s="47" t="str">
        <f aca="false">IF($A296="","",IFERROR(INDEX(Equipamentos!$C$3:$C$52,MATCH($A296,Equipamentos!$A$3:$A$52,0)),""))</f>
        <v/>
      </c>
      <c r="C296" s="40"/>
      <c r="D296" s="40"/>
      <c r="E296" s="42"/>
      <c r="F296" s="45" t="str">
        <f aca="false">IF($D296="","",COUNTIF($B$3:$B296,$B296))</f>
        <v/>
      </c>
      <c r="G296" s="47" t="str">
        <f aca="false">IF($D296="","",CONCATENATE($B296,"|",$F296))</f>
        <v/>
      </c>
      <c r="H296" s="46" t="str">
        <f aca="false">IF($D296="","",IF(COUNTIFS($B$3:$B$402,$B296,$D$3:$D$402,$D296)&gt;1,"Repetido",""))</f>
        <v/>
      </c>
    </row>
    <row r="297" customFormat="false" ht="18" hidden="false" customHeight="true" outlineLevel="0" collapsed="false">
      <c r="A297" s="40"/>
      <c r="B297" s="47" t="str">
        <f aca="false">IF($A297="","",IFERROR(INDEX(Equipamentos!$C$3:$C$52,MATCH($A297,Equipamentos!$A$3:$A$52,0)),""))</f>
        <v/>
      </c>
      <c r="C297" s="40"/>
      <c r="D297" s="40"/>
      <c r="E297" s="42"/>
      <c r="F297" s="45" t="str">
        <f aca="false">IF($D297="","",COUNTIF($B$3:$B297,$B297))</f>
        <v/>
      </c>
      <c r="G297" s="47" t="str">
        <f aca="false">IF($D297="","",CONCATENATE($B297,"|",$F297))</f>
        <v/>
      </c>
      <c r="H297" s="46" t="str">
        <f aca="false">IF($D297="","",IF(COUNTIFS($B$3:$B$402,$B297,$D$3:$D$402,$D297)&gt;1,"Repetido",""))</f>
        <v/>
      </c>
    </row>
    <row r="298" customFormat="false" ht="18" hidden="false" customHeight="true" outlineLevel="0" collapsed="false">
      <c r="A298" s="40"/>
      <c r="B298" s="47" t="str">
        <f aca="false">IF($A298="","",IFERROR(INDEX(Equipamentos!$C$3:$C$52,MATCH($A298,Equipamentos!$A$3:$A$52,0)),""))</f>
        <v/>
      </c>
      <c r="C298" s="40"/>
      <c r="D298" s="40"/>
      <c r="E298" s="42"/>
      <c r="F298" s="45" t="str">
        <f aca="false">IF($D298="","",COUNTIF($B$3:$B298,$B298))</f>
        <v/>
      </c>
      <c r="G298" s="47" t="str">
        <f aca="false">IF($D298="","",CONCATENATE($B298,"|",$F298))</f>
        <v/>
      </c>
      <c r="H298" s="46" t="str">
        <f aca="false">IF($D298="","",IF(COUNTIFS($B$3:$B$402,$B298,$D$3:$D$402,$D298)&gt;1,"Repetido",""))</f>
        <v/>
      </c>
    </row>
    <row r="299" customFormat="false" ht="18" hidden="false" customHeight="true" outlineLevel="0" collapsed="false">
      <c r="A299" s="40"/>
      <c r="B299" s="47" t="str">
        <f aca="false">IF($A299="","",IFERROR(INDEX(Equipamentos!$C$3:$C$52,MATCH($A299,Equipamentos!$A$3:$A$52,0)),""))</f>
        <v/>
      </c>
      <c r="C299" s="40"/>
      <c r="D299" s="40"/>
      <c r="E299" s="42"/>
      <c r="F299" s="45" t="str">
        <f aca="false">IF($D299="","",COUNTIF($B$3:$B299,$B299))</f>
        <v/>
      </c>
      <c r="G299" s="47" t="str">
        <f aca="false">IF($D299="","",CONCATENATE($B299,"|",$F299))</f>
        <v/>
      </c>
      <c r="H299" s="46" t="str">
        <f aca="false">IF($D299="","",IF(COUNTIFS($B$3:$B$402,$B299,$D$3:$D$402,$D299)&gt;1,"Repetido",""))</f>
        <v/>
      </c>
    </row>
    <row r="300" customFormat="false" ht="18" hidden="false" customHeight="true" outlineLevel="0" collapsed="false">
      <c r="A300" s="40"/>
      <c r="B300" s="47" t="str">
        <f aca="false">IF($A300="","",IFERROR(INDEX(Equipamentos!$C$3:$C$52,MATCH($A300,Equipamentos!$A$3:$A$52,0)),""))</f>
        <v/>
      </c>
      <c r="C300" s="40"/>
      <c r="D300" s="40"/>
      <c r="E300" s="42"/>
      <c r="F300" s="45" t="str">
        <f aca="false">IF($D300="","",COUNTIF($B$3:$B300,$B300))</f>
        <v/>
      </c>
      <c r="G300" s="47" t="str">
        <f aca="false">IF($D300="","",CONCATENATE($B300,"|",$F300))</f>
        <v/>
      </c>
      <c r="H300" s="46" t="str">
        <f aca="false">IF($D300="","",IF(COUNTIFS($B$3:$B$402,$B300,$D$3:$D$402,$D300)&gt;1,"Repetido",""))</f>
        <v/>
      </c>
    </row>
    <row r="301" customFormat="false" ht="18" hidden="false" customHeight="true" outlineLevel="0" collapsed="false">
      <c r="A301" s="40"/>
      <c r="B301" s="47" t="str">
        <f aca="false">IF($A301="","",IFERROR(INDEX(Equipamentos!$C$3:$C$52,MATCH($A301,Equipamentos!$A$3:$A$52,0)),""))</f>
        <v/>
      </c>
      <c r="C301" s="40"/>
      <c r="D301" s="40"/>
      <c r="E301" s="42"/>
      <c r="F301" s="45" t="str">
        <f aca="false">IF($D301="","",COUNTIF($B$3:$B301,$B301))</f>
        <v/>
      </c>
      <c r="G301" s="47" t="str">
        <f aca="false">IF($D301="","",CONCATENATE($B301,"|",$F301))</f>
        <v/>
      </c>
      <c r="H301" s="46" t="str">
        <f aca="false">IF($D301="","",IF(COUNTIFS($B$3:$B$402,$B301,$D$3:$D$402,$D301)&gt;1,"Repetido",""))</f>
        <v/>
      </c>
    </row>
    <row r="302" customFormat="false" ht="18" hidden="false" customHeight="true" outlineLevel="0" collapsed="false">
      <c r="A302" s="40"/>
      <c r="B302" s="47" t="str">
        <f aca="false">IF($A302="","",IFERROR(INDEX(Equipamentos!$C$3:$C$52,MATCH($A302,Equipamentos!$A$3:$A$52,0)),""))</f>
        <v/>
      </c>
      <c r="C302" s="40"/>
      <c r="D302" s="40"/>
      <c r="E302" s="42"/>
      <c r="F302" s="45" t="str">
        <f aca="false">IF($D302="","",COUNTIF($B$3:$B302,$B302))</f>
        <v/>
      </c>
      <c r="G302" s="47" t="str">
        <f aca="false">IF($D302="","",CONCATENATE($B302,"|",$F302))</f>
        <v/>
      </c>
      <c r="H302" s="46" t="str">
        <f aca="false">IF($D302="","",IF(COUNTIFS($B$3:$B$402,$B302,$D$3:$D$402,$D302)&gt;1,"Repetido",""))</f>
        <v/>
      </c>
    </row>
    <row r="303" customFormat="false" ht="18" hidden="false" customHeight="true" outlineLevel="0" collapsed="false">
      <c r="A303" s="40"/>
      <c r="B303" s="47" t="str">
        <f aca="false">IF($A303="","",IFERROR(INDEX(Equipamentos!$C$3:$C$52,MATCH($A303,Equipamentos!$A$3:$A$52,0)),""))</f>
        <v/>
      </c>
      <c r="C303" s="40"/>
      <c r="D303" s="40"/>
      <c r="E303" s="42"/>
      <c r="F303" s="45" t="str">
        <f aca="false">IF($D303="","",COUNTIF($B$3:$B303,$B303))</f>
        <v/>
      </c>
      <c r="G303" s="47" t="str">
        <f aca="false">IF($D303="","",CONCATENATE($B303,"|",$F303))</f>
        <v/>
      </c>
      <c r="H303" s="46" t="str">
        <f aca="false">IF($D303="","",IF(COUNTIFS($B$3:$B$402,$B303,$D$3:$D$402,$D303)&gt;1,"Repetido",""))</f>
        <v/>
      </c>
    </row>
    <row r="304" customFormat="false" ht="18" hidden="false" customHeight="true" outlineLevel="0" collapsed="false">
      <c r="A304" s="40"/>
      <c r="B304" s="47" t="str">
        <f aca="false">IF($A304="","",IFERROR(INDEX(Equipamentos!$C$3:$C$52,MATCH($A304,Equipamentos!$A$3:$A$52,0)),""))</f>
        <v/>
      </c>
      <c r="C304" s="40"/>
      <c r="D304" s="40"/>
      <c r="E304" s="42"/>
      <c r="F304" s="45" t="str">
        <f aca="false">IF($D304="","",COUNTIF($B$3:$B304,$B304))</f>
        <v/>
      </c>
      <c r="G304" s="47" t="str">
        <f aca="false">IF($D304="","",CONCATENATE($B304,"|",$F304))</f>
        <v/>
      </c>
      <c r="H304" s="46" t="str">
        <f aca="false">IF($D304="","",IF(COUNTIFS($B$3:$B$402,$B304,$D$3:$D$402,$D304)&gt;1,"Repetido",""))</f>
        <v/>
      </c>
    </row>
    <row r="305" customFormat="false" ht="18" hidden="false" customHeight="true" outlineLevel="0" collapsed="false">
      <c r="A305" s="40"/>
      <c r="B305" s="47" t="str">
        <f aca="false">IF($A305="","",IFERROR(INDEX(Equipamentos!$C$3:$C$52,MATCH($A305,Equipamentos!$A$3:$A$52,0)),""))</f>
        <v/>
      </c>
      <c r="C305" s="40"/>
      <c r="D305" s="40"/>
      <c r="E305" s="42"/>
      <c r="F305" s="45" t="str">
        <f aca="false">IF($D305="","",COUNTIF($B$3:$B305,$B305))</f>
        <v/>
      </c>
      <c r="G305" s="47" t="str">
        <f aca="false">IF($D305="","",CONCATENATE($B305,"|",$F305))</f>
        <v/>
      </c>
      <c r="H305" s="46" t="str">
        <f aca="false">IF($D305="","",IF(COUNTIFS($B$3:$B$402,$B305,$D$3:$D$402,$D305)&gt;1,"Repetido",""))</f>
        <v/>
      </c>
    </row>
    <row r="306" customFormat="false" ht="18" hidden="false" customHeight="true" outlineLevel="0" collapsed="false">
      <c r="A306" s="40"/>
      <c r="B306" s="47" t="str">
        <f aca="false">IF($A306="","",IFERROR(INDEX(Equipamentos!$C$3:$C$52,MATCH($A306,Equipamentos!$A$3:$A$52,0)),""))</f>
        <v/>
      </c>
      <c r="C306" s="40"/>
      <c r="D306" s="40"/>
      <c r="E306" s="42"/>
      <c r="F306" s="45" t="str">
        <f aca="false">IF($D306="","",COUNTIF($B$3:$B306,$B306))</f>
        <v/>
      </c>
      <c r="G306" s="47" t="str">
        <f aca="false">IF($D306="","",CONCATENATE($B306,"|",$F306))</f>
        <v/>
      </c>
      <c r="H306" s="46" t="str">
        <f aca="false">IF($D306="","",IF(COUNTIFS($B$3:$B$402,$B306,$D$3:$D$402,$D306)&gt;1,"Repetido",""))</f>
        <v/>
      </c>
    </row>
    <row r="307" customFormat="false" ht="18" hidden="false" customHeight="true" outlineLevel="0" collapsed="false">
      <c r="A307" s="40"/>
      <c r="B307" s="47" t="str">
        <f aca="false">IF($A307="","",IFERROR(INDEX(Equipamentos!$C$3:$C$52,MATCH($A307,Equipamentos!$A$3:$A$52,0)),""))</f>
        <v/>
      </c>
      <c r="C307" s="40"/>
      <c r="D307" s="40"/>
      <c r="E307" s="42"/>
      <c r="F307" s="45" t="str">
        <f aca="false">IF($D307="","",COUNTIF($B$3:$B307,$B307))</f>
        <v/>
      </c>
      <c r="G307" s="47" t="str">
        <f aca="false">IF($D307="","",CONCATENATE($B307,"|",$F307))</f>
        <v/>
      </c>
      <c r="H307" s="46" t="str">
        <f aca="false">IF($D307="","",IF(COUNTIFS($B$3:$B$402,$B307,$D$3:$D$402,$D307)&gt;1,"Repetido",""))</f>
        <v/>
      </c>
    </row>
    <row r="308" customFormat="false" ht="18" hidden="false" customHeight="true" outlineLevel="0" collapsed="false">
      <c r="A308" s="40"/>
      <c r="B308" s="47" t="str">
        <f aca="false">IF($A308="","",IFERROR(INDEX(Equipamentos!$C$3:$C$52,MATCH($A308,Equipamentos!$A$3:$A$52,0)),""))</f>
        <v/>
      </c>
      <c r="C308" s="40"/>
      <c r="D308" s="40"/>
      <c r="E308" s="42"/>
      <c r="F308" s="45" t="str">
        <f aca="false">IF($D308="","",COUNTIF($B$3:$B308,$B308))</f>
        <v/>
      </c>
      <c r="G308" s="47" t="str">
        <f aca="false">IF($D308="","",CONCATENATE($B308,"|",$F308))</f>
        <v/>
      </c>
      <c r="H308" s="46" t="str">
        <f aca="false">IF($D308="","",IF(COUNTIFS($B$3:$B$402,$B308,$D$3:$D$402,$D308)&gt;1,"Repetido",""))</f>
        <v/>
      </c>
    </row>
    <row r="309" customFormat="false" ht="18" hidden="false" customHeight="true" outlineLevel="0" collapsed="false">
      <c r="A309" s="40"/>
      <c r="B309" s="47" t="str">
        <f aca="false">IF($A309="","",IFERROR(INDEX(Equipamentos!$C$3:$C$52,MATCH($A309,Equipamentos!$A$3:$A$52,0)),""))</f>
        <v/>
      </c>
      <c r="C309" s="40"/>
      <c r="D309" s="40"/>
      <c r="E309" s="42"/>
      <c r="F309" s="45" t="str">
        <f aca="false">IF($D309="","",COUNTIF($B$3:$B309,$B309))</f>
        <v/>
      </c>
      <c r="G309" s="47" t="str">
        <f aca="false">IF($D309="","",CONCATENATE($B309,"|",$F309))</f>
        <v/>
      </c>
      <c r="H309" s="46" t="str">
        <f aca="false">IF($D309="","",IF(COUNTIFS($B$3:$B$402,$B309,$D$3:$D$402,$D309)&gt;1,"Repetido",""))</f>
        <v/>
      </c>
    </row>
    <row r="310" customFormat="false" ht="18" hidden="false" customHeight="true" outlineLevel="0" collapsed="false">
      <c r="A310" s="40"/>
      <c r="B310" s="47" t="str">
        <f aca="false">IF($A310="","",IFERROR(INDEX(Equipamentos!$C$3:$C$52,MATCH($A310,Equipamentos!$A$3:$A$52,0)),""))</f>
        <v/>
      </c>
      <c r="C310" s="40"/>
      <c r="D310" s="40"/>
      <c r="E310" s="42"/>
      <c r="F310" s="45" t="str">
        <f aca="false">IF($D310="","",COUNTIF($B$3:$B310,$B310))</f>
        <v/>
      </c>
      <c r="G310" s="47" t="str">
        <f aca="false">IF($D310="","",CONCATENATE($B310,"|",$F310))</f>
        <v/>
      </c>
      <c r="H310" s="46" t="str">
        <f aca="false">IF($D310="","",IF(COUNTIFS($B$3:$B$402,$B310,$D$3:$D$402,$D310)&gt;1,"Repetido",""))</f>
        <v/>
      </c>
    </row>
    <row r="311" customFormat="false" ht="18" hidden="false" customHeight="true" outlineLevel="0" collapsed="false">
      <c r="A311" s="40"/>
      <c r="B311" s="47" t="str">
        <f aca="false">IF($A311="","",IFERROR(INDEX(Equipamentos!$C$3:$C$52,MATCH($A311,Equipamentos!$A$3:$A$52,0)),""))</f>
        <v/>
      </c>
      <c r="C311" s="40"/>
      <c r="D311" s="40"/>
      <c r="E311" s="42"/>
      <c r="F311" s="45" t="str">
        <f aca="false">IF($D311="","",COUNTIF($B$3:$B311,$B311))</f>
        <v/>
      </c>
      <c r="G311" s="47" t="str">
        <f aca="false">IF($D311="","",CONCATENATE($B311,"|",$F311))</f>
        <v/>
      </c>
      <c r="H311" s="46" t="str">
        <f aca="false">IF($D311="","",IF(COUNTIFS($B$3:$B$402,$B311,$D$3:$D$402,$D311)&gt;1,"Repetido",""))</f>
        <v/>
      </c>
    </row>
    <row r="312" customFormat="false" ht="18" hidden="false" customHeight="true" outlineLevel="0" collapsed="false">
      <c r="A312" s="40"/>
      <c r="B312" s="47" t="str">
        <f aca="false">IF($A312="","",IFERROR(INDEX(Equipamentos!$C$3:$C$52,MATCH($A312,Equipamentos!$A$3:$A$52,0)),""))</f>
        <v/>
      </c>
      <c r="C312" s="40"/>
      <c r="D312" s="40"/>
      <c r="E312" s="42"/>
      <c r="F312" s="45" t="str">
        <f aca="false">IF($D312="","",COUNTIF($B$3:$B312,$B312))</f>
        <v/>
      </c>
      <c r="G312" s="47" t="str">
        <f aca="false">IF($D312="","",CONCATENATE($B312,"|",$F312))</f>
        <v/>
      </c>
      <c r="H312" s="46" t="str">
        <f aca="false">IF($D312="","",IF(COUNTIFS($B$3:$B$402,$B312,$D$3:$D$402,$D312)&gt;1,"Repetido",""))</f>
        <v/>
      </c>
    </row>
    <row r="313" customFormat="false" ht="18" hidden="false" customHeight="true" outlineLevel="0" collapsed="false">
      <c r="A313" s="40"/>
      <c r="B313" s="47" t="str">
        <f aca="false">IF($A313="","",IFERROR(INDEX(Equipamentos!$C$3:$C$52,MATCH($A313,Equipamentos!$A$3:$A$52,0)),""))</f>
        <v/>
      </c>
      <c r="C313" s="40"/>
      <c r="D313" s="40"/>
      <c r="E313" s="42"/>
      <c r="F313" s="45" t="str">
        <f aca="false">IF($D313="","",COUNTIF($B$3:$B313,$B313))</f>
        <v/>
      </c>
      <c r="G313" s="47" t="str">
        <f aca="false">IF($D313="","",CONCATENATE($B313,"|",$F313))</f>
        <v/>
      </c>
      <c r="H313" s="46" t="str">
        <f aca="false">IF($D313="","",IF(COUNTIFS($B$3:$B$402,$B313,$D$3:$D$402,$D313)&gt;1,"Repetido",""))</f>
        <v/>
      </c>
    </row>
    <row r="314" customFormat="false" ht="18" hidden="false" customHeight="true" outlineLevel="0" collapsed="false">
      <c r="A314" s="40"/>
      <c r="B314" s="47" t="str">
        <f aca="false">IF($A314="","",IFERROR(INDEX(Equipamentos!$C$3:$C$52,MATCH($A314,Equipamentos!$A$3:$A$52,0)),""))</f>
        <v/>
      </c>
      <c r="C314" s="40"/>
      <c r="D314" s="40"/>
      <c r="E314" s="42"/>
      <c r="F314" s="45" t="str">
        <f aca="false">IF($D314="","",COUNTIF($B$3:$B314,$B314))</f>
        <v/>
      </c>
      <c r="G314" s="47" t="str">
        <f aca="false">IF($D314="","",CONCATENATE($B314,"|",$F314))</f>
        <v/>
      </c>
      <c r="H314" s="46" t="str">
        <f aca="false">IF($D314="","",IF(COUNTIFS($B$3:$B$402,$B314,$D$3:$D$402,$D314)&gt;1,"Repetido",""))</f>
        <v/>
      </c>
    </row>
    <row r="315" customFormat="false" ht="18" hidden="false" customHeight="true" outlineLevel="0" collapsed="false">
      <c r="A315" s="40"/>
      <c r="B315" s="47" t="str">
        <f aca="false">IF($A315="","",IFERROR(INDEX(Equipamentos!$C$3:$C$52,MATCH($A315,Equipamentos!$A$3:$A$52,0)),""))</f>
        <v/>
      </c>
      <c r="C315" s="40"/>
      <c r="D315" s="40"/>
      <c r="E315" s="42"/>
      <c r="F315" s="45" t="str">
        <f aca="false">IF($D315="","",COUNTIF($B$3:$B315,$B315))</f>
        <v/>
      </c>
      <c r="G315" s="47" t="str">
        <f aca="false">IF($D315="","",CONCATENATE($B315,"|",$F315))</f>
        <v/>
      </c>
      <c r="H315" s="46" t="str">
        <f aca="false">IF($D315="","",IF(COUNTIFS($B$3:$B$402,$B315,$D$3:$D$402,$D315)&gt;1,"Repetido",""))</f>
        <v/>
      </c>
    </row>
    <row r="316" customFormat="false" ht="18" hidden="false" customHeight="true" outlineLevel="0" collapsed="false">
      <c r="A316" s="40"/>
      <c r="B316" s="47" t="str">
        <f aca="false">IF($A316="","",IFERROR(INDEX(Equipamentos!$C$3:$C$52,MATCH($A316,Equipamentos!$A$3:$A$52,0)),""))</f>
        <v/>
      </c>
      <c r="C316" s="40"/>
      <c r="D316" s="40"/>
      <c r="E316" s="42"/>
      <c r="F316" s="45" t="str">
        <f aca="false">IF($D316="","",COUNTIF($B$3:$B316,$B316))</f>
        <v/>
      </c>
      <c r="G316" s="47" t="str">
        <f aca="false">IF($D316="","",CONCATENATE($B316,"|",$F316))</f>
        <v/>
      </c>
      <c r="H316" s="46" t="str">
        <f aca="false">IF($D316="","",IF(COUNTIFS($B$3:$B$402,$B316,$D$3:$D$402,$D316)&gt;1,"Repetido",""))</f>
        <v/>
      </c>
    </row>
    <row r="317" customFormat="false" ht="18" hidden="false" customHeight="true" outlineLevel="0" collapsed="false">
      <c r="A317" s="40"/>
      <c r="B317" s="47" t="str">
        <f aca="false">IF($A317="","",IFERROR(INDEX(Equipamentos!$C$3:$C$52,MATCH($A317,Equipamentos!$A$3:$A$52,0)),""))</f>
        <v/>
      </c>
      <c r="C317" s="40"/>
      <c r="D317" s="40"/>
      <c r="E317" s="42"/>
      <c r="F317" s="45" t="str">
        <f aca="false">IF($D317="","",COUNTIF($B$3:$B317,$B317))</f>
        <v/>
      </c>
      <c r="G317" s="47" t="str">
        <f aca="false">IF($D317="","",CONCATENATE($B317,"|",$F317))</f>
        <v/>
      </c>
      <c r="H317" s="46" t="str">
        <f aca="false">IF($D317="","",IF(COUNTIFS($B$3:$B$402,$B317,$D$3:$D$402,$D317)&gt;1,"Repetido",""))</f>
        <v/>
      </c>
    </row>
    <row r="318" customFormat="false" ht="18" hidden="false" customHeight="true" outlineLevel="0" collapsed="false">
      <c r="A318" s="40"/>
      <c r="B318" s="47" t="str">
        <f aca="false">IF($A318="","",IFERROR(INDEX(Equipamentos!$C$3:$C$52,MATCH($A318,Equipamentos!$A$3:$A$52,0)),""))</f>
        <v/>
      </c>
      <c r="C318" s="40"/>
      <c r="D318" s="40"/>
      <c r="E318" s="42"/>
      <c r="F318" s="45" t="str">
        <f aca="false">IF($D318="","",COUNTIF($B$3:$B318,$B318))</f>
        <v/>
      </c>
      <c r="G318" s="47" t="str">
        <f aca="false">IF($D318="","",CONCATENATE($B318,"|",$F318))</f>
        <v/>
      </c>
      <c r="H318" s="46" t="str">
        <f aca="false">IF($D318="","",IF(COUNTIFS($B$3:$B$402,$B318,$D$3:$D$402,$D318)&gt;1,"Repetido",""))</f>
        <v/>
      </c>
    </row>
    <row r="319" customFormat="false" ht="18" hidden="false" customHeight="true" outlineLevel="0" collapsed="false">
      <c r="A319" s="40"/>
      <c r="B319" s="47" t="str">
        <f aca="false">IF($A319="","",IFERROR(INDEX(Equipamentos!$C$3:$C$52,MATCH($A319,Equipamentos!$A$3:$A$52,0)),""))</f>
        <v/>
      </c>
      <c r="C319" s="40"/>
      <c r="D319" s="40"/>
      <c r="E319" s="42"/>
      <c r="F319" s="45" t="str">
        <f aca="false">IF($D319="","",COUNTIF($B$3:$B319,$B319))</f>
        <v/>
      </c>
      <c r="G319" s="47" t="str">
        <f aca="false">IF($D319="","",CONCATENATE($B319,"|",$F319))</f>
        <v/>
      </c>
      <c r="H319" s="46" t="str">
        <f aca="false">IF($D319="","",IF(COUNTIFS($B$3:$B$402,$B319,$D$3:$D$402,$D319)&gt;1,"Repetido",""))</f>
        <v/>
      </c>
    </row>
    <row r="320" customFormat="false" ht="18" hidden="false" customHeight="true" outlineLevel="0" collapsed="false">
      <c r="A320" s="40"/>
      <c r="B320" s="47" t="str">
        <f aca="false">IF($A320="","",IFERROR(INDEX(Equipamentos!$C$3:$C$52,MATCH($A320,Equipamentos!$A$3:$A$52,0)),""))</f>
        <v/>
      </c>
      <c r="C320" s="40"/>
      <c r="D320" s="40"/>
      <c r="E320" s="42"/>
      <c r="F320" s="45" t="str">
        <f aca="false">IF($D320="","",COUNTIF($B$3:$B320,$B320))</f>
        <v/>
      </c>
      <c r="G320" s="47" t="str">
        <f aca="false">IF($D320="","",CONCATENATE($B320,"|",$F320))</f>
        <v/>
      </c>
      <c r="H320" s="46" t="str">
        <f aca="false">IF($D320="","",IF(COUNTIFS($B$3:$B$402,$B320,$D$3:$D$402,$D320)&gt;1,"Repetido",""))</f>
        <v/>
      </c>
    </row>
    <row r="321" customFormat="false" ht="18" hidden="false" customHeight="true" outlineLevel="0" collapsed="false">
      <c r="A321" s="40"/>
      <c r="B321" s="47" t="str">
        <f aca="false">IF($A321="","",IFERROR(INDEX(Equipamentos!$C$3:$C$52,MATCH($A321,Equipamentos!$A$3:$A$52,0)),""))</f>
        <v/>
      </c>
      <c r="C321" s="40"/>
      <c r="D321" s="40"/>
      <c r="E321" s="42"/>
      <c r="F321" s="45" t="str">
        <f aca="false">IF($D321="","",COUNTIF($B$3:$B321,$B321))</f>
        <v/>
      </c>
      <c r="G321" s="47" t="str">
        <f aca="false">IF($D321="","",CONCATENATE($B321,"|",$F321))</f>
        <v/>
      </c>
      <c r="H321" s="46" t="str">
        <f aca="false">IF($D321="","",IF(COUNTIFS($B$3:$B$402,$B321,$D$3:$D$402,$D321)&gt;1,"Repetido",""))</f>
        <v/>
      </c>
    </row>
    <row r="322" customFormat="false" ht="18" hidden="false" customHeight="true" outlineLevel="0" collapsed="false">
      <c r="A322" s="40"/>
      <c r="B322" s="47" t="str">
        <f aca="false">IF($A322="","",IFERROR(INDEX(Equipamentos!$C$3:$C$52,MATCH($A322,Equipamentos!$A$3:$A$52,0)),""))</f>
        <v/>
      </c>
      <c r="C322" s="40"/>
      <c r="D322" s="40"/>
      <c r="E322" s="42"/>
      <c r="F322" s="45" t="str">
        <f aca="false">IF($D322="","",COUNTIF($B$3:$B322,$B322))</f>
        <v/>
      </c>
      <c r="G322" s="47" t="str">
        <f aca="false">IF($D322="","",CONCATENATE($B322,"|",$F322))</f>
        <v/>
      </c>
      <c r="H322" s="46" t="str">
        <f aca="false">IF($D322="","",IF(COUNTIFS($B$3:$B$402,$B322,$D$3:$D$402,$D322)&gt;1,"Repetido",""))</f>
        <v/>
      </c>
    </row>
    <row r="323" customFormat="false" ht="18" hidden="false" customHeight="true" outlineLevel="0" collapsed="false">
      <c r="A323" s="40"/>
      <c r="B323" s="47" t="str">
        <f aca="false">IF($A323="","",IFERROR(INDEX(Equipamentos!$C$3:$C$52,MATCH($A323,Equipamentos!$A$3:$A$52,0)),""))</f>
        <v/>
      </c>
      <c r="C323" s="40"/>
      <c r="D323" s="40"/>
      <c r="E323" s="42"/>
      <c r="F323" s="45" t="str">
        <f aca="false">IF($D323="","",COUNTIF($B$3:$B323,$B323))</f>
        <v/>
      </c>
      <c r="G323" s="47" t="str">
        <f aca="false">IF($D323="","",CONCATENATE($B323,"|",$F323))</f>
        <v/>
      </c>
      <c r="H323" s="46" t="str">
        <f aca="false">IF($D323="","",IF(COUNTIFS($B$3:$B$402,$B323,$D$3:$D$402,$D323)&gt;1,"Repetido",""))</f>
        <v/>
      </c>
    </row>
    <row r="324" customFormat="false" ht="18" hidden="false" customHeight="true" outlineLevel="0" collapsed="false">
      <c r="A324" s="40"/>
      <c r="B324" s="47" t="str">
        <f aca="false">IF($A324="","",IFERROR(INDEX(Equipamentos!$C$3:$C$52,MATCH($A324,Equipamentos!$A$3:$A$52,0)),""))</f>
        <v/>
      </c>
      <c r="C324" s="40"/>
      <c r="D324" s="40"/>
      <c r="E324" s="42"/>
      <c r="F324" s="45" t="str">
        <f aca="false">IF($D324="","",COUNTIF($B$3:$B324,$B324))</f>
        <v/>
      </c>
      <c r="G324" s="47" t="str">
        <f aca="false">IF($D324="","",CONCATENATE($B324,"|",$F324))</f>
        <v/>
      </c>
      <c r="H324" s="46" t="str">
        <f aca="false">IF($D324="","",IF(COUNTIFS($B$3:$B$402,$B324,$D$3:$D$402,$D324)&gt;1,"Repetido",""))</f>
        <v/>
      </c>
    </row>
    <row r="325" customFormat="false" ht="18" hidden="false" customHeight="true" outlineLevel="0" collapsed="false">
      <c r="A325" s="40"/>
      <c r="B325" s="47" t="str">
        <f aca="false">IF($A325="","",IFERROR(INDEX(Equipamentos!$C$3:$C$52,MATCH($A325,Equipamentos!$A$3:$A$52,0)),""))</f>
        <v/>
      </c>
      <c r="C325" s="40"/>
      <c r="D325" s="40"/>
      <c r="E325" s="42"/>
      <c r="F325" s="45" t="str">
        <f aca="false">IF($D325="","",COUNTIF($B$3:$B325,$B325))</f>
        <v/>
      </c>
      <c r="G325" s="47" t="str">
        <f aca="false">IF($D325="","",CONCATENATE($B325,"|",$F325))</f>
        <v/>
      </c>
      <c r="H325" s="46" t="str">
        <f aca="false">IF($D325="","",IF(COUNTIFS($B$3:$B$402,$B325,$D$3:$D$402,$D325)&gt;1,"Repetido",""))</f>
        <v/>
      </c>
    </row>
    <row r="326" customFormat="false" ht="18" hidden="false" customHeight="true" outlineLevel="0" collapsed="false">
      <c r="A326" s="40"/>
      <c r="B326" s="47" t="str">
        <f aca="false">IF($A326="","",IFERROR(INDEX(Equipamentos!$C$3:$C$52,MATCH($A326,Equipamentos!$A$3:$A$52,0)),""))</f>
        <v/>
      </c>
      <c r="C326" s="40"/>
      <c r="D326" s="40"/>
      <c r="E326" s="42"/>
      <c r="F326" s="45" t="str">
        <f aca="false">IF($D326="","",COUNTIF($B$3:$B326,$B326))</f>
        <v/>
      </c>
      <c r="G326" s="47" t="str">
        <f aca="false">IF($D326="","",CONCATENATE($B326,"|",$F326))</f>
        <v/>
      </c>
      <c r="H326" s="46" t="str">
        <f aca="false">IF($D326="","",IF(COUNTIFS($B$3:$B$402,$B326,$D$3:$D$402,$D326)&gt;1,"Repetido",""))</f>
        <v/>
      </c>
    </row>
    <row r="327" customFormat="false" ht="18" hidden="false" customHeight="true" outlineLevel="0" collapsed="false">
      <c r="A327" s="40"/>
      <c r="B327" s="47" t="str">
        <f aca="false">IF($A327="","",IFERROR(INDEX(Equipamentos!$C$3:$C$52,MATCH($A327,Equipamentos!$A$3:$A$52,0)),""))</f>
        <v/>
      </c>
      <c r="C327" s="40"/>
      <c r="D327" s="40"/>
      <c r="E327" s="42"/>
      <c r="F327" s="45" t="str">
        <f aca="false">IF($D327="","",COUNTIF($B$3:$B327,$B327))</f>
        <v/>
      </c>
      <c r="G327" s="47" t="str">
        <f aca="false">IF($D327="","",CONCATENATE($B327,"|",$F327))</f>
        <v/>
      </c>
      <c r="H327" s="46" t="str">
        <f aca="false">IF($D327="","",IF(COUNTIFS($B$3:$B$402,$B327,$D$3:$D$402,$D327)&gt;1,"Repetido",""))</f>
        <v/>
      </c>
    </row>
    <row r="328" customFormat="false" ht="18" hidden="false" customHeight="true" outlineLevel="0" collapsed="false">
      <c r="A328" s="40"/>
      <c r="B328" s="47" t="str">
        <f aca="false">IF($A328="","",IFERROR(INDEX(Equipamentos!$C$3:$C$52,MATCH($A328,Equipamentos!$A$3:$A$52,0)),""))</f>
        <v/>
      </c>
      <c r="C328" s="40"/>
      <c r="D328" s="40"/>
      <c r="E328" s="42"/>
      <c r="F328" s="45" t="str">
        <f aca="false">IF($D328="","",COUNTIF($B$3:$B328,$B328))</f>
        <v/>
      </c>
      <c r="G328" s="47" t="str">
        <f aca="false">IF($D328="","",CONCATENATE($B328,"|",$F328))</f>
        <v/>
      </c>
      <c r="H328" s="46" t="str">
        <f aca="false">IF($D328="","",IF(COUNTIFS($B$3:$B$402,$B328,$D$3:$D$402,$D328)&gt;1,"Repetido",""))</f>
        <v/>
      </c>
    </row>
    <row r="329" customFormat="false" ht="18" hidden="false" customHeight="true" outlineLevel="0" collapsed="false">
      <c r="A329" s="40"/>
      <c r="B329" s="47" t="str">
        <f aca="false">IF($A329="","",IFERROR(INDEX(Equipamentos!$C$3:$C$52,MATCH($A329,Equipamentos!$A$3:$A$52,0)),""))</f>
        <v/>
      </c>
      <c r="C329" s="40"/>
      <c r="D329" s="40"/>
      <c r="E329" s="42"/>
      <c r="F329" s="45" t="str">
        <f aca="false">IF($D329="","",COUNTIF($B$3:$B329,$B329))</f>
        <v/>
      </c>
      <c r="G329" s="47" t="str">
        <f aca="false">IF($D329="","",CONCATENATE($B329,"|",$F329))</f>
        <v/>
      </c>
      <c r="H329" s="46" t="str">
        <f aca="false">IF($D329="","",IF(COUNTIFS($B$3:$B$402,$B329,$D$3:$D$402,$D329)&gt;1,"Repetido",""))</f>
        <v/>
      </c>
    </row>
    <row r="330" customFormat="false" ht="18" hidden="false" customHeight="true" outlineLevel="0" collapsed="false">
      <c r="A330" s="40"/>
      <c r="B330" s="47" t="str">
        <f aca="false">IF($A330="","",IFERROR(INDEX(Equipamentos!$C$3:$C$52,MATCH($A330,Equipamentos!$A$3:$A$52,0)),""))</f>
        <v/>
      </c>
      <c r="C330" s="40"/>
      <c r="D330" s="40"/>
      <c r="E330" s="42"/>
      <c r="F330" s="45" t="str">
        <f aca="false">IF($D330="","",COUNTIF($B$3:$B330,$B330))</f>
        <v/>
      </c>
      <c r="G330" s="47" t="str">
        <f aca="false">IF($D330="","",CONCATENATE($B330,"|",$F330))</f>
        <v/>
      </c>
      <c r="H330" s="46" t="str">
        <f aca="false">IF($D330="","",IF(COUNTIFS($B$3:$B$402,$B330,$D$3:$D$402,$D330)&gt;1,"Repetido",""))</f>
        <v/>
      </c>
    </row>
    <row r="331" customFormat="false" ht="18" hidden="false" customHeight="true" outlineLevel="0" collapsed="false">
      <c r="A331" s="40"/>
      <c r="B331" s="47" t="str">
        <f aca="false">IF($A331="","",IFERROR(INDEX(Equipamentos!$C$3:$C$52,MATCH($A331,Equipamentos!$A$3:$A$52,0)),""))</f>
        <v/>
      </c>
      <c r="C331" s="40"/>
      <c r="D331" s="40"/>
      <c r="E331" s="42"/>
      <c r="F331" s="45" t="str">
        <f aca="false">IF($D331="","",COUNTIF($B$3:$B331,$B331))</f>
        <v/>
      </c>
      <c r="G331" s="47" t="str">
        <f aca="false">IF($D331="","",CONCATENATE($B331,"|",$F331))</f>
        <v/>
      </c>
      <c r="H331" s="46" t="str">
        <f aca="false">IF($D331="","",IF(COUNTIFS($B$3:$B$402,$B331,$D$3:$D$402,$D331)&gt;1,"Repetido",""))</f>
        <v/>
      </c>
    </row>
    <row r="332" customFormat="false" ht="18" hidden="false" customHeight="true" outlineLevel="0" collapsed="false">
      <c r="A332" s="40"/>
      <c r="B332" s="47" t="str">
        <f aca="false">IF($A332="","",IFERROR(INDEX(Equipamentos!$C$3:$C$52,MATCH($A332,Equipamentos!$A$3:$A$52,0)),""))</f>
        <v/>
      </c>
      <c r="C332" s="40"/>
      <c r="D332" s="40"/>
      <c r="E332" s="42"/>
      <c r="F332" s="45" t="str">
        <f aca="false">IF($D332="","",COUNTIF($B$3:$B332,$B332))</f>
        <v/>
      </c>
      <c r="G332" s="47" t="str">
        <f aca="false">IF($D332="","",CONCATENATE($B332,"|",$F332))</f>
        <v/>
      </c>
      <c r="H332" s="46" t="str">
        <f aca="false">IF($D332="","",IF(COUNTIFS($B$3:$B$402,$B332,$D$3:$D$402,$D332)&gt;1,"Repetido",""))</f>
        <v/>
      </c>
    </row>
    <row r="333" customFormat="false" ht="18" hidden="false" customHeight="true" outlineLevel="0" collapsed="false">
      <c r="A333" s="40"/>
      <c r="B333" s="47" t="str">
        <f aca="false">IF($A333="","",IFERROR(INDEX(Equipamentos!$C$3:$C$52,MATCH($A333,Equipamentos!$A$3:$A$52,0)),""))</f>
        <v/>
      </c>
      <c r="C333" s="40"/>
      <c r="D333" s="40"/>
      <c r="E333" s="42"/>
      <c r="F333" s="45" t="str">
        <f aca="false">IF($D333="","",COUNTIF($B$3:$B333,$B333))</f>
        <v/>
      </c>
      <c r="G333" s="47" t="str">
        <f aca="false">IF($D333="","",CONCATENATE($B333,"|",$F333))</f>
        <v/>
      </c>
      <c r="H333" s="46" t="str">
        <f aca="false">IF($D333="","",IF(COUNTIFS($B$3:$B$402,$B333,$D$3:$D$402,$D333)&gt;1,"Repetido",""))</f>
        <v/>
      </c>
    </row>
    <row r="334" customFormat="false" ht="18" hidden="false" customHeight="true" outlineLevel="0" collapsed="false">
      <c r="A334" s="40"/>
      <c r="B334" s="47" t="str">
        <f aca="false">IF($A334="","",IFERROR(INDEX(Equipamentos!$C$3:$C$52,MATCH($A334,Equipamentos!$A$3:$A$52,0)),""))</f>
        <v/>
      </c>
      <c r="C334" s="40"/>
      <c r="D334" s="40"/>
      <c r="E334" s="42"/>
      <c r="F334" s="45" t="str">
        <f aca="false">IF($D334="","",COUNTIF($B$3:$B334,$B334))</f>
        <v/>
      </c>
      <c r="G334" s="47" t="str">
        <f aca="false">IF($D334="","",CONCATENATE($B334,"|",$F334))</f>
        <v/>
      </c>
      <c r="H334" s="46" t="str">
        <f aca="false">IF($D334="","",IF(COUNTIFS($B$3:$B$402,$B334,$D$3:$D$402,$D334)&gt;1,"Repetido",""))</f>
        <v/>
      </c>
    </row>
    <row r="335" customFormat="false" ht="18" hidden="false" customHeight="true" outlineLevel="0" collapsed="false">
      <c r="A335" s="40"/>
      <c r="B335" s="47" t="str">
        <f aca="false">IF($A335="","",IFERROR(INDEX(Equipamentos!$C$3:$C$52,MATCH($A335,Equipamentos!$A$3:$A$52,0)),""))</f>
        <v/>
      </c>
      <c r="C335" s="40"/>
      <c r="D335" s="40"/>
      <c r="E335" s="42"/>
      <c r="F335" s="45" t="str">
        <f aca="false">IF($D335="","",COUNTIF($B$3:$B335,$B335))</f>
        <v/>
      </c>
      <c r="G335" s="47" t="str">
        <f aca="false">IF($D335="","",CONCATENATE($B335,"|",$F335))</f>
        <v/>
      </c>
      <c r="H335" s="46" t="str">
        <f aca="false">IF($D335="","",IF(COUNTIFS($B$3:$B$402,$B335,$D$3:$D$402,$D335)&gt;1,"Repetido",""))</f>
        <v/>
      </c>
    </row>
    <row r="336" customFormat="false" ht="18" hidden="false" customHeight="true" outlineLevel="0" collapsed="false">
      <c r="A336" s="40"/>
      <c r="B336" s="47" t="str">
        <f aca="false">IF($A336="","",IFERROR(INDEX(Equipamentos!$C$3:$C$52,MATCH($A336,Equipamentos!$A$3:$A$52,0)),""))</f>
        <v/>
      </c>
      <c r="C336" s="40"/>
      <c r="D336" s="40"/>
      <c r="E336" s="42"/>
      <c r="F336" s="45" t="str">
        <f aca="false">IF($D336="","",COUNTIF($B$3:$B336,$B336))</f>
        <v/>
      </c>
      <c r="G336" s="47" t="str">
        <f aca="false">IF($D336="","",CONCATENATE($B336,"|",$F336))</f>
        <v/>
      </c>
      <c r="H336" s="46" t="str">
        <f aca="false">IF($D336="","",IF(COUNTIFS($B$3:$B$402,$B336,$D$3:$D$402,$D336)&gt;1,"Repetido",""))</f>
        <v/>
      </c>
    </row>
    <row r="337" customFormat="false" ht="18" hidden="false" customHeight="true" outlineLevel="0" collapsed="false">
      <c r="A337" s="40"/>
      <c r="B337" s="47" t="str">
        <f aca="false">IF($A337="","",IFERROR(INDEX(Equipamentos!$C$3:$C$52,MATCH($A337,Equipamentos!$A$3:$A$52,0)),""))</f>
        <v/>
      </c>
      <c r="C337" s="40"/>
      <c r="D337" s="40"/>
      <c r="E337" s="42"/>
      <c r="F337" s="45" t="str">
        <f aca="false">IF($D337="","",COUNTIF($B$3:$B337,$B337))</f>
        <v/>
      </c>
      <c r="G337" s="47" t="str">
        <f aca="false">IF($D337="","",CONCATENATE($B337,"|",$F337))</f>
        <v/>
      </c>
      <c r="H337" s="46" t="str">
        <f aca="false">IF($D337="","",IF(COUNTIFS($B$3:$B$402,$B337,$D$3:$D$402,$D337)&gt;1,"Repetido",""))</f>
        <v/>
      </c>
    </row>
    <row r="338" customFormat="false" ht="18" hidden="false" customHeight="true" outlineLevel="0" collapsed="false">
      <c r="A338" s="40"/>
      <c r="B338" s="47" t="str">
        <f aca="false">IF($A338="","",IFERROR(INDEX(Equipamentos!$C$3:$C$52,MATCH($A338,Equipamentos!$A$3:$A$52,0)),""))</f>
        <v/>
      </c>
      <c r="C338" s="40"/>
      <c r="D338" s="40"/>
      <c r="E338" s="42"/>
      <c r="F338" s="45" t="str">
        <f aca="false">IF($D338="","",COUNTIF($B$3:$B338,$B338))</f>
        <v/>
      </c>
      <c r="G338" s="47" t="str">
        <f aca="false">IF($D338="","",CONCATENATE($B338,"|",$F338))</f>
        <v/>
      </c>
      <c r="H338" s="46" t="str">
        <f aca="false">IF($D338="","",IF(COUNTIFS($B$3:$B$402,$B338,$D$3:$D$402,$D338)&gt;1,"Repetido",""))</f>
        <v/>
      </c>
    </row>
    <row r="339" customFormat="false" ht="18" hidden="false" customHeight="true" outlineLevel="0" collapsed="false">
      <c r="A339" s="40"/>
      <c r="B339" s="47" t="str">
        <f aca="false">IF($A339="","",IFERROR(INDEX(Equipamentos!$C$3:$C$52,MATCH($A339,Equipamentos!$A$3:$A$52,0)),""))</f>
        <v/>
      </c>
      <c r="C339" s="40"/>
      <c r="D339" s="40"/>
      <c r="E339" s="42"/>
      <c r="F339" s="45" t="str">
        <f aca="false">IF($D339="","",COUNTIF($B$3:$B339,$B339))</f>
        <v/>
      </c>
      <c r="G339" s="47" t="str">
        <f aca="false">IF($D339="","",CONCATENATE($B339,"|",$F339))</f>
        <v/>
      </c>
      <c r="H339" s="46" t="str">
        <f aca="false">IF($D339="","",IF(COUNTIFS($B$3:$B$402,$B339,$D$3:$D$402,$D339)&gt;1,"Repetido",""))</f>
        <v/>
      </c>
    </row>
    <row r="340" customFormat="false" ht="18" hidden="false" customHeight="true" outlineLevel="0" collapsed="false">
      <c r="A340" s="40"/>
      <c r="B340" s="47" t="str">
        <f aca="false">IF($A340="","",IFERROR(INDEX(Equipamentos!$C$3:$C$52,MATCH($A340,Equipamentos!$A$3:$A$52,0)),""))</f>
        <v/>
      </c>
      <c r="C340" s="40"/>
      <c r="D340" s="40"/>
      <c r="E340" s="42"/>
      <c r="F340" s="45" t="str">
        <f aca="false">IF($D340="","",COUNTIF($B$3:$B340,$B340))</f>
        <v/>
      </c>
      <c r="G340" s="47" t="str">
        <f aca="false">IF($D340="","",CONCATENATE($B340,"|",$F340))</f>
        <v/>
      </c>
      <c r="H340" s="46" t="str">
        <f aca="false">IF($D340="","",IF(COUNTIFS($B$3:$B$402,$B340,$D$3:$D$402,$D340)&gt;1,"Repetido",""))</f>
        <v/>
      </c>
    </row>
    <row r="341" customFormat="false" ht="18" hidden="false" customHeight="true" outlineLevel="0" collapsed="false">
      <c r="A341" s="40"/>
      <c r="B341" s="47" t="str">
        <f aca="false">IF($A341="","",IFERROR(INDEX(Equipamentos!$C$3:$C$52,MATCH($A341,Equipamentos!$A$3:$A$52,0)),""))</f>
        <v/>
      </c>
      <c r="C341" s="40"/>
      <c r="D341" s="40"/>
      <c r="E341" s="42"/>
      <c r="F341" s="45" t="str">
        <f aca="false">IF($D341="","",COUNTIF($B$3:$B341,$B341))</f>
        <v/>
      </c>
      <c r="G341" s="47" t="str">
        <f aca="false">IF($D341="","",CONCATENATE($B341,"|",$F341))</f>
        <v/>
      </c>
      <c r="H341" s="46" t="str">
        <f aca="false">IF($D341="","",IF(COUNTIFS($B$3:$B$402,$B341,$D$3:$D$402,$D341)&gt;1,"Repetido",""))</f>
        <v/>
      </c>
    </row>
    <row r="342" customFormat="false" ht="18" hidden="false" customHeight="true" outlineLevel="0" collapsed="false">
      <c r="A342" s="40"/>
      <c r="B342" s="47" t="str">
        <f aca="false">IF($A342="","",IFERROR(INDEX(Equipamentos!$C$3:$C$52,MATCH($A342,Equipamentos!$A$3:$A$52,0)),""))</f>
        <v/>
      </c>
      <c r="C342" s="40"/>
      <c r="D342" s="40"/>
      <c r="E342" s="42"/>
      <c r="F342" s="45" t="str">
        <f aca="false">IF($D342="","",COUNTIF($B$3:$B342,$B342))</f>
        <v/>
      </c>
      <c r="G342" s="47" t="str">
        <f aca="false">IF($D342="","",CONCATENATE($B342,"|",$F342))</f>
        <v/>
      </c>
      <c r="H342" s="46" t="str">
        <f aca="false">IF($D342="","",IF(COUNTIFS($B$3:$B$402,$B342,$D$3:$D$402,$D342)&gt;1,"Repetido",""))</f>
        <v/>
      </c>
    </row>
    <row r="343" customFormat="false" ht="18" hidden="false" customHeight="true" outlineLevel="0" collapsed="false">
      <c r="A343" s="40"/>
      <c r="B343" s="47" t="str">
        <f aca="false">IF($A343="","",IFERROR(INDEX(Equipamentos!$C$3:$C$52,MATCH($A343,Equipamentos!$A$3:$A$52,0)),""))</f>
        <v/>
      </c>
      <c r="C343" s="40"/>
      <c r="D343" s="40"/>
      <c r="E343" s="42"/>
      <c r="F343" s="45" t="str">
        <f aca="false">IF($D343="","",COUNTIF($B$3:$B343,$B343))</f>
        <v/>
      </c>
      <c r="G343" s="47" t="str">
        <f aca="false">IF($D343="","",CONCATENATE($B343,"|",$F343))</f>
        <v/>
      </c>
      <c r="H343" s="46" t="str">
        <f aca="false">IF($D343="","",IF(COUNTIFS($B$3:$B$402,$B343,$D$3:$D$402,$D343)&gt;1,"Repetido",""))</f>
        <v/>
      </c>
    </row>
    <row r="344" customFormat="false" ht="18" hidden="false" customHeight="true" outlineLevel="0" collapsed="false">
      <c r="A344" s="40"/>
      <c r="B344" s="47" t="str">
        <f aca="false">IF($A344="","",IFERROR(INDEX(Equipamentos!$C$3:$C$52,MATCH($A344,Equipamentos!$A$3:$A$52,0)),""))</f>
        <v/>
      </c>
      <c r="C344" s="40"/>
      <c r="D344" s="40"/>
      <c r="E344" s="42"/>
      <c r="F344" s="45" t="str">
        <f aca="false">IF($D344="","",COUNTIF($B$3:$B344,$B344))</f>
        <v/>
      </c>
      <c r="G344" s="47" t="str">
        <f aca="false">IF($D344="","",CONCATENATE($B344,"|",$F344))</f>
        <v/>
      </c>
      <c r="H344" s="46" t="str">
        <f aca="false">IF($D344="","",IF(COUNTIFS($B$3:$B$402,$B344,$D$3:$D$402,$D344)&gt;1,"Repetido",""))</f>
        <v/>
      </c>
    </row>
    <row r="345" customFormat="false" ht="18" hidden="false" customHeight="true" outlineLevel="0" collapsed="false">
      <c r="A345" s="40"/>
      <c r="B345" s="47" t="str">
        <f aca="false">IF($A345="","",IFERROR(INDEX(Equipamentos!$C$3:$C$52,MATCH($A345,Equipamentos!$A$3:$A$52,0)),""))</f>
        <v/>
      </c>
      <c r="C345" s="40"/>
      <c r="D345" s="40"/>
      <c r="E345" s="42"/>
      <c r="F345" s="45" t="str">
        <f aca="false">IF($D345="","",COUNTIF($B$3:$B345,$B345))</f>
        <v/>
      </c>
      <c r="G345" s="47" t="str">
        <f aca="false">IF($D345="","",CONCATENATE($B345,"|",$F345))</f>
        <v/>
      </c>
      <c r="H345" s="46" t="str">
        <f aca="false">IF($D345="","",IF(COUNTIFS($B$3:$B$402,$B345,$D$3:$D$402,$D345)&gt;1,"Repetido",""))</f>
        <v/>
      </c>
    </row>
    <row r="346" customFormat="false" ht="18" hidden="false" customHeight="true" outlineLevel="0" collapsed="false">
      <c r="A346" s="40"/>
      <c r="B346" s="47" t="str">
        <f aca="false">IF($A346="","",IFERROR(INDEX(Equipamentos!$C$3:$C$52,MATCH($A346,Equipamentos!$A$3:$A$52,0)),""))</f>
        <v/>
      </c>
      <c r="C346" s="40"/>
      <c r="D346" s="40"/>
      <c r="E346" s="42"/>
      <c r="F346" s="45" t="str">
        <f aca="false">IF($D346="","",COUNTIF($B$3:$B346,$B346))</f>
        <v/>
      </c>
      <c r="G346" s="47" t="str">
        <f aca="false">IF($D346="","",CONCATENATE($B346,"|",$F346))</f>
        <v/>
      </c>
      <c r="H346" s="46" t="str">
        <f aca="false">IF($D346="","",IF(COUNTIFS($B$3:$B$402,$B346,$D$3:$D$402,$D346)&gt;1,"Repetido",""))</f>
        <v/>
      </c>
    </row>
    <row r="347" customFormat="false" ht="18" hidden="false" customHeight="true" outlineLevel="0" collapsed="false">
      <c r="A347" s="40"/>
      <c r="B347" s="47" t="str">
        <f aca="false">IF($A347="","",IFERROR(INDEX(Equipamentos!$C$3:$C$52,MATCH($A347,Equipamentos!$A$3:$A$52,0)),""))</f>
        <v/>
      </c>
      <c r="C347" s="40"/>
      <c r="D347" s="40"/>
      <c r="E347" s="42"/>
      <c r="F347" s="45" t="str">
        <f aca="false">IF($D347="","",COUNTIF($B$3:$B347,$B347))</f>
        <v/>
      </c>
      <c r="G347" s="47" t="str">
        <f aca="false">IF($D347="","",CONCATENATE($B347,"|",$F347))</f>
        <v/>
      </c>
      <c r="H347" s="46" t="str">
        <f aca="false">IF($D347="","",IF(COUNTIFS($B$3:$B$402,$B347,$D$3:$D$402,$D347)&gt;1,"Repetido",""))</f>
        <v/>
      </c>
    </row>
    <row r="348" customFormat="false" ht="18" hidden="false" customHeight="true" outlineLevel="0" collapsed="false">
      <c r="A348" s="40"/>
      <c r="B348" s="47" t="str">
        <f aca="false">IF($A348="","",IFERROR(INDEX(Equipamentos!$C$3:$C$52,MATCH($A348,Equipamentos!$A$3:$A$52,0)),""))</f>
        <v/>
      </c>
      <c r="C348" s="40"/>
      <c r="D348" s="40"/>
      <c r="E348" s="42"/>
      <c r="F348" s="45" t="str">
        <f aca="false">IF($D348="","",COUNTIF($B$3:$B348,$B348))</f>
        <v/>
      </c>
      <c r="G348" s="47" t="str">
        <f aca="false">IF($D348="","",CONCATENATE($B348,"|",$F348))</f>
        <v/>
      </c>
      <c r="H348" s="46" t="str">
        <f aca="false">IF($D348="","",IF(COUNTIFS($B$3:$B$402,$B348,$D$3:$D$402,$D348)&gt;1,"Repetido",""))</f>
        <v/>
      </c>
    </row>
    <row r="349" customFormat="false" ht="18" hidden="false" customHeight="true" outlineLevel="0" collapsed="false">
      <c r="A349" s="40"/>
      <c r="B349" s="47" t="str">
        <f aca="false">IF($A349="","",IFERROR(INDEX(Equipamentos!$C$3:$C$52,MATCH($A349,Equipamentos!$A$3:$A$52,0)),""))</f>
        <v/>
      </c>
      <c r="C349" s="40"/>
      <c r="D349" s="40"/>
      <c r="E349" s="42"/>
      <c r="F349" s="45" t="str">
        <f aca="false">IF($D349="","",COUNTIF($B$3:$B349,$B349))</f>
        <v/>
      </c>
      <c r="G349" s="47" t="str">
        <f aca="false">IF($D349="","",CONCATENATE($B349,"|",$F349))</f>
        <v/>
      </c>
      <c r="H349" s="46" t="str">
        <f aca="false">IF($D349="","",IF(COUNTIFS($B$3:$B$402,$B349,$D$3:$D$402,$D349)&gt;1,"Repetido",""))</f>
        <v/>
      </c>
    </row>
    <row r="350" customFormat="false" ht="18" hidden="false" customHeight="true" outlineLevel="0" collapsed="false">
      <c r="A350" s="40"/>
      <c r="B350" s="47" t="str">
        <f aca="false">IF($A350="","",IFERROR(INDEX(Equipamentos!$C$3:$C$52,MATCH($A350,Equipamentos!$A$3:$A$52,0)),""))</f>
        <v/>
      </c>
      <c r="C350" s="40"/>
      <c r="D350" s="40"/>
      <c r="E350" s="42"/>
      <c r="F350" s="45" t="str">
        <f aca="false">IF($D350="","",COUNTIF($B$3:$B350,$B350))</f>
        <v/>
      </c>
      <c r="G350" s="47" t="str">
        <f aca="false">IF($D350="","",CONCATENATE($B350,"|",$F350))</f>
        <v/>
      </c>
      <c r="H350" s="46" t="str">
        <f aca="false">IF($D350="","",IF(COUNTIFS($B$3:$B$402,$B350,$D$3:$D$402,$D350)&gt;1,"Repetido",""))</f>
        <v/>
      </c>
    </row>
    <row r="351" customFormat="false" ht="18" hidden="false" customHeight="true" outlineLevel="0" collapsed="false">
      <c r="A351" s="40"/>
      <c r="B351" s="47" t="str">
        <f aca="false">IF($A351="","",IFERROR(INDEX(Equipamentos!$C$3:$C$52,MATCH($A351,Equipamentos!$A$3:$A$52,0)),""))</f>
        <v/>
      </c>
      <c r="C351" s="40"/>
      <c r="D351" s="40"/>
      <c r="E351" s="42"/>
      <c r="F351" s="45" t="str">
        <f aca="false">IF($D351="","",COUNTIF($B$3:$B351,$B351))</f>
        <v/>
      </c>
      <c r="G351" s="47" t="str">
        <f aca="false">IF($D351="","",CONCATENATE($B351,"|",$F351))</f>
        <v/>
      </c>
      <c r="H351" s="46" t="str">
        <f aca="false">IF($D351="","",IF(COUNTIFS($B$3:$B$402,$B351,$D$3:$D$402,$D351)&gt;1,"Repetido",""))</f>
        <v/>
      </c>
    </row>
    <row r="352" customFormat="false" ht="18" hidden="false" customHeight="true" outlineLevel="0" collapsed="false">
      <c r="A352" s="40"/>
      <c r="B352" s="47" t="str">
        <f aca="false">IF($A352="","",IFERROR(INDEX(Equipamentos!$C$3:$C$52,MATCH($A352,Equipamentos!$A$3:$A$52,0)),""))</f>
        <v/>
      </c>
      <c r="C352" s="40"/>
      <c r="D352" s="40"/>
      <c r="E352" s="42"/>
      <c r="F352" s="45" t="str">
        <f aca="false">IF($D352="","",COUNTIF($B$3:$B352,$B352))</f>
        <v/>
      </c>
      <c r="G352" s="47" t="str">
        <f aca="false">IF($D352="","",CONCATENATE($B352,"|",$F352))</f>
        <v/>
      </c>
      <c r="H352" s="46" t="str">
        <f aca="false">IF($D352="","",IF(COUNTIFS($B$3:$B$402,$B352,$D$3:$D$402,$D352)&gt;1,"Repetido",""))</f>
        <v/>
      </c>
    </row>
    <row r="353" customFormat="false" ht="18" hidden="false" customHeight="true" outlineLevel="0" collapsed="false">
      <c r="A353" s="40"/>
      <c r="B353" s="47" t="str">
        <f aca="false">IF($A353="","",IFERROR(INDEX(Equipamentos!$C$3:$C$52,MATCH($A353,Equipamentos!$A$3:$A$52,0)),""))</f>
        <v/>
      </c>
      <c r="C353" s="40"/>
      <c r="D353" s="40"/>
      <c r="E353" s="42"/>
      <c r="F353" s="45" t="str">
        <f aca="false">IF($D353="","",COUNTIF($B$3:$B353,$B353))</f>
        <v/>
      </c>
      <c r="G353" s="47" t="str">
        <f aca="false">IF($D353="","",CONCATENATE($B353,"|",$F353))</f>
        <v/>
      </c>
      <c r="H353" s="46" t="str">
        <f aca="false">IF($D353="","",IF(COUNTIFS($B$3:$B$402,$B353,$D$3:$D$402,$D353)&gt;1,"Repetido",""))</f>
        <v/>
      </c>
    </row>
    <row r="354" customFormat="false" ht="18" hidden="false" customHeight="true" outlineLevel="0" collapsed="false">
      <c r="A354" s="40"/>
      <c r="B354" s="47" t="str">
        <f aca="false">IF($A354="","",IFERROR(INDEX(Equipamentos!$C$3:$C$52,MATCH($A354,Equipamentos!$A$3:$A$52,0)),""))</f>
        <v/>
      </c>
      <c r="C354" s="40"/>
      <c r="D354" s="40"/>
      <c r="E354" s="42"/>
      <c r="F354" s="45" t="str">
        <f aca="false">IF($D354="","",COUNTIF($B$3:$B354,$B354))</f>
        <v/>
      </c>
      <c r="G354" s="47" t="str">
        <f aca="false">IF($D354="","",CONCATENATE($B354,"|",$F354))</f>
        <v/>
      </c>
      <c r="H354" s="46" t="str">
        <f aca="false">IF($D354="","",IF(COUNTIFS($B$3:$B$402,$B354,$D$3:$D$402,$D354)&gt;1,"Repetido",""))</f>
        <v/>
      </c>
    </row>
    <row r="355" customFormat="false" ht="18" hidden="false" customHeight="true" outlineLevel="0" collapsed="false">
      <c r="A355" s="40"/>
      <c r="B355" s="47" t="str">
        <f aca="false">IF($A355="","",IFERROR(INDEX(Equipamentos!$C$3:$C$52,MATCH($A355,Equipamentos!$A$3:$A$52,0)),""))</f>
        <v/>
      </c>
      <c r="C355" s="40"/>
      <c r="D355" s="40"/>
      <c r="E355" s="42"/>
      <c r="F355" s="45" t="str">
        <f aca="false">IF($D355="","",COUNTIF($B$3:$B355,$B355))</f>
        <v/>
      </c>
      <c r="G355" s="47" t="str">
        <f aca="false">IF($D355="","",CONCATENATE($B355,"|",$F355))</f>
        <v/>
      </c>
      <c r="H355" s="46" t="str">
        <f aca="false">IF($D355="","",IF(COUNTIFS($B$3:$B$402,$B355,$D$3:$D$402,$D355)&gt;1,"Repetido",""))</f>
        <v/>
      </c>
    </row>
    <row r="356" customFormat="false" ht="18" hidden="false" customHeight="true" outlineLevel="0" collapsed="false">
      <c r="A356" s="40"/>
      <c r="B356" s="47" t="str">
        <f aca="false">IF($A356="","",IFERROR(INDEX(Equipamentos!$C$3:$C$52,MATCH($A356,Equipamentos!$A$3:$A$52,0)),""))</f>
        <v/>
      </c>
      <c r="C356" s="40"/>
      <c r="D356" s="40"/>
      <c r="E356" s="42"/>
      <c r="F356" s="45" t="str">
        <f aca="false">IF($D356="","",COUNTIF($B$3:$B356,$B356))</f>
        <v/>
      </c>
      <c r="G356" s="47" t="str">
        <f aca="false">IF($D356="","",CONCATENATE($B356,"|",$F356))</f>
        <v/>
      </c>
      <c r="H356" s="46" t="str">
        <f aca="false">IF($D356="","",IF(COUNTIFS($B$3:$B$402,$B356,$D$3:$D$402,$D356)&gt;1,"Repetido",""))</f>
        <v/>
      </c>
    </row>
    <row r="357" customFormat="false" ht="18" hidden="false" customHeight="true" outlineLevel="0" collapsed="false">
      <c r="A357" s="40"/>
      <c r="B357" s="47" t="str">
        <f aca="false">IF($A357="","",IFERROR(INDEX(Equipamentos!$C$3:$C$52,MATCH($A357,Equipamentos!$A$3:$A$52,0)),""))</f>
        <v/>
      </c>
      <c r="C357" s="40"/>
      <c r="D357" s="40"/>
      <c r="E357" s="42"/>
      <c r="F357" s="45" t="str">
        <f aca="false">IF($D357="","",COUNTIF($B$3:$B357,$B357))</f>
        <v/>
      </c>
      <c r="G357" s="47" t="str">
        <f aca="false">IF($D357="","",CONCATENATE($B357,"|",$F357))</f>
        <v/>
      </c>
      <c r="H357" s="46" t="str">
        <f aca="false">IF($D357="","",IF(COUNTIFS($B$3:$B$402,$B357,$D$3:$D$402,$D357)&gt;1,"Repetido",""))</f>
        <v/>
      </c>
    </row>
    <row r="358" customFormat="false" ht="18" hidden="false" customHeight="true" outlineLevel="0" collapsed="false">
      <c r="A358" s="40"/>
      <c r="B358" s="47" t="str">
        <f aca="false">IF($A358="","",IFERROR(INDEX(Equipamentos!$C$3:$C$52,MATCH($A358,Equipamentos!$A$3:$A$52,0)),""))</f>
        <v/>
      </c>
      <c r="C358" s="40"/>
      <c r="D358" s="40"/>
      <c r="E358" s="42"/>
      <c r="F358" s="45" t="str">
        <f aca="false">IF($D358="","",COUNTIF($B$3:$B358,$B358))</f>
        <v/>
      </c>
      <c r="G358" s="47" t="str">
        <f aca="false">IF($D358="","",CONCATENATE($B358,"|",$F358))</f>
        <v/>
      </c>
      <c r="H358" s="46" t="str">
        <f aca="false">IF($D358="","",IF(COUNTIFS($B$3:$B$402,$B358,$D$3:$D$402,$D358)&gt;1,"Repetido",""))</f>
        <v/>
      </c>
    </row>
    <row r="359" customFormat="false" ht="18" hidden="false" customHeight="true" outlineLevel="0" collapsed="false">
      <c r="A359" s="40"/>
      <c r="B359" s="47" t="str">
        <f aca="false">IF($A359="","",IFERROR(INDEX(Equipamentos!$C$3:$C$52,MATCH($A359,Equipamentos!$A$3:$A$52,0)),""))</f>
        <v/>
      </c>
      <c r="C359" s="40"/>
      <c r="D359" s="40"/>
      <c r="E359" s="42"/>
      <c r="F359" s="45" t="str">
        <f aca="false">IF($D359="","",COUNTIF($B$3:$B359,$B359))</f>
        <v/>
      </c>
      <c r="G359" s="47" t="str">
        <f aca="false">IF($D359="","",CONCATENATE($B359,"|",$F359))</f>
        <v/>
      </c>
      <c r="H359" s="46" t="str">
        <f aca="false">IF($D359="","",IF(COUNTIFS($B$3:$B$402,$B359,$D$3:$D$402,$D359)&gt;1,"Repetido",""))</f>
        <v/>
      </c>
    </row>
    <row r="360" customFormat="false" ht="18" hidden="false" customHeight="true" outlineLevel="0" collapsed="false">
      <c r="A360" s="40"/>
      <c r="B360" s="47" t="str">
        <f aca="false">IF($A360="","",IFERROR(INDEX(Equipamentos!$C$3:$C$52,MATCH($A360,Equipamentos!$A$3:$A$52,0)),""))</f>
        <v/>
      </c>
      <c r="C360" s="40"/>
      <c r="D360" s="40"/>
      <c r="E360" s="42"/>
      <c r="F360" s="45" t="str">
        <f aca="false">IF($D360="","",COUNTIF($B$3:$B360,$B360))</f>
        <v/>
      </c>
      <c r="G360" s="47" t="str">
        <f aca="false">IF($D360="","",CONCATENATE($B360,"|",$F360))</f>
        <v/>
      </c>
      <c r="H360" s="46" t="str">
        <f aca="false">IF($D360="","",IF(COUNTIFS($B$3:$B$402,$B360,$D$3:$D$402,$D360)&gt;1,"Repetido",""))</f>
        <v/>
      </c>
    </row>
    <row r="361" customFormat="false" ht="18" hidden="false" customHeight="true" outlineLevel="0" collapsed="false">
      <c r="A361" s="40"/>
      <c r="B361" s="47" t="str">
        <f aca="false">IF($A361="","",IFERROR(INDEX(Equipamentos!$C$3:$C$52,MATCH($A361,Equipamentos!$A$3:$A$52,0)),""))</f>
        <v/>
      </c>
      <c r="C361" s="40"/>
      <c r="D361" s="40"/>
      <c r="E361" s="42"/>
      <c r="F361" s="45" t="str">
        <f aca="false">IF($D361="","",COUNTIF($B$3:$B361,$B361))</f>
        <v/>
      </c>
      <c r="G361" s="47" t="str">
        <f aca="false">IF($D361="","",CONCATENATE($B361,"|",$F361))</f>
        <v/>
      </c>
      <c r="H361" s="46" t="str">
        <f aca="false">IF($D361="","",IF(COUNTIFS($B$3:$B$402,$B361,$D$3:$D$402,$D361)&gt;1,"Repetido",""))</f>
        <v/>
      </c>
    </row>
    <row r="362" customFormat="false" ht="18" hidden="false" customHeight="true" outlineLevel="0" collapsed="false">
      <c r="A362" s="40"/>
      <c r="B362" s="47" t="str">
        <f aca="false">IF($A362="","",IFERROR(INDEX(Equipamentos!$C$3:$C$52,MATCH($A362,Equipamentos!$A$3:$A$52,0)),""))</f>
        <v/>
      </c>
      <c r="C362" s="40"/>
      <c r="D362" s="40"/>
      <c r="E362" s="42"/>
      <c r="F362" s="45" t="str">
        <f aca="false">IF($D362="","",COUNTIF($B$3:$B362,$B362))</f>
        <v/>
      </c>
      <c r="G362" s="47" t="str">
        <f aca="false">IF($D362="","",CONCATENATE($B362,"|",$F362))</f>
        <v/>
      </c>
      <c r="H362" s="46" t="str">
        <f aca="false">IF($D362="","",IF(COUNTIFS($B$3:$B$402,$B362,$D$3:$D$402,$D362)&gt;1,"Repetido",""))</f>
        <v/>
      </c>
    </row>
    <row r="363" customFormat="false" ht="18" hidden="false" customHeight="true" outlineLevel="0" collapsed="false">
      <c r="A363" s="40"/>
      <c r="B363" s="47" t="str">
        <f aca="false">IF($A363="","",IFERROR(INDEX(Equipamentos!$C$3:$C$52,MATCH($A363,Equipamentos!$A$3:$A$52,0)),""))</f>
        <v/>
      </c>
      <c r="C363" s="40"/>
      <c r="D363" s="40"/>
      <c r="E363" s="42"/>
      <c r="F363" s="45" t="str">
        <f aca="false">IF($D363="","",COUNTIF($B$3:$B363,$B363))</f>
        <v/>
      </c>
      <c r="G363" s="47" t="str">
        <f aca="false">IF($D363="","",CONCATENATE($B363,"|",$F363))</f>
        <v/>
      </c>
      <c r="H363" s="46" t="str">
        <f aca="false">IF($D363="","",IF(COUNTIFS($B$3:$B$402,$B363,$D$3:$D$402,$D363)&gt;1,"Repetido",""))</f>
        <v/>
      </c>
    </row>
    <row r="364" customFormat="false" ht="18" hidden="false" customHeight="true" outlineLevel="0" collapsed="false">
      <c r="A364" s="40"/>
      <c r="B364" s="47" t="str">
        <f aca="false">IF($A364="","",IFERROR(INDEX(Equipamentos!$C$3:$C$52,MATCH($A364,Equipamentos!$A$3:$A$52,0)),""))</f>
        <v/>
      </c>
      <c r="C364" s="40"/>
      <c r="D364" s="40"/>
      <c r="E364" s="42"/>
      <c r="F364" s="45" t="str">
        <f aca="false">IF($D364="","",COUNTIF($B$3:$B364,$B364))</f>
        <v/>
      </c>
      <c r="G364" s="47" t="str">
        <f aca="false">IF($D364="","",CONCATENATE($B364,"|",$F364))</f>
        <v/>
      </c>
      <c r="H364" s="46" t="str">
        <f aca="false">IF($D364="","",IF(COUNTIFS($B$3:$B$402,$B364,$D$3:$D$402,$D364)&gt;1,"Repetido",""))</f>
        <v/>
      </c>
    </row>
    <row r="365" customFormat="false" ht="18" hidden="false" customHeight="true" outlineLevel="0" collapsed="false">
      <c r="A365" s="40"/>
      <c r="B365" s="47" t="str">
        <f aca="false">IF($A365="","",IFERROR(INDEX(Equipamentos!$C$3:$C$52,MATCH($A365,Equipamentos!$A$3:$A$52,0)),""))</f>
        <v/>
      </c>
      <c r="C365" s="40"/>
      <c r="D365" s="40"/>
      <c r="E365" s="42"/>
      <c r="F365" s="45" t="str">
        <f aca="false">IF($D365="","",COUNTIF($B$3:$B365,$B365))</f>
        <v/>
      </c>
      <c r="G365" s="47" t="str">
        <f aca="false">IF($D365="","",CONCATENATE($B365,"|",$F365))</f>
        <v/>
      </c>
      <c r="H365" s="46" t="str">
        <f aca="false">IF($D365="","",IF(COUNTIFS($B$3:$B$402,$B365,$D$3:$D$402,$D365)&gt;1,"Repetido",""))</f>
        <v/>
      </c>
    </row>
    <row r="366" customFormat="false" ht="18" hidden="false" customHeight="true" outlineLevel="0" collapsed="false">
      <c r="A366" s="40"/>
      <c r="B366" s="47" t="str">
        <f aca="false">IF($A366="","",IFERROR(INDEX(Equipamentos!$C$3:$C$52,MATCH($A366,Equipamentos!$A$3:$A$52,0)),""))</f>
        <v/>
      </c>
      <c r="C366" s="40"/>
      <c r="D366" s="40"/>
      <c r="E366" s="42"/>
      <c r="F366" s="45" t="str">
        <f aca="false">IF($D366="","",COUNTIF($B$3:$B366,$B366))</f>
        <v/>
      </c>
      <c r="G366" s="47" t="str">
        <f aca="false">IF($D366="","",CONCATENATE($B366,"|",$F366))</f>
        <v/>
      </c>
      <c r="H366" s="46" t="str">
        <f aca="false">IF($D366="","",IF(COUNTIFS($B$3:$B$402,$B366,$D$3:$D$402,$D366)&gt;1,"Repetido",""))</f>
        <v/>
      </c>
    </row>
    <row r="367" customFormat="false" ht="18" hidden="false" customHeight="true" outlineLevel="0" collapsed="false">
      <c r="A367" s="40"/>
      <c r="B367" s="47" t="str">
        <f aca="false">IF($A367="","",IFERROR(INDEX(Equipamentos!$C$3:$C$52,MATCH($A367,Equipamentos!$A$3:$A$52,0)),""))</f>
        <v/>
      </c>
      <c r="C367" s="40"/>
      <c r="D367" s="40"/>
      <c r="E367" s="42"/>
      <c r="F367" s="45" t="str">
        <f aca="false">IF($D367="","",COUNTIF($B$3:$B367,$B367))</f>
        <v/>
      </c>
      <c r="G367" s="47" t="str">
        <f aca="false">IF($D367="","",CONCATENATE($B367,"|",$F367))</f>
        <v/>
      </c>
      <c r="H367" s="46" t="str">
        <f aca="false">IF($D367="","",IF(COUNTIFS($B$3:$B$402,$B367,$D$3:$D$402,$D367)&gt;1,"Repetido",""))</f>
        <v/>
      </c>
    </row>
    <row r="368" customFormat="false" ht="18" hidden="false" customHeight="true" outlineLevel="0" collapsed="false">
      <c r="A368" s="40"/>
      <c r="B368" s="47" t="str">
        <f aca="false">IF($A368="","",IFERROR(INDEX(Equipamentos!$C$3:$C$52,MATCH($A368,Equipamentos!$A$3:$A$52,0)),""))</f>
        <v/>
      </c>
      <c r="C368" s="40"/>
      <c r="D368" s="40"/>
      <c r="E368" s="42"/>
      <c r="F368" s="45" t="str">
        <f aca="false">IF($D368="","",COUNTIF($B$3:$B368,$B368))</f>
        <v/>
      </c>
      <c r="G368" s="47" t="str">
        <f aca="false">IF($D368="","",CONCATENATE($B368,"|",$F368))</f>
        <v/>
      </c>
      <c r="H368" s="46" t="str">
        <f aca="false">IF($D368="","",IF(COUNTIFS($B$3:$B$402,$B368,$D$3:$D$402,$D368)&gt;1,"Repetido",""))</f>
        <v/>
      </c>
    </row>
    <row r="369" customFormat="false" ht="18" hidden="false" customHeight="true" outlineLevel="0" collapsed="false">
      <c r="A369" s="40"/>
      <c r="B369" s="47" t="str">
        <f aca="false">IF($A369="","",IFERROR(INDEX(Equipamentos!$C$3:$C$52,MATCH($A369,Equipamentos!$A$3:$A$52,0)),""))</f>
        <v/>
      </c>
      <c r="C369" s="40"/>
      <c r="D369" s="40"/>
      <c r="E369" s="42"/>
      <c r="F369" s="45" t="str">
        <f aca="false">IF($D369="","",COUNTIF($B$3:$B369,$B369))</f>
        <v/>
      </c>
      <c r="G369" s="47" t="str">
        <f aca="false">IF($D369="","",CONCATENATE($B369,"|",$F369))</f>
        <v/>
      </c>
      <c r="H369" s="46" t="str">
        <f aca="false">IF($D369="","",IF(COUNTIFS($B$3:$B$402,$B369,$D$3:$D$402,$D369)&gt;1,"Repetido",""))</f>
        <v/>
      </c>
    </row>
    <row r="370" customFormat="false" ht="18" hidden="false" customHeight="true" outlineLevel="0" collapsed="false">
      <c r="A370" s="40"/>
      <c r="B370" s="47" t="str">
        <f aca="false">IF($A370="","",IFERROR(INDEX(Equipamentos!$C$3:$C$52,MATCH($A370,Equipamentos!$A$3:$A$52,0)),""))</f>
        <v/>
      </c>
      <c r="C370" s="40"/>
      <c r="D370" s="40"/>
      <c r="E370" s="42"/>
      <c r="F370" s="45" t="str">
        <f aca="false">IF($D370="","",COUNTIF($B$3:$B370,$B370))</f>
        <v/>
      </c>
      <c r="G370" s="47" t="str">
        <f aca="false">IF($D370="","",CONCATENATE($B370,"|",$F370))</f>
        <v/>
      </c>
      <c r="H370" s="46" t="str">
        <f aca="false">IF($D370="","",IF(COUNTIFS($B$3:$B$402,$B370,$D$3:$D$402,$D370)&gt;1,"Repetido",""))</f>
        <v/>
      </c>
    </row>
    <row r="371" customFormat="false" ht="18" hidden="false" customHeight="true" outlineLevel="0" collapsed="false">
      <c r="A371" s="40"/>
      <c r="B371" s="47" t="str">
        <f aca="false">IF($A371="","",IFERROR(INDEX(Equipamentos!$C$3:$C$52,MATCH($A371,Equipamentos!$A$3:$A$52,0)),""))</f>
        <v/>
      </c>
      <c r="C371" s="40"/>
      <c r="D371" s="40"/>
      <c r="E371" s="42"/>
      <c r="F371" s="45" t="str">
        <f aca="false">IF($D371="","",COUNTIF($B$3:$B371,$B371))</f>
        <v/>
      </c>
      <c r="G371" s="47" t="str">
        <f aca="false">IF($D371="","",CONCATENATE($B371,"|",$F371))</f>
        <v/>
      </c>
      <c r="H371" s="46" t="str">
        <f aca="false">IF($D371="","",IF(COUNTIFS($B$3:$B$402,$B371,$D$3:$D$402,$D371)&gt;1,"Repetido",""))</f>
        <v/>
      </c>
    </row>
    <row r="372" customFormat="false" ht="18" hidden="false" customHeight="true" outlineLevel="0" collapsed="false">
      <c r="A372" s="40"/>
      <c r="B372" s="47" t="str">
        <f aca="false">IF($A372="","",IFERROR(INDEX(Equipamentos!$C$3:$C$52,MATCH($A372,Equipamentos!$A$3:$A$52,0)),""))</f>
        <v/>
      </c>
      <c r="C372" s="40"/>
      <c r="D372" s="40"/>
      <c r="E372" s="42"/>
      <c r="F372" s="45" t="str">
        <f aca="false">IF($D372="","",COUNTIF($B$3:$B372,$B372))</f>
        <v/>
      </c>
      <c r="G372" s="47" t="str">
        <f aca="false">IF($D372="","",CONCATENATE($B372,"|",$F372))</f>
        <v/>
      </c>
      <c r="H372" s="46" t="str">
        <f aca="false">IF($D372="","",IF(COUNTIFS($B$3:$B$402,$B372,$D$3:$D$402,$D372)&gt;1,"Repetido",""))</f>
        <v/>
      </c>
    </row>
    <row r="373" customFormat="false" ht="18" hidden="false" customHeight="true" outlineLevel="0" collapsed="false">
      <c r="A373" s="40"/>
      <c r="B373" s="47" t="str">
        <f aca="false">IF($A373="","",IFERROR(INDEX(Equipamentos!$C$3:$C$52,MATCH($A373,Equipamentos!$A$3:$A$52,0)),""))</f>
        <v/>
      </c>
      <c r="C373" s="40"/>
      <c r="D373" s="40"/>
      <c r="E373" s="42"/>
      <c r="F373" s="45" t="str">
        <f aca="false">IF($D373="","",COUNTIF($B$3:$B373,$B373))</f>
        <v/>
      </c>
      <c r="G373" s="47" t="str">
        <f aca="false">IF($D373="","",CONCATENATE($B373,"|",$F373))</f>
        <v/>
      </c>
      <c r="H373" s="46" t="str">
        <f aca="false">IF($D373="","",IF(COUNTIFS($B$3:$B$402,$B373,$D$3:$D$402,$D373)&gt;1,"Repetido",""))</f>
        <v/>
      </c>
    </row>
    <row r="374" customFormat="false" ht="18" hidden="false" customHeight="true" outlineLevel="0" collapsed="false">
      <c r="A374" s="40"/>
      <c r="B374" s="47" t="str">
        <f aca="false">IF($A374="","",IFERROR(INDEX(Equipamentos!$C$3:$C$52,MATCH($A374,Equipamentos!$A$3:$A$52,0)),""))</f>
        <v/>
      </c>
      <c r="C374" s="40"/>
      <c r="D374" s="40"/>
      <c r="E374" s="42"/>
      <c r="F374" s="45" t="str">
        <f aca="false">IF($D374="","",COUNTIF($B$3:$B374,$B374))</f>
        <v/>
      </c>
      <c r="G374" s="47" t="str">
        <f aca="false">IF($D374="","",CONCATENATE($B374,"|",$F374))</f>
        <v/>
      </c>
      <c r="H374" s="46" t="str">
        <f aca="false">IF($D374="","",IF(COUNTIFS($B$3:$B$402,$B374,$D$3:$D$402,$D374)&gt;1,"Repetido",""))</f>
        <v/>
      </c>
    </row>
    <row r="375" customFormat="false" ht="18" hidden="false" customHeight="true" outlineLevel="0" collapsed="false">
      <c r="A375" s="40"/>
      <c r="B375" s="47" t="str">
        <f aca="false">IF($A375="","",IFERROR(INDEX(Equipamentos!$C$3:$C$52,MATCH($A375,Equipamentos!$A$3:$A$52,0)),""))</f>
        <v/>
      </c>
      <c r="C375" s="40"/>
      <c r="D375" s="40"/>
      <c r="E375" s="42"/>
      <c r="F375" s="45" t="str">
        <f aca="false">IF($D375="","",COUNTIF($B$3:$B375,$B375))</f>
        <v/>
      </c>
      <c r="G375" s="47" t="str">
        <f aca="false">IF($D375="","",CONCATENATE($B375,"|",$F375))</f>
        <v/>
      </c>
      <c r="H375" s="46" t="str">
        <f aca="false">IF($D375="","",IF(COUNTIFS($B$3:$B$402,$B375,$D$3:$D$402,$D375)&gt;1,"Repetido",""))</f>
        <v/>
      </c>
    </row>
    <row r="376" customFormat="false" ht="18" hidden="false" customHeight="true" outlineLevel="0" collapsed="false">
      <c r="A376" s="40"/>
      <c r="B376" s="47" t="str">
        <f aca="false">IF($A376="","",IFERROR(INDEX(Equipamentos!$C$3:$C$52,MATCH($A376,Equipamentos!$A$3:$A$52,0)),""))</f>
        <v/>
      </c>
      <c r="C376" s="40"/>
      <c r="D376" s="40"/>
      <c r="E376" s="42"/>
      <c r="F376" s="45" t="str">
        <f aca="false">IF($D376="","",COUNTIF($B$3:$B376,$B376))</f>
        <v/>
      </c>
      <c r="G376" s="47" t="str">
        <f aca="false">IF($D376="","",CONCATENATE($B376,"|",$F376))</f>
        <v/>
      </c>
      <c r="H376" s="46" t="str">
        <f aca="false">IF($D376="","",IF(COUNTIFS($B$3:$B$402,$B376,$D$3:$D$402,$D376)&gt;1,"Repetido",""))</f>
        <v/>
      </c>
    </row>
    <row r="377" customFormat="false" ht="18" hidden="false" customHeight="true" outlineLevel="0" collapsed="false">
      <c r="A377" s="40"/>
      <c r="B377" s="47" t="str">
        <f aca="false">IF($A377="","",IFERROR(INDEX(Equipamentos!$C$3:$C$52,MATCH($A377,Equipamentos!$A$3:$A$52,0)),""))</f>
        <v/>
      </c>
      <c r="C377" s="40"/>
      <c r="D377" s="40"/>
      <c r="E377" s="42"/>
      <c r="F377" s="45" t="str">
        <f aca="false">IF($D377="","",COUNTIF($B$3:$B377,$B377))</f>
        <v/>
      </c>
      <c r="G377" s="47" t="str">
        <f aca="false">IF($D377="","",CONCATENATE($B377,"|",$F377))</f>
        <v/>
      </c>
      <c r="H377" s="46" t="str">
        <f aca="false">IF($D377="","",IF(COUNTIFS($B$3:$B$402,$B377,$D$3:$D$402,$D377)&gt;1,"Repetido",""))</f>
        <v/>
      </c>
    </row>
    <row r="378" customFormat="false" ht="18" hidden="false" customHeight="true" outlineLevel="0" collapsed="false">
      <c r="A378" s="40"/>
      <c r="B378" s="47" t="str">
        <f aca="false">IF($A378="","",IFERROR(INDEX(Equipamentos!$C$3:$C$52,MATCH($A378,Equipamentos!$A$3:$A$52,0)),""))</f>
        <v/>
      </c>
      <c r="C378" s="40"/>
      <c r="D378" s="40"/>
      <c r="E378" s="42"/>
      <c r="F378" s="45" t="str">
        <f aca="false">IF($D378="","",COUNTIF($B$3:$B378,$B378))</f>
        <v/>
      </c>
      <c r="G378" s="47" t="str">
        <f aca="false">IF($D378="","",CONCATENATE($B378,"|",$F378))</f>
        <v/>
      </c>
      <c r="H378" s="46" t="str">
        <f aca="false">IF($D378="","",IF(COUNTIFS($B$3:$B$402,$B378,$D$3:$D$402,$D378)&gt;1,"Repetido",""))</f>
        <v/>
      </c>
    </row>
    <row r="379" customFormat="false" ht="18" hidden="false" customHeight="true" outlineLevel="0" collapsed="false">
      <c r="A379" s="40"/>
      <c r="B379" s="47" t="str">
        <f aca="false">IF($A379="","",IFERROR(INDEX(Equipamentos!$C$3:$C$52,MATCH($A379,Equipamentos!$A$3:$A$52,0)),""))</f>
        <v/>
      </c>
      <c r="C379" s="40"/>
      <c r="D379" s="40"/>
      <c r="E379" s="42"/>
      <c r="F379" s="45" t="str">
        <f aca="false">IF($D379="","",COUNTIF($B$3:$B379,$B379))</f>
        <v/>
      </c>
      <c r="G379" s="47" t="str">
        <f aca="false">IF($D379="","",CONCATENATE($B379,"|",$F379))</f>
        <v/>
      </c>
      <c r="H379" s="46" t="str">
        <f aca="false">IF($D379="","",IF(COUNTIFS($B$3:$B$402,$B379,$D$3:$D$402,$D379)&gt;1,"Repetido",""))</f>
        <v/>
      </c>
    </row>
    <row r="380" customFormat="false" ht="18" hidden="false" customHeight="true" outlineLevel="0" collapsed="false">
      <c r="A380" s="40"/>
      <c r="B380" s="47" t="str">
        <f aca="false">IF($A380="","",IFERROR(INDEX(Equipamentos!$C$3:$C$52,MATCH($A380,Equipamentos!$A$3:$A$52,0)),""))</f>
        <v/>
      </c>
      <c r="C380" s="40"/>
      <c r="D380" s="40"/>
      <c r="E380" s="42"/>
      <c r="F380" s="45" t="str">
        <f aca="false">IF($D380="","",COUNTIF($B$3:$B380,$B380))</f>
        <v/>
      </c>
      <c r="G380" s="47" t="str">
        <f aca="false">IF($D380="","",CONCATENATE($B380,"|",$F380))</f>
        <v/>
      </c>
      <c r="H380" s="46" t="str">
        <f aca="false">IF($D380="","",IF(COUNTIFS($B$3:$B$402,$B380,$D$3:$D$402,$D380)&gt;1,"Repetido",""))</f>
        <v/>
      </c>
    </row>
    <row r="381" customFormat="false" ht="18" hidden="false" customHeight="true" outlineLevel="0" collapsed="false">
      <c r="A381" s="40"/>
      <c r="B381" s="47" t="str">
        <f aca="false">IF($A381="","",IFERROR(INDEX(Equipamentos!$C$3:$C$52,MATCH($A381,Equipamentos!$A$3:$A$52,0)),""))</f>
        <v/>
      </c>
      <c r="C381" s="40"/>
      <c r="D381" s="40"/>
      <c r="E381" s="42"/>
      <c r="F381" s="45" t="str">
        <f aca="false">IF($D381="","",COUNTIF($B$3:$B381,$B381))</f>
        <v/>
      </c>
      <c r="G381" s="47" t="str">
        <f aca="false">IF($D381="","",CONCATENATE($B381,"|",$F381))</f>
        <v/>
      </c>
      <c r="H381" s="46" t="str">
        <f aca="false">IF($D381="","",IF(COUNTIFS($B$3:$B$402,$B381,$D$3:$D$402,$D381)&gt;1,"Repetido",""))</f>
        <v/>
      </c>
    </row>
    <row r="382" customFormat="false" ht="18" hidden="false" customHeight="true" outlineLevel="0" collapsed="false">
      <c r="A382" s="40"/>
      <c r="B382" s="47" t="str">
        <f aca="false">IF($A382="","",IFERROR(INDEX(Equipamentos!$C$3:$C$52,MATCH($A382,Equipamentos!$A$3:$A$52,0)),""))</f>
        <v/>
      </c>
      <c r="C382" s="40"/>
      <c r="D382" s="40"/>
      <c r="E382" s="42"/>
      <c r="F382" s="45" t="str">
        <f aca="false">IF($D382="","",COUNTIF($B$3:$B382,$B382))</f>
        <v/>
      </c>
      <c r="G382" s="47" t="str">
        <f aca="false">IF($D382="","",CONCATENATE($B382,"|",$F382))</f>
        <v/>
      </c>
      <c r="H382" s="46" t="str">
        <f aca="false">IF($D382="","",IF(COUNTIFS($B$3:$B$402,$B382,$D$3:$D$402,$D382)&gt;1,"Repetido",""))</f>
        <v/>
      </c>
    </row>
    <row r="383" customFormat="false" ht="18" hidden="false" customHeight="true" outlineLevel="0" collapsed="false">
      <c r="A383" s="40"/>
      <c r="B383" s="47" t="str">
        <f aca="false">IF($A383="","",IFERROR(INDEX(Equipamentos!$C$3:$C$52,MATCH($A383,Equipamentos!$A$3:$A$52,0)),""))</f>
        <v/>
      </c>
      <c r="C383" s="40"/>
      <c r="D383" s="40"/>
      <c r="E383" s="42"/>
      <c r="F383" s="45" t="str">
        <f aca="false">IF($D383="","",COUNTIF($B$3:$B383,$B383))</f>
        <v/>
      </c>
      <c r="G383" s="47" t="str">
        <f aca="false">IF($D383="","",CONCATENATE($B383,"|",$F383))</f>
        <v/>
      </c>
      <c r="H383" s="46" t="str">
        <f aca="false">IF($D383="","",IF(COUNTIFS($B$3:$B$402,$B383,$D$3:$D$402,$D383)&gt;1,"Repetido",""))</f>
        <v/>
      </c>
    </row>
    <row r="384" customFormat="false" ht="18" hidden="false" customHeight="true" outlineLevel="0" collapsed="false">
      <c r="A384" s="40"/>
      <c r="B384" s="47" t="str">
        <f aca="false">IF($A384="","",IFERROR(INDEX(Equipamentos!$C$3:$C$52,MATCH($A384,Equipamentos!$A$3:$A$52,0)),""))</f>
        <v/>
      </c>
      <c r="C384" s="40"/>
      <c r="D384" s="40"/>
      <c r="E384" s="42"/>
      <c r="F384" s="45" t="str">
        <f aca="false">IF($D384="","",COUNTIF($B$3:$B384,$B384))</f>
        <v/>
      </c>
      <c r="G384" s="47" t="str">
        <f aca="false">IF($D384="","",CONCATENATE($B384,"|",$F384))</f>
        <v/>
      </c>
      <c r="H384" s="46" t="str">
        <f aca="false">IF($D384="","",IF(COUNTIFS($B$3:$B$402,$B384,$D$3:$D$402,$D384)&gt;1,"Repetido",""))</f>
        <v/>
      </c>
    </row>
    <row r="385" customFormat="false" ht="18" hidden="false" customHeight="true" outlineLevel="0" collapsed="false">
      <c r="A385" s="40"/>
      <c r="B385" s="47" t="str">
        <f aca="false">IF($A385="","",IFERROR(INDEX(Equipamentos!$C$3:$C$52,MATCH($A385,Equipamentos!$A$3:$A$52,0)),""))</f>
        <v/>
      </c>
      <c r="C385" s="40"/>
      <c r="D385" s="40"/>
      <c r="E385" s="42"/>
      <c r="F385" s="45" t="str">
        <f aca="false">IF($D385="","",COUNTIF($B$3:$B385,$B385))</f>
        <v/>
      </c>
      <c r="G385" s="47" t="str">
        <f aca="false">IF($D385="","",CONCATENATE($B385,"|",$F385))</f>
        <v/>
      </c>
      <c r="H385" s="46" t="str">
        <f aca="false">IF($D385="","",IF(COUNTIFS($B$3:$B$402,$B385,$D$3:$D$402,$D385)&gt;1,"Repetido",""))</f>
        <v/>
      </c>
    </row>
    <row r="386" customFormat="false" ht="18" hidden="false" customHeight="true" outlineLevel="0" collapsed="false">
      <c r="A386" s="40"/>
      <c r="B386" s="47" t="str">
        <f aca="false">IF($A386="","",IFERROR(INDEX(Equipamentos!$C$3:$C$52,MATCH($A386,Equipamentos!$A$3:$A$52,0)),""))</f>
        <v/>
      </c>
      <c r="C386" s="40"/>
      <c r="D386" s="40"/>
      <c r="E386" s="42"/>
      <c r="F386" s="45" t="str">
        <f aca="false">IF($D386="","",COUNTIF($B$3:$B386,$B386))</f>
        <v/>
      </c>
      <c r="G386" s="47" t="str">
        <f aca="false">IF($D386="","",CONCATENATE($B386,"|",$F386))</f>
        <v/>
      </c>
      <c r="H386" s="46" t="str">
        <f aca="false">IF($D386="","",IF(COUNTIFS($B$3:$B$402,$B386,$D$3:$D$402,$D386)&gt;1,"Repetido",""))</f>
        <v/>
      </c>
    </row>
    <row r="387" customFormat="false" ht="18" hidden="false" customHeight="true" outlineLevel="0" collapsed="false">
      <c r="A387" s="40"/>
      <c r="B387" s="47" t="str">
        <f aca="false">IF($A387="","",IFERROR(INDEX(Equipamentos!$C$3:$C$52,MATCH($A387,Equipamentos!$A$3:$A$52,0)),""))</f>
        <v/>
      </c>
      <c r="C387" s="40"/>
      <c r="D387" s="40"/>
      <c r="E387" s="42"/>
      <c r="F387" s="45" t="str">
        <f aca="false">IF($D387="","",COUNTIF($B$3:$B387,$B387))</f>
        <v/>
      </c>
      <c r="G387" s="47" t="str">
        <f aca="false">IF($D387="","",CONCATENATE($B387,"|",$F387))</f>
        <v/>
      </c>
      <c r="H387" s="46" t="str">
        <f aca="false">IF($D387="","",IF(COUNTIFS($B$3:$B$402,$B387,$D$3:$D$402,$D387)&gt;1,"Repetido",""))</f>
        <v/>
      </c>
    </row>
    <row r="388" customFormat="false" ht="18" hidden="false" customHeight="true" outlineLevel="0" collapsed="false">
      <c r="A388" s="40"/>
      <c r="B388" s="47" t="str">
        <f aca="false">IF($A388="","",IFERROR(INDEX(Equipamentos!$C$3:$C$52,MATCH($A388,Equipamentos!$A$3:$A$52,0)),""))</f>
        <v/>
      </c>
      <c r="C388" s="40"/>
      <c r="D388" s="40"/>
      <c r="E388" s="42"/>
      <c r="F388" s="45" t="str">
        <f aca="false">IF($D388="","",COUNTIF($B$3:$B388,$B388))</f>
        <v/>
      </c>
      <c r="G388" s="47" t="str">
        <f aca="false">IF($D388="","",CONCATENATE($B388,"|",$F388))</f>
        <v/>
      </c>
      <c r="H388" s="46" t="str">
        <f aca="false">IF($D388="","",IF(COUNTIFS($B$3:$B$402,$B388,$D$3:$D$402,$D388)&gt;1,"Repetido",""))</f>
        <v/>
      </c>
    </row>
    <row r="389" customFormat="false" ht="18" hidden="false" customHeight="true" outlineLevel="0" collapsed="false">
      <c r="A389" s="40"/>
      <c r="B389" s="47" t="str">
        <f aca="false">IF($A389="","",IFERROR(INDEX(Equipamentos!$C$3:$C$52,MATCH($A389,Equipamentos!$A$3:$A$52,0)),""))</f>
        <v/>
      </c>
      <c r="C389" s="40"/>
      <c r="D389" s="40"/>
      <c r="E389" s="42"/>
      <c r="F389" s="45" t="str">
        <f aca="false">IF($D389="","",COUNTIF($B$3:$B389,$B389))</f>
        <v/>
      </c>
      <c r="G389" s="47" t="str">
        <f aca="false">IF($D389="","",CONCATENATE($B389,"|",$F389))</f>
        <v/>
      </c>
      <c r="H389" s="46" t="str">
        <f aca="false">IF($D389="","",IF(COUNTIFS($B$3:$B$402,$B389,$D$3:$D$402,$D389)&gt;1,"Repetido",""))</f>
        <v/>
      </c>
    </row>
    <row r="390" customFormat="false" ht="18" hidden="false" customHeight="true" outlineLevel="0" collapsed="false">
      <c r="A390" s="40"/>
      <c r="B390" s="47" t="str">
        <f aca="false">IF($A390="","",IFERROR(INDEX(Equipamentos!$C$3:$C$52,MATCH($A390,Equipamentos!$A$3:$A$52,0)),""))</f>
        <v/>
      </c>
      <c r="C390" s="40"/>
      <c r="D390" s="40"/>
      <c r="E390" s="42"/>
      <c r="F390" s="45" t="str">
        <f aca="false">IF($D390="","",COUNTIF($B$3:$B390,$B390))</f>
        <v/>
      </c>
      <c r="G390" s="47" t="str">
        <f aca="false">IF($D390="","",CONCATENATE($B390,"|",$F390))</f>
        <v/>
      </c>
      <c r="H390" s="46" t="str">
        <f aca="false">IF($D390="","",IF(COUNTIFS($B$3:$B$402,$B390,$D$3:$D$402,$D390)&gt;1,"Repetido",""))</f>
        <v/>
      </c>
    </row>
    <row r="391" customFormat="false" ht="18" hidden="false" customHeight="true" outlineLevel="0" collapsed="false">
      <c r="A391" s="40"/>
      <c r="B391" s="47" t="str">
        <f aca="false">IF($A391="","",IFERROR(INDEX(Equipamentos!$C$3:$C$52,MATCH($A391,Equipamentos!$A$3:$A$52,0)),""))</f>
        <v/>
      </c>
      <c r="C391" s="40"/>
      <c r="D391" s="40"/>
      <c r="E391" s="42"/>
      <c r="F391" s="45" t="str">
        <f aca="false">IF($D391="","",COUNTIF($B$3:$B391,$B391))</f>
        <v/>
      </c>
      <c r="G391" s="47" t="str">
        <f aca="false">IF($D391="","",CONCATENATE($B391,"|",$F391))</f>
        <v/>
      </c>
      <c r="H391" s="46" t="str">
        <f aca="false">IF($D391="","",IF(COUNTIFS($B$3:$B$402,$B391,$D$3:$D$402,$D391)&gt;1,"Repetido",""))</f>
        <v/>
      </c>
    </row>
    <row r="392" customFormat="false" ht="18" hidden="false" customHeight="true" outlineLevel="0" collapsed="false">
      <c r="A392" s="40"/>
      <c r="B392" s="47" t="str">
        <f aca="false">IF($A392="","",IFERROR(INDEX(Equipamentos!$C$3:$C$52,MATCH($A392,Equipamentos!$A$3:$A$52,0)),""))</f>
        <v/>
      </c>
      <c r="C392" s="40"/>
      <c r="D392" s="40"/>
      <c r="E392" s="42"/>
      <c r="F392" s="45" t="str">
        <f aca="false">IF($D392="","",COUNTIF($B$3:$B392,$B392))</f>
        <v/>
      </c>
      <c r="G392" s="47" t="str">
        <f aca="false">IF($D392="","",CONCATENATE($B392,"|",$F392))</f>
        <v/>
      </c>
      <c r="H392" s="46" t="str">
        <f aca="false">IF($D392="","",IF(COUNTIFS($B$3:$B$402,$B392,$D$3:$D$402,$D392)&gt;1,"Repetido",""))</f>
        <v/>
      </c>
    </row>
    <row r="393" customFormat="false" ht="18" hidden="false" customHeight="true" outlineLevel="0" collapsed="false">
      <c r="A393" s="40"/>
      <c r="B393" s="47" t="str">
        <f aca="false">IF($A393="","",IFERROR(INDEX(Equipamentos!$C$3:$C$52,MATCH($A393,Equipamentos!$A$3:$A$52,0)),""))</f>
        <v/>
      </c>
      <c r="C393" s="40"/>
      <c r="D393" s="40"/>
      <c r="E393" s="42"/>
      <c r="F393" s="45" t="str">
        <f aca="false">IF($D393="","",COUNTIF($B$3:$B393,$B393))</f>
        <v/>
      </c>
      <c r="G393" s="47" t="str">
        <f aca="false">IF($D393="","",CONCATENATE($B393,"|",$F393))</f>
        <v/>
      </c>
      <c r="H393" s="46" t="str">
        <f aca="false">IF($D393="","",IF(COUNTIFS($B$3:$B$402,$B393,$D$3:$D$402,$D393)&gt;1,"Repetido",""))</f>
        <v/>
      </c>
    </row>
    <row r="394" customFormat="false" ht="18" hidden="false" customHeight="true" outlineLevel="0" collapsed="false">
      <c r="A394" s="40"/>
      <c r="B394" s="47" t="str">
        <f aca="false">IF($A394="","",IFERROR(INDEX(Equipamentos!$C$3:$C$52,MATCH($A394,Equipamentos!$A$3:$A$52,0)),""))</f>
        <v/>
      </c>
      <c r="C394" s="40"/>
      <c r="D394" s="40"/>
      <c r="E394" s="42"/>
      <c r="F394" s="45" t="str">
        <f aca="false">IF($D394="","",COUNTIF($B$3:$B394,$B394))</f>
        <v/>
      </c>
      <c r="G394" s="47" t="str">
        <f aca="false">IF($D394="","",CONCATENATE($B394,"|",$F394))</f>
        <v/>
      </c>
      <c r="H394" s="46" t="str">
        <f aca="false">IF($D394="","",IF(COUNTIFS($B$3:$B$402,$B394,$D$3:$D$402,$D394)&gt;1,"Repetido",""))</f>
        <v/>
      </c>
    </row>
    <row r="395" customFormat="false" ht="18" hidden="false" customHeight="true" outlineLevel="0" collapsed="false">
      <c r="A395" s="40"/>
      <c r="B395" s="47" t="str">
        <f aca="false">IF($A395="","",IFERROR(INDEX(Equipamentos!$C$3:$C$52,MATCH($A395,Equipamentos!$A$3:$A$52,0)),""))</f>
        <v/>
      </c>
      <c r="C395" s="40"/>
      <c r="D395" s="40"/>
      <c r="E395" s="42"/>
      <c r="F395" s="45" t="str">
        <f aca="false">IF($D395="","",COUNTIF($B$3:$B395,$B395))</f>
        <v/>
      </c>
      <c r="G395" s="47" t="str">
        <f aca="false">IF($D395="","",CONCATENATE($B395,"|",$F395))</f>
        <v/>
      </c>
      <c r="H395" s="46" t="str">
        <f aca="false">IF($D395="","",IF(COUNTIFS($B$3:$B$402,$B395,$D$3:$D$402,$D395)&gt;1,"Repetido",""))</f>
        <v/>
      </c>
    </row>
    <row r="396" customFormat="false" ht="18" hidden="false" customHeight="true" outlineLevel="0" collapsed="false">
      <c r="A396" s="40"/>
      <c r="B396" s="47" t="str">
        <f aca="false">IF($A396="","",IFERROR(INDEX(Equipamentos!$C$3:$C$52,MATCH($A396,Equipamentos!$A$3:$A$52,0)),""))</f>
        <v/>
      </c>
      <c r="C396" s="40"/>
      <c r="D396" s="40"/>
      <c r="E396" s="42"/>
      <c r="F396" s="45" t="str">
        <f aca="false">IF($D396="","",COUNTIF($B$3:$B396,$B396))</f>
        <v/>
      </c>
      <c r="G396" s="47" t="str">
        <f aca="false">IF($D396="","",CONCATENATE($B396,"|",$F396))</f>
        <v/>
      </c>
      <c r="H396" s="46" t="str">
        <f aca="false">IF($D396="","",IF(COUNTIFS($B$3:$B$402,$B396,$D$3:$D$402,$D396)&gt;1,"Repetido",""))</f>
        <v/>
      </c>
    </row>
    <row r="397" customFormat="false" ht="18" hidden="false" customHeight="true" outlineLevel="0" collapsed="false">
      <c r="A397" s="40"/>
      <c r="B397" s="47" t="str">
        <f aca="false">IF($A397="","",IFERROR(INDEX(Equipamentos!$C$3:$C$52,MATCH($A397,Equipamentos!$A$3:$A$52,0)),""))</f>
        <v/>
      </c>
      <c r="C397" s="40"/>
      <c r="D397" s="40"/>
      <c r="E397" s="42"/>
      <c r="F397" s="45" t="str">
        <f aca="false">IF($D397="","",COUNTIF($B$3:$B397,$B397))</f>
        <v/>
      </c>
      <c r="G397" s="47" t="str">
        <f aca="false">IF($D397="","",CONCATENATE($B397,"|",$F397))</f>
        <v/>
      </c>
      <c r="H397" s="46" t="str">
        <f aca="false">IF($D397="","",IF(COUNTIFS($B$3:$B$402,$B397,$D$3:$D$402,$D397)&gt;1,"Repetido",""))</f>
        <v/>
      </c>
    </row>
    <row r="398" customFormat="false" ht="18" hidden="false" customHeight="true" outlineLevel="0" collapsed="false">
      <c r="A398" s="40"/>
      <c r="B398" s="47" t="str">
        <f aca="false">IF($A398="","",IFERROR(INDEX(Equipamentos!$C$3:$C$52,MATCH($A398,Equipamentos!$A$3:$A$52,0)),""))</f>
        <v/>
      </c>
      <c r="C398" s="40"/>
      <c r="D398" s="40"/>
      <c r="E398" s="42"/>
      <c r="F398" s="45" t="str">
        <f aca="false">IF($D398="","",COUNTIF($B$3:$B398,$B398))</f>
        <v/>
      </c>
      <c r="G398" s="47" t="str">
        <f aca="false">IF($D398="","",CONCATENATE($B398,"|",$F398))</f>
        <v/>
      </c>
      <c r="H398" s="46" t="str">
        <f aca="false">IF($D398="","",IF(COUNTIFS($B$3:$B$402,$B398,$D$3:$D$402,$D398)&gt;1,"Repetido",""))</f>
        <v/>
      </c>
    </row>
    <row r="399" customFormat="false" ht="18" hidden="false" customHeight="true" outlineLevel="0" collapsed="false">
      <c r="A399" s="40"/>
      <c r="B399" s="47" t="str">
        <f aca="false">IF($A399="","",IFERROR(INDEX(Equipamentos!$C$3:$C$52,MATCH($A399,Equipamentos!$A$3:$A$52,0)),""))</f>
        <v/>
      </c>
      <c r="C399" s="40"/>
      <c r="D399" s="40"/>
      <c r="E399" s="42"/>
      <c r="F399" s="45" t="str">
        <f aca="false">IF($D399="","",COUNTIF($B$3:$B399,$B399))</f>
        <v/>
      </c>
      <c r="G399" s="47" t="str">
        <f aca="false">IF($D399="","",CONCATENATE($B399,"|",$F399))</f>
        <v/>
      </c>
      <c r="H399" s="46" t="str">
        <f aca="false">IF($D399="","",IF(COUNTIFS($B$3:$B$402,$B399,$D$3:$D$402,$D399)&gt;1,"Repetido",""))</f>
        <v/>
      </c>
    </row>
    <row r="400" customFormat="false" ht="18" hidden="false" customHeight="true" outlineLevel="0" collapsed="false">
      <c r="A400" s="40"/>
      <c r="B400" s="47" t="str">
        <f aca="false">IF($A400="","",IFERROR(INDEX(Equipamentos!$C$3:$C$52,MATCH($A400,Equipamentos!$A$3:$A$52,0)),""))</f>
        <v/>
      </c>
      <c r="C400" s="40"/>
      <c r="D400" s="40"/>
      <c r="E400" s="42"/>
      <c r="F400" s="45" t="str">
        <f aca="false">IF($D400="","",COUNTIF($B$3:$B400,$B400))</f>
        <v/>
      </c>
      <c r="G400" s="47" t="str">
        <f aca="false">IF($D400="","",CONCATENATE($B400,"|",$F400))</f>
        <v/>
      </c>
      <c r="H400" s="46" t="str">
        <f aca="false">IF($D400="","",IF(COUNTIFS($B$3:$B$402,$B400,$D$3:$D$402,$D400)&gt;1,"Repetido",""))</f>
        <v/>
      </c>
    </row>
    <row r="401" customFormat="false" ht="18" hidden="false" customHeight="true" outlineLevel="0" collapsed="false">
      <c r="A401" s="40"/>
      <c r="B401" s="47" t="str">
        <f aca="false">IF($A401="","",IFERROR(INDEX(Equipamentos!$C$3:$C$52,MATCH($A401,Equipamentos!$A$3:$A$52,0)),""))</f>
        <v/>
      </c>
      <c r="C401" s="40"/>
      <c r="D401" s="40"/>
      <c r="E401" s="42"/>
      <c r="F401" s="45" t="str">
        <f aca="false">IF($D401="","",COUNTIF($B$3:$B401,$B401))</f>
        <v/>
      </c>
      <c r="G401" s="47" t="str">
        <f aca="false">IF($D401="","",CONCATENATE($B401,"|",$F401))</f>
        <v/>
      </c>
      <c r="H401" s="46" t="str">
        <f aca="false">IF($D401="","",IF(COUNTIFS($B$3:$B$402,$B401,$D$3:$D$402,$D401)&gt;1,"Repetido",""))</f>
        <v/>
      </c>
    </row>
    <row r="402" customFormat="false" ht="18" hidden="false" customHeight="true" outlineLevel="0" collapsed="false">
      <c r="A402" s="40"/>
      <c r="B402" s="47" t="str">
        <f aca="false">IF($A402="","",IFERROR(INDEX(Equipamentos!$C$3:$C$52,MATCH($A402,Equipamentos!$A$3:$A$52,0)),""))</f>
        <v/>
      </c>
      <c r="C402" s="40"/>
      <c r="D402" s="40"/>
      <c r="E402" s="42"/>
      <c r="F402" s="45" t="str">
        <f aca="false">IF($D402="","",COUNTIF($B$3:$B402,$B402))</f>
        <v/>
      </c>
      <c r="G402" s="47" t="str">
        <f aca="false">IF($D402="","",CONCATENATE($B402,"|",$F402))</f>
        <v/>
      </c>
      <c r="H402" s="46" t="str">
        <f aca="false">IF($D402="","",IF(COUNTIFS($B$3:$B$402,$B402,$D$3:$D$402,$D402)&gt;1,"Repetido",""))</f>
        <v/>
      </c>
    </row>
  </sheetData>
  <autoFilter ref="A2:E402"/>
  <conditionalFormatting sqref="H3:H402">
    <cfRule type="cellIs" priority="2" operator="equal" aboveAverage="0" equalAverage="0" bottom="0" percent="0" rank="0" text="" dxfId="4">
      <formula>"Repetido"</formula>
    </cfRule>
  </conditionalFormatting>
  <dataValidations count="2">
    <dataValidation allowBlank="true" error="Escolha uma TAG cadastrada na aba «Equipamentos»." errorStyle="stop" errorTitle="Máquina não cadastrada" operator="between" showDropDown="false" showErrorMessage="false" showInputMessage="false" sqref="A3:A402" type="list">
      <formula1>Equipamentos!$A$3:$A$52</formula1>
      <formula2>0</formula2>
    </dataValidation>
    <dataValidation allowBlank="true" error="Use uma das notas da escala: 0, 3, 5, 7, 9 ou 10." errorStyle="stop" errorTitle="Criticidade fora da escala" operator="between" showDropDown="false" showErrorMessage="false" showInputMessage="false" sqref="E3:E402" type="list">
      <formula1>Parâmetros!$B$15:$B$20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I1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24"/>
    <col collapsed="false" customWidth="true" hidden="false" outlineLevel="0" max="4" min="4" style="0" width="22"/>
    <col collapsed="false" customWidth="true" hidden="false" outlineLevel="0" max="6" min="5" style="0" width="26"/>
    <col collapsed="false" customWidth="true" hidden="false" outlineLevel="0" max="7" min="7" style="0" width="15"/>
    <col collapsed="false" customWidth="true" hidden="false" outlineLevel="0" max="8" min="8" style="0" width="14"/>
    <col collapsed="false" customWidth="true" hidden="false" outlineLevel="0" max="9" min="9" style="0" width="24"/>
  </cols>
  <sheetData>
    <row r="1" customFormat="false" ht="17.35" hidden="false" customHeight="false" outlineLevel="0" collapsed="false">
      <c r="A1" s="13" t="s">
        <v>248</v>
      </c>
      <c r="C1" s="38" t="s">
        <v>249</v>
      </c>
    </row>
    <row r="2" customFormat="false" ht="33.75" hidden="false" customHeight="true" outlineLevel="0" collapsed="false">
      <c r="A2" s="18" t="s">
        <v>250</v>
      </c>
      <c r="B2" s="18" t="s">
        <v>99</v>
      </c>
      <c r="C2" s="18" t="s">
        <v>251</v>
      </c>
      <c r="D2" s="18" t="s">
        <v>252</v>
      </c>
      <c r="E2" s="18" t="s">
        <v>153</v>
      </c>
      <c r="F2" s="18" t="s">
        <v>103</v>
      </c>
      <c r="G2" s="18" t="s">
        <v>253</v>
      </c>
      <c r="H2" s="18" t="s">
        <v>254</v>
      </c>
      <c r="I2" s="18" t="s">
        <v>255</v>
      </c>
    </row>
    <row r="3" customFormat="false" ht="18" hidden="false" customHeight="true" outlineLevel="0" collapsed="false">
      <c r="A3" s="41" t="n">
        <f aca="false">INT(Parâmetros!$C$4)-2</f>
        <v>46232</v>
      </c>
      <c r="B3" s="39" t="s">
        <v>112</v>
      </c>
      <c r="C3" s="40" t="s">
        <v>256</v>
      </c>
      <c r="D3" s="40" t="s">
        <v>257</v>
      </c>
      <c r="E3" s="47" t="str">
        <f aca="false">IF($B3="","",IFERROR(INDEX(Equipamentos!$C$3:$C$52,MATCH($B3,Equipamentos!$A$3:$A$52,0)),""))</f>
        <v>Compressor de ar</v>
      </c>
      <c r="F3" s="47" t="str">
        <f aca="false">IF($B3="","",IFERROR(INDEX(Equipamentos!$E$3:$E$52,MATCH($B3,Equipamentos!$A$3:$A$52,0)),""))</f>
        <v>Casa de Máquinas</v>
      </c>
      <c r="G3" s="45" t="n">
        <f aca="false">IF($B3="","",COUNTIF('Itens Inspecionados'!$B$3:$B$402,$E3))</f>
        <v>9</v>
      </c>
      <c r="H3" s="45" t="n">
        <f aca="false">IF($B3="","",COUNTIFS('Lançar Resultado'!$A$3:$A$2002,$B3,'Lançar Resultado'!$B$3:$B$2002,$A3))</f>
        <v>9</v>
      </c>
      <c r="I3" s="48" t="str">
        <f aca="false">IF($B3="","",IF($H3=0,"Não lançada",IF($H3=$G3,"Completa",IF($H3&lt;$G3,CONCATENATE("Faltam ",TEXT($G3-$H3,"0")," item(ns)"),CONCATENATE("Sobram ",TEXT($H3-$G3,"0")," item(ns)")))))</f>
        <v>Completa</v>
      </c>
    </row>
    <row r="4" customFormat="false" ht="18" hidden="false" customHeight="true" outlineLevel="0" collapsed="false">
      <c r="A4" s="41" t="n">
        <f aca="false">INT(Parâmetros!$C$4)-6</f>
        <v>46228</v>
      </c>
      <c r="B4" s="39" t="s">
        <v>124</v>
      </c>
      <c r="C4" s="40" t="s">
        <v>258</v>
      </c>
      <c r="D4" s="40" t="s">
        <v>259</v>
      </c>
      <c r="E4" s="47" t="str">
        <f aca="false">IF($B4="","",IFERROR(INDEX(Equipamentos!$C$3:$C$52,MATCH($B4,Equipamentos!$A$3:$A$52,0)),""))</f>
        <v>Torno mecânico</v>
      </c>
      <c r="F4" s="47" t="str">
        <f aca="false">IF($B4="","",IFERROR(INDEX(Equipamentos!$E$3:$E$52,MATCH($B4,Equipamentos!$A$3:$A$52,0)),""))</f>
        <v>Usinagem — Setor B</v>
      </c>
      <c r="G4" s="45" t="n">
        <f aca="false">IF($B4="","",COUNTIF('Itens Inspecionados'!$B$3:$B$402,$E4))</f>
        <v>9</v>
      </c>
      <c r="H4" s="45" t="n">
        <f aca="false">IF($B4="","",COUNTIFS('Lançar Resultado'!$A$3:$A$2002,$B4,'Lançar Resultado'!$B$3:$B$2002,$A4))</f>
        <v>9</v>
      </c>
      <c r="I4" s="48" t="str">
        <f aca="false">IF($B4="","",IF($H4=0,"Não lançada",IF($H4=$G4,"Completa",IF($H4&lt;$G4,CONCATENATE("Faltam ",TEXT($G4-$H4,"0")," item(ns)"),CONCATENATE("Sobram ",TEXT($H4-$G4,"0")," item(ns)")))))</f>
        <v>Completa</v>
      </c>
    </row>
    <row r="5" customFormat="false" ht="18" hidden="false" customHeight="true" outlineLevel="0" collapsed="false">
      <c r="A5" s="41" t="n">
        <f aca="false">INT(Parâmetros!$C$4)-11</f>
        <v>46223</v>
      </c>
      <c r="B5" s="39" t="s">
        <v>139</v>
      </c>
      <c r="C5" s="40" t="s">
        <v>260</v>
      </c>
      <c r="D5" s="40" t="s">
        <v>261</v>
      </c>
      <c r="E5" s="47" t="str">
        <f aca="false">IF($B5="","",IFERROR(INDEX(Equipamentos!$C$3:$C$52,MATCH($B5,Equipamentos!$A$3:$A$52,0)),""))</f>
        <v>Empilhadeira</v>
      </c>
      <c r="F5" s="47" t="str">
        <f aca="false">IF($B5="","",IFERROR(INDEX(Equipamentos!$E$3:$E$52,MATCH($B5,Equipamentos!$A$3:$A$52,0)),""))</f>
        <v>Expedição</v>
      </c>
      <c r="G5" s="45" t="n">
        <f aca="false">IF($B5="","",COUNTIF('Itens Inspecionados'!$B$3:$B$402,$E5))</f>
        <v>9</v>
      </c>
      <c r="H5" s="45" t="n">
        <f aca="false">IF($B5="","",COUNTIFS('Lançar Resultado'!$A$3:$A$2002,$B5,'Lançar Resultado'!$B$3:$B$2002,$A5))</f>
        <v>9</v>
      </c>
      <c r="I5" s="48" t="str">
        <f aca="false">IF($B5="","",IF($H5=0,"Não lançada",IF($H5=$G5,"Completa",IF($H5&lt;$G5,CONCATENATE("Faltam ",TEXT($G5-$H5,"0")," item(ns)"),CONCATENATE("Sobram ",TEXT($H5-$G5,"0")," item(ns)")))))</f>
        <v>Completa</v>
      </c>
    </row>
    <row r="6" customFormat="false" ht="18" hidden="false" customHeight="true" outlineLevel="0" collapsed="false">
      <c r="A6" s="41" t="n">
        <f aca="false">INT(Parâmetros!$C$4)-25</f>
        <v>46209</v>
      </c>
      <c r="B6" s="39" t="s">
        <v>135</v>
      </c>
      <c r="C6" s="40" t="s">
        <v>256</v>
      </c>
      <c r="D6" s="40" t="s">
        <v>262</v>
      </c>
      <c r="E6" s="47" t="str">
        <f aca="false">IF($B6="","",IFERROR(INDEX(Equipamentos!$C$3:$C$52,MATCH($B6,Equipamentos!$A$3:$A$52,0)),""))</f>
        <v>Esteira transportadora</v>
      </c>
      <c r="F6" s="47" t="str">
        <f aca="false">IF($B6="","",IFERROR(INDEX(Equipamentos!$E$3:$E$52,MATCH($B6,Equipamentos!$A$3:$A$52,0)),""))</f>
        <v>Expedição</v>
      </c>
      <c r="G6" s="45" t="n">
        <f aca="false">IF($B6="","",COUNTIF('Itens Inspecionados'!$B$3:$B$402,$E6))</f>
        <v>8</v>
      </c>
      <c r="H6" s="45" t="n">
        <f aca="false">IF($B6="","",COUNTIFS('Lançar Resultado'!$A$3:$A$2002,$B6,'Lançar Resultado'!$B$3:$B$2002,$A6))</f>
        <v>8</v>
      </c>
      <c r="I6" s="48" t="str">
        <f aca="false">IF($B6="","",IF($H6=0,"Não lançada",IF($H6=$G6,"Completa",IF($H6&lt;$G6,CONCATENATE("Faltam ",TEXT($G6-$H6,"0")," item(ns)"),CONCATENATE("Sobram ",TEXT($H6-$G6,"0")," item(ns)")))))</f>
        <v>Completa</v>
      </c>
    </row>
    <row r="7" customFormat="false" ht="18" hidden="false" customHeight="true" outlineLevel="0" collapsed="false">
      <c r="A7" s="41" t="n">
        <f aca="false">INT(Parâmetros!$C$4)-40</f>
        <v>46194</v>
      </c>
      <c r="B7" s="39" t="s">
        <v>131</v>
      </c>
      <c r="C7" s="40" t="s">
        <v>258</v>
      </c>
      <c r="D7" s="40" t="s">
        <v>263</v>
      </c>
      <c r="E7" s="47" t="str">
        <f aca="false">IF($B7="","",IFERROR(INDEX(Equipamentos!$C$3:$C$52,MATCH($B7,Equipamentos!$A$3:$A$52,0)),""))</f>
        <v>Prensa hidráulica</v>
      </c>
      <c r="F7" s="47" t="str">
        <f aca="false">IF($B7="","",IFERROR(INDEX(Equipamentos!$E$3:$E$52,MATCH($B7,Equipamentos!$A$3:$A$52,0)),""))</f>
        <v>Estamparia</v>
      </c>
      <c r="G7" s="45" t="n">
        <f aca="false">IF($B7="","",COUNTIF('Itens Inspecionados'!$B$3:$B$402,$E7))</f>
        <v>8</v>
      </c>
      <c r="H7" s="45" t="n">
        <f aca="false">IF($B7="","",COUNTIFS('Lançar Resultado'!$A$3:$A$2002,$B7,'Lançar Resultado'!$B$3:$B$2002,$A7))</f>
        <v>8</v>
      </c>
      <c r="I7" s="48" t="str">
        <f aca="false">IF($B7="","",IF($H7=0,"Não lançada",IF($H7=$G7,"Completa",IF($H7&lt;$G7,CONCATENATE("Faltam ",TEXT($G7-$H7,"0")," item(ns)"),CONCATENATE("Sobram ",TEXT($H7-$G7,"0")," item(ns)")))))</f>
        <v>Completa</v>
      </c>
    </row>
    <row r="8" customFormat="false" ht="18" hidden="false" customHeight="true" outlineLevel="0" collapsed="false">
      <c r="A8" s="41"/>
      <c r="B8" s="39"/>
      <c r="C8" s="40"/>
      <c r="D8" s="40"/>
      <c r="E8" s="47" t="str">
        <f aca="false">IF($B8="","",IFERROR(INDEX(Equipamentos!$C$3:$C$52,MATCH($B8,Equipamentos!$A$3:$A$52,0)),""))</f>
        <v/>
      </c>
      <c r="F8" s="47" t="str">
        <f aca="false">IF($B8="","",IFERROR(INDEX(Equipamentos!$E$3:$E$52,MATCH($B8,Equipamentos!$A$3:$A$52,0)),""))</f>
        <v/>
      </c>
      <c r="G8" s="45" t="str">
        <f aca="false">IF($B8="","",COUNTIF('Itens Inspecionados'!$B$3:$B$402,$E8))</f>
        <v/>
      </c>
      <c r="H8" s="45" t="str">
        <f aca="false">IF($B8="","",COUNTIFS('Lançar Resultado'!$A$3:$A$2002,$B8,'Lançar Resultado'!$B$3:$B$2002,$A8))</f>
        <v/>
      </c>
      <c r="I8" s="48" t="str">
        <f aca="false">IF($B8="","",IF($H8=0,"Não lançada",IF($H8=$G8,"Completa",IF($H8&lt;$G8,CONCATENATE("Faltam ",TEXT($G8-$H8,"0")," item(ns)"),CONCATENATE("Sobram ",TEXT($H8-$G8,"0")," item(ns)")))))</f>
        <v/>
      </c>
    </row>
    <row r="9" customFormat="false" ht="18" hidden="false" customHeight="true" outlineLevel="0" collapsed="false">
      <c r="A9" s="41"/>
      <c r="B9" s="39"/>
      <c r="C9" s="40"/>
      <c r="D9" s="40"/>
      <c r="E9" s="47" t="str">
        <f aca="false">IF($B9="","",IFERROR(INDEX(Equipamentos!$C$3:$C$52,MATCH($B9,Equipamentos!$A$3:$A$52,0)),""))</f>
        <v/>
      </c>
      <c r="F9" s="47" t="str">
        <f aca="false">IF($B9="","",IFERROR(INDEX(Equipamentos!$E$3:$E$52,MATCH($B9,Equipamentos!$A$3:$A$52,0)),""))</f>
        <v/>
      </c>
      <c r="G9" s="45" t="str">
        <f aca="false">IF($B9="","",COUNTIF('Itens Inspecionados'!$B$3:$B$402,$E9))</f>
        <v/>
      </c>
      <c r="H9" s="45" t="str">
        <f aca="false">IF($B9="","",COUNTIFS('Lançar Resultado'!$A$3:$A$2002,$B9,'Lançar Resultado'!$B$3:$B$2002,$A9))</f>
        <v/>
      </c>
      <c r="I9" s="48" t="str">
        <f aca="false">IF($B9="","",IF($H9=0,"Não lançada",IF($H9=$G9,"Completa",IF($H9&lt;$G9,CONCATENATE("Faltam ",TEXT($G9-$H9,"0")," item(ns)"),CONCATENATE("Sobram ",TEXT($H9-$G9,"0")," item(ns)")))))</f>
        <v/>
      </c>
    </row>
    <row r="10" customFormat="false" ht="18" hidden="false" customHeight="true" outlineLevel="0" collapsed="false">
      <c r="A10" s="41"/>
      <c r="B10" s="39"/>
      <c r="C10" s="40"/>
      <c r="D10" s="40"/>
      <c r="E10" s="47" t="str">
        <f aca="false">IF($B10="","",IFERROR(INDEX(Equipamentos!$C$3:$C$52,MATCH($B10,Equipamentos!$A$3:$A$52,0)),""))</f>
        <v/>
      </c>
      <c r="F10" s="47" t="str">
        <f aca="false">IF($B10="","",IFERROR(INDEX(Equipamentos!$E$3:$E$52,MATCH($B10,Equipamentos!$A$3:$A$52,0)),""))</f>
        <v/>
      </c>
      <c r="G10" s="45" t="str">
        <f aca="false">IF($B10="","",COUNTIF('Itens Inspecionados'!$B$3:$B$402,$E10))</f>
        <v/>
      </c>
      <c r="H10" s="45" t="str">
        <f aca="false">IF($B10="","",COUNTIFS('Lançar Resultado'!$A$3:$A$2002,$B10,'Lançar Resultado'!$B$3:$B$2002,$A10))</f>
        <v/>
      </c>
      <c r="I10" s="48" t="str">
        <f aca="false">IF($B10="","",IF($H10=0,"Não lançada",IF($H10=$G10,"Completa",IF($H10&lt;$G10,CONCATENATE("Faltam ",TEXT($G10-$H10,"0")," item(ns)"),CONCATENATE("Sobram ",TEXT($H10-$G10,"0")," item(ns)")))))</f>
        <v/>
      </c>
    </row>
    <row r="11" customFormat="false" ht="18" hidden="false" customHeight="true" outlineLevel="0" collapsed="false">
      <c r="A11" s="41"/>
      <c r="B11" s="39"/>
      <c r="C11" s="40"/>
      <c r="D11" s="40"/>
      <c r="E11" s="47" t="str">
        <f aca="false">IF($B11="","",IFERROR(INDEX(Equipamentos!$C$3:$C$52,MATCH($B11,Equipamentos!$A$3:$A$52,0)),""))</f>
        <v/>
      </c>
      <c r="F11" s="47" t="str">
        <f aca="false">IF($B11="","",IFERROR(INDEX(Equipamentos!$E$3:$E$52,MATCH($B11,Equipamentos!$A$3:$A$52,0)),""))</f>
        <v/>
      </c>
      <c r="G11" s="45" t="str">
        <f aca="false">IF($B11="","",COUNTIF('Itens Inspecionados'!$B$3:$B$402,$E11))</f>
        <v/>
      </c>
      <c r="H11" s="45" t="str">
        <f aca="false">IF($B11="","",COUNTIFS('Lançar Resultado'!$A$3:$A$2002,$B11,'Lançar Resultado'!$B$3:$B$2002,$A11))</f>
        <v/>
      </c>
      <c r="I11" s="48" t="str">
        <f aca="false">IF($B11="","",IF($H11=0,"Não lançada",IF($H11=$G11,"Completa",IF($H11&lt;$G11,CONCATENATE("Faltam ",TEXT($G11-$H11,"0")," item(ns)"),CONCATENATE("Sobram ",TEXT($H11-$G11,"0")," item(ns)")))))</f>
        <v/>
      </c>
    </row>
    <row r="12" customFormat="false" ht="18" hidden="false" customHeight="true" outlineLevel="0" collapsed="false">
      <c r="A12" s="41"/>
      <c r="B12" s="39"/>
      <c r="C12" s="40"/>
      <c r="D12" s="40"/>
      <c r="E12" s="47" t="str">
        <f aca="false">IF($B12="","",IFERROR(INDEX(Equipamentos!$C$3:$C$52,MATCH($B12,Equipamentos!$A$3:$A$52,0)),""))</f>
        <v/>
      </c>
      <c r="F12" s="47" t="str">
        <f aca="false">IF($B12="","",IFERROR(INDEX(Equipamentos!$E$3:$E$52,MATCH($B12,Equipamentos!$A$3:$A$52,0)),""))</f>
        <v/>
      </c>
      <c r="G12" s="45" t="str">
        <f aca="false">IF($B12="","",COUNTIF('Itens Inspecionados'!$B$3:$B$402,$E12))</f>
        <v/>
      </c>
      <c r="H12" s="45" t="str">
        <f aca="false">IF($B12="","",COUNTIFS('Lançar Resultado'!$A$3:$A$2002,$B12,'Lançar Resultado'!$B$3:$B$2002,$A12))</f>
        <v/>
      </c>
      <c r="I12" s="48" t="str">
        <f aca="false">IF($B12="","",IF($H12=0,"Não lançada",IF($H12=$G12,"Completa",IF($H12&lt;$G12,CONCATENATE("Faltam ",TEXT($G12-$H12,"0")," item(ns)"),CONCATENATE("Sobram ",TEXT($H12-$G12,"0")," item(ns)")))))</f>
        <v/>
      </c>
    </row>
    <row r="13" customFormat="false" ht="18" hidden="false" customHeight="true" outlineLevel="0" collapsed="false">
      <c r="A13" s="41"/>
      <c r="B13" s="39"/>
      <c r="C13" s="40"/>
      <c r="D13" s="40"/>
      <c r="E13" s="47" t="str">
        <f aca="false">IF($B13="","",IFERROR(INDEX(Equipamentos!$C$3:$C$52,MATCH($B13,Equipamentos!$A$3:$A$52,0)),""))</f>
        <v/>
      </c>
      <c r="F13" s="47" t="str">
        <f aca="false">IF($B13="","",IFERROR(INDEX(Equipamentos!$E$3:$E$52,MATCH($B13,Equipamentos!$A$3:$A$52,0)),""))</f>
        <v/>
      </c>
      <c r="G13" s="45" t="str">
        <f aca="false">IF($B13="","",COUNTIF('Itens Inspecionados'!$B$3:$B$402,$E13))</f>
        <v/>
      </c>
      <c r="H13" s="45" t="str">
        <f aca="false">IF($B13="","",COUNTIFS('Lançar Resultado'!$A$3:$A$2002,$B13,'Lançar Resultado'!$B$3:$B$2002,$A13))</f>
        <v/>
      </c>
      <c r="I13" s="48" t="str">
        <f aca="false">IF($B13="","",IF($H13=0,"Não lançada",IF($H13=$G13,"Completa",IF($H13&lt;$G13,CONCATENATE("Faltam ",TEXT($G13-$H13,"0")," item(ns)"),CONCATENATE("Sobram ",TEXT($H13-$G13,"0")," item(ns)")))))</f>
        <v/>
      </c>
    </row>
    <row r="14" customFormat="false" ht="18" hidden="false" customHeight="true" outlineLevel="0" collapsed="false">
      <c r="A14" s="41"/>
      <c r="B14" s="39"/>
      <c r="C14" s="40"/>
      <c r="D14" s="40"/>
      <c r="E14" s="47" t="str">
        <f aca="false">IF($B14="","",IFERROR(INDEX(Equipamentos!$C$3:$C$52,MATCH($B14,Equipamentos!$A$3:$A$52,0)),""))</f>
        <v/>
      </c>
      <c r="F14" s="47" t="str">
        <f aca="false">IF($B14="","",IFERROR(INDEX(Equipamentos!$E$3:$E$52,MATCH($B14,Equipamentos!$A$3:$A$52,0)),""))</f>
        <v/>
      </c>
      <c r="G14" s="45" t="str">
        <f aca="false">IF($B14="","",COUNTIF('Itens Inspecionados'!$B$3:$B$402,$E14))</f>
        <v/>
      </c>
      <c r="H14" s="45" t="str">
        <f aca="false">IF($B14="","",COUNTIFS('Lançar Resultado'!$A$3:$A$2002,$B14,'Lançar Resultado'!$B$3:$B$2002,$A14))</f>
        <v/>
      </c>
      <c r="I14" s="48" t="str">
        <f aca="false">IF($B14="","",IF($H14=0,"Não lançada",IF($H14=$G14,"Completa",IF($H14&lt;$G14,CONCATENATE("Faltam ",TEXT($G14-$H14,"0")," item(ns)"),CONCATENATE("Sobram ",TEXT($H14-$G14,"0")," item(ns)")))))</f>
        <v/>
      </c>
    </row>
    <row r="15" customFormat="false" ht="18" hidden="false" customHeight="true" outlineLevel="0" collapsed="false">
      <c r="A15" s="41"/>
      <c r="B15" s="39"/>
      <c r="C15" s="40"/>
      <c r="D15" s="40"/>
      <c r="E15" s="47" t="str">
        <f aca="false">IF($B15="","",IFERROR(INDEX(Equipamentos!$C$3:$C$52,MATCH($B15,Equipamentos!$A$3:$A$52,0)),""))</f>
        <v/>
      </c>
      <c r="F15" s="47" t="str">
        <f aca="false">IF($B15="","",IFERROR(INDEX(Equipamentos!$E$3:$E$52,MATCH($B15,Equipamentos!$A$3:$A$52,0)),""))</f>
        <v/>
      </c>
      <c r="G15" s="45" t="str">
        <f aca="false">IF($B15="","",COUNTIF('Itens Inspecionados'!$B$3:$B$402,$E15))</f>
        <v/>
      </c>
      <c r="H15" s="45" t="str">
        <f aca="false">IF($B15="","",COUNTIFS('Lançar Resultado'!$A$3:$A$2002,$B15,'Lançar Resultado'!$B$3:$B$2002,$A15))</f>
        <v/>
      </c>
      <c r="I15" s="48" t="str">
        <f aca="false">IF($B15="","",IF($H15=0,"Não lançada",IF($H15=$G15,"Completa",IF($H15&lt;$G15,CONCATENATE("Faltam ",TEXT($G15-$H15,"0")," item(ns)"),CONCATENATE("Sobram ",TEXT($H15-$G15,"0")," item(ns)")))))</f>
        <v/>
      </c>
    </row>
    <row r="16" customFormat="false" ht="18" hidden="false" customHeight="true" outlineLevel="0" collapsed="false">
      <c r="A16" s="41"/>
      <c r="B16" s="39"/>
      <c r="C16" s="40"/>
      <c r="D16" s="40"/>
      <c r="E16" s="47" t="str">
        <f aca="false">IF($B16="","",IFERROR(INDEX(Equipamentos!$C$3:$C$52,MATCH($B16,Equipamentos!$A$3:$A$52,0)),""))</f>
        <v/>
      </c>
      <c r="F16" s="47" t="str">
        <f aca="false">IF($B16="","",IFERROR(INDEX(Equipamentos!$E$3:$E$52,MATCH($B16,Equipamentos!$A$3:$A$52,0)),""))</f>
        <v/>
      </c>
      <c r="G16" s="45" t="str">
        <f aca="false">IF($B16="","",COUNTIF('Itens Inspecionados'!$B$3:$B$402,$E16))</f>
        <v/>
      </c>
      <c r="H16" s="45" t="str">
        <f aca="false">IF($B16="","",COUNTIFS('Lançar Resultado'!$A$3:$A$2002,$B16,'Lançar Resultado'!$B$3:$B$2002,$A16))</f>
        <v/>
      </c>
      <c r="I16" s="48" t="str">
        <f aca="false">IF($B16="","",IF($H16=0,"Não lançada",IF($H16=$G16,"Completa",IF($H16&lt;$G16,CONCATENATE("Faltam ",TEXT($G16-$H16,"0")," item(ns)"),CONCATENATE("Sobram ",TEXT($H16-$G16,"0")," item(ns)")))))</f>
        <v/>
      </c>
    </row>
    <row r="17" customFormat="false" ht="18" hidden="false" customHeight="true" outlineLevel="0" collapsed="false">
      <c r="A17" s="41"/>
      <c r="B17" s="39"/>
      <c r="C17" s="40"/>
      <c r="D17" s="40"/>
      <c r="E17" s="47" t="str">
        <f aca="false">IF($B17="","",IFERROR(INDEX(Equipamentos!$C$3:$C$52,MATCH($B17,Equipamentos!$A$3:$A$52,0)),""))</f>
        <v/>
      </c>
      <c r="F17" s="47" t="str">
        <f aca="false">IF($B17="","",IFERROR(INDEX(Equipamentos!$E$3:$E$52,MATCH($B17,Equipamentos!$A$3:$A$52,0)),""))</f>
        <v/>
      </c>
      <c r="G17" s="45" t="str">
        <f aca="false">IF($B17="","",COUNTIF('Itens Inspecionados'!$B$3:$B$402,$E17))</f>
        <v/>
      </c>
      <c r="H17" s="45" t="str">
        <f aca="false">IF($B17="","",COUNTIFS('Lançar Resultado'!$A$3:$A$2002,$B17,'Lançar Resultado'!$B$3:$B$2002,$A17))</f>
        <v/>
      </c>
      <c r="I17" s="48" t="str">
        <f aca="false">IF($B17="","",IF($H17=0,"Não lançada",IF($H17=$G17,"Completa",IF($H17&lt;$G17,CONCATENATE("Faltam ",TEXT($G17-$H17,"0")," item(ns)"),CONCATENATE("Sobram ",TEXT($H17-$G17,"0")," item(ns)")))))</f>
        <v/>
      </c>
    </row>
    <row r="18" customFormat="false" ht="18" hidden="false" customHeight="true" outlineLevel="0" collapsed="false">
      <c r="A18" s="41"/>
      <c r="B18" s="39"/>
      <c r="C18" s="40"/>
      <c r="D18" s="40"/>
      <c r="E18" s="47" t="str">
        <f aca="false">IF($B18="","",IFERROR(INDEX(Equipamentos!$C$3:$C$52,MATCH($B18,Equipamentos!$A$3:$A$52,0)),""))</f>
        <v/>
      </c>
      <c r="F18" s="47" t="str">
        <f aca="false">IF($B18="","",IFERROR(INDEX(Equipamentos!$E$3:$E$52,MATCH($B18,Equipamentos!$A$3:$A$52,0)),""))</f>
        <v/>
      </c>
      <c r="G18" s="45" t="str">
        <f aca="false">IF($B18="","",COUNTIF('Itens Inspecionados'!$B$3:$B$402,$E18))</f>
        <v/>
      </c>
      <c r="H18" s="45" t="str">
        <f aca="false">IF($B18="","",COUNTIFS('Lançar Resultado'!$A$3:$A$2002,$B18,'Lançar Resultado'!$B$3:$B$2002,$A18))</f>
        <v/>
      </c>
      <c r="I18" s="48" t="str">
        <f aca="false">IF($B18="","",IF($H18=0,"Não lançada",IF($H18=$G18,"Completa",IF($H18&lt;$G18,CONCATENATE("Faltam ",TEXT($G18-$H18,"0")," item(ns)"),CONCATENATE("Sobram ",TEXT($H18-$G18,"0")," item(ns)")))))</f>
        <v/>
      </c>
    </row>
    <row r="19" customFormat="false" ht="18" hidden="false" customHeight="true" outlineLevel="0" collapsed="false">
      <c r="A19" s="41"/>
      <c r="B19" s="39"/>
      <c r="C19" s="40"/>
      <c r="D19" s="40"/>
      <c r="E19" s="47" t="str">
        <f aca="false">IF($B19="","",IFERROR(INDEX(Equipamentos!$C$3:$C$52,MATCH($B19,Equipamentos!$A$3:$A$52,0)),""))</f>
        <v/>
      </c>
      <c r="F19" s="47" t="str">
        <f aca="false">IF($B19="","",IFERROR(INDEX(Equipamentos!$E$3:$E$52,MATCH($B19,Equipamentos!$A$3:$A$52,0)),""))</f>
        <v/>
      </c>
      <c r="G19" s="45" t="str">
        <f aca="false">IF($B19="","",COUNTIF('Itens Inspecionados'!$B$3:$B$402,$E19))</f>
        <v/>
      </c>
      <c r="H19" s="45" t="str">
        <f aca="false">IF($B19="","",COUNTIFS('Lançar Resultado'!$A$3:$A$2002,$B19,'Lançar Resultado'!$B$3:$B$2002,$A19))</f>
        <v/>
      </c>
      <c r="I19" s="48" t="str">
        <f aca="false">IF($B19="","",IF($H19=0,"Não lançada",IF($H19=$G19,"Completa",IF($H19&lt;$G19,CONCATENATE("Faltam ",TEXT($G19-$H19,"0")," item(ns)"),CONCATENATE("Sobram ",TEXT($H19-$G19,"0")," item(ns)")))))</f>
        <v/>
      </c>
    </row>
    <row r="20" customFormat="false" ht="18" hidden="false" customHeight="true" outlineLevel="0" collapsed="false">
      <c r="A20" s="41"/>
      <c r="B20" s="39"/>
      <c r="C20" s="40"/>
      <c r="D20" s="40"/>
      <c r="E20" s="47" t="str">
        <f aca="false">IF($B20="","",IFERROR(INDEX(Equipamentos!$C$3:$C$52,MATCH($B20,Equipamentos!$A$3:$A$52,0)),""))</f>
        <v/>
      </c>
      <c r="F20" s="47" t="str">
        <f aca="false">IF($B20="","",IFERROR(INDEX(Equipamentos!$E$3:$E$52,MATCH($B20,Equipamentos!$A$3:$A$52,0)),""))</f>
        <v/>
      </c>
      <c r="G20" s="45" t="str">
        <f aca="false">IF($B20="","",COUNTIF('Itens Inspecionados'!$B$3:$B$402,$E20))</f>
        <v/>
      </c>
      <c r="H20" s="45" t="str">
        <f aca="false">IF($B20="","",COUNTIFS('Lançar Resultado'!$A$3:$A$2002,$B20,'Lançar Resultado'!$B$3:$B$2002,$A20))</f>
        <v/>
      </c>
      <c r="I20" s="48" t="str">
        <f aca="false">IF($B20="","",IF($H20=0,"Não lançada",IF($H20=$G20,"Completa",IF($H20&lt;$G20,CONCATENATE("Faltam ",TEXT($G20-$H20,"0")," item(ns)"),CONCATENATE("Sobram ",TEXT($H20-$G20,"0")," item(ns)")))))</f>
        <v/>
      </c>
    </row>
    <row r="21" customFormat="false" ht="18" hidden="false" customHeight="true" outlineLevel="0" collapsed="false">
      <c r="A21" s="41"/>
      <c r="B21" s="39"/>
      <c r="C21" s="40"/>
      <c r="D21" s="40"/>
      <c r="E21" s="47" t="str">
        <f aca="false">IF($B21="","",IFERROR(INDEX(Equipamentos!$C$3:$C$52,MATCH($B21,Equipamentos!$A$3:$A$52,0)),""))</f>
        <v/>
      </c>
      <c r="F21" s="47" t="str">
        <f aca="false">IF($B21="","",IFERROR(INDEX(Equipamentos!$E$3:$E$52,MATCH($B21,Equipamentos!$A$3:$A$52,0)),""))</f>
        <v/>
      </c>
      <c r="G21" s="45" t="str">
        <f aca="false">IF($B21="","",COUNTIF('Itens Inspecionados'!$B$3:$B$402,$E21))</f>
        <v/>
      </c>
      <c r="H21" s="45" t="str">
        <f aca="false">IF($B21="","",COUNTIFS('Lançar Resultado'!$A$3:$A$2002,$B21,'Lançar Resultado'!$B$3:$B$2002,$A21))</f>
        <v/>
      </c>
      <c r="I21" s="48" t="str">
        <f aca="false">IF($B21="","",IF($H21=0,"Não lançada",IF($H21=$G21,"Completa",IF($H21&lt;$G21,CONCATENATE("Faltam ",TEXT($G21-$H21,"0")," item(ns)"),CONCATENATE("Sobram ",TEXT($H21-$G21,"0")," item(ns)")))))</f>
        <v/>
      </c>
    </row>
    <row r="22" customFormat="false" ht="18" hidden="false" customHeight="true" outlineLevel="0" collapsed="false">
      <c r="A22" s="41"/>
      <c r="B22" s="39"/>
      <c r="C22" s="40"/>
      <c r="D22" s="40"/>
      <c r="E22" s="47" t="str">
        <f aca="false">IF($B22="","",IFERROR(INDEX(Equipamentos!$C$3:$C$52,MATCH($B22,Equipamentos!$A$3:$A$52,0)),""))</f>
        <v/>
      </c>
      <c r="F22" s="47" t="str">
        <f aca="false">IF($B22="","",IFERROR(INDEX(Equipamentos!$E$3:$E$52,MATCH($B22,Equipamentos!$A$3:$A$52,0)),""))</f>
        <v/>
      </c>
      <c r="G22" s="45" t="str">
        <f aca="false">IF($B22="","",COUNTIF('Itens Inspecionados'!$B$3:$B$402,$E22))</f>
        <v/>
      </c>
      <c r="H22" s="45" t="str">
        <f aca="false">IF($B22="","",COUNTIFS('Lançar Resultado'!$A$3:$A$2002,$B22,'Lançar Resultado'!$B$3:$B$2002,$A22))</f>
        <v/>
      </c>
      <c r="I22" s="48" t="str">
        <f aca="false">IF($B22="","",IF($H22=0,"Não lançada",IF($H22=$G22,"Completa",IF($H22&lt;$G22,CONCATENATE("Faltam ",TEXT($G22-$H22,"0")," item(ns)"),CONCATENATE("Sobram ",TEXT($H22-$G22,"0")," item(ns)")))))</f>
        <v/>
      </c>
    </row>
    <row r="23" customFormat="false" ht="18" hidden="false" customHeight="true" outlineLevel="0" collapsed="false">
      <c r="A23" s="41"/>
      <c r="B23" s="39"/>
      <c r="C23" s="40"/>
      <c r="D23" s="40"/>
      <c r="E23" s="47" t="str">
        <f aca="false">IF($B23="","",IFERROR(INDEX(Equipamentos!$C$3:$C$52,MATCH($B23,Equipamentos!$A$3:$A$52,0)),""))</f>
        <v/>
      </c>
      <c r="F23" s="47" t="str">
        <f aca="false">IF($B23="","",IFERROR(INDEX(Equipamentos!$E$3:$E$52,MATCH($B23,Equipamentos!$A$3:$A$52,0)),""))</f>
        <v/>
      </c>
      <c r="G23" s="45" t="str">
        <f aca="false">IF($B23="","",COUNTIF('Itens Inspecionados'!$B$3:$B$402,$E23))</f>
        <v/>
      </c>
      <c r="H23" s="45" t="str">
        <f aca="false">IF($B23="","",COUNTIFS('Lançar Resultado'!$A$3:$A$2002,$B23,'Lançar Resultado'!$B$3:$B$2002,$A23))</f>
        <v/>
      </c>
      <c r="I23" s="48" t="str">
        <f aca="false">IF($B23="","",IF($H23=0,"Não lançada",IF($H23=$G23,"Completa",IF($H23&lt;$G23,CONCATENATE("Faltam ",TEXT($G23-$H23,"0")," item(ns)"),CONCATENATE("Sobram ",TEXT($H23-$G23,"0")," item(ns)")))))</f>
        <v/>
      </c>
    </row>
    <row r="24" customFormat="false" ht="18" hidden="false" customHeight="true" outlineLevel="0" collapsed="false">
      <c r="A24" s="41"/>
      <c r="B24" s="39"/>
      <c r="C24" s="40"/>
      <c r="D24" s="40"/>
      <c r="E24" s="47" t="str">
        <f aca="false">IF($B24="","",IFERROR(INDEX(Equipamentos!$C$3:$C$52,MATCH($B24,Equipamentos!$A$3:$A$52,0)),""))</f>
        <v/>
      </c>
      <c r="F24" s="47" t="str">
        <f aca="false">IF($B24="","",IFERROR(INDEX(Equipamentos!$E$3:$E$52,MATCH($B24,Equipamentos!$A$3:$A$52,0)),""))</f>
        <v/>
      </c>
      <c r="G24" s="45" t="str">
        <f aca="false">IF($B24="","",COUNTIF('Itens Inspecionados'!$B$3:$B$402,$E24))</f>
        <v/>
      </c>
      <c r="H24" s="45" t="str">
        <f aca="false">IF($B24="","",COUNTIFS('Lançar Resultado'!$A$3:$A$2002,$B24,'Lançar Resultado'!$B$3:$B$2002,$A24))</f>
        <v/>
      </c>
      <c r="I24" s="48" t="str">
        <f aca="false">IF($B24="","",IF($H24=0,"Não lançada",IF($H24=$G24,"Completa",IF($H24&lt;$G24,CONCATENATE("Faltam ",TEXT($G24-$H24,"0")," item(ns)"),CONCATENATE("Sobram ",TEXT($H24-$G24,"0")," item(ns)")))))</f>
        <v/>
      </c>
    </row>
    <row r="25" customFormat="false" ht="18" hidden="false" customHeight="true" outlineLevel="0" collapsed="false">
      <c r="A25" s="41"/>
      <c r="B25" s="39"/>
      <c r="C25" s="40"/>
      <c r="D25" s="40"/>
      <c r="E25" s="47" t="str">
        <f aca="false">IF($B25="","",IFERROR(INDEX(Equipamentos!$C$3:$C$52,MATCH($B25,Equipamentos!$A$3:$A$52,0)),""))</f>
        <v/>
      </c>
      <c r="F25" s="47" t="str">
        <f aca="false">IF($B25="","",IFERROR(INDEX(Equipamentos!$E$3:$E$52,MATCH($B25,Equipamentos!$A$3:$A$52,0)),""))</f>
        <v/>
      </c>
      <c r="G25" s="45" t="str">
        <f aca="false">IF($B25="","",COUNTIF('Itens Inspecionados'!$B$3:$B$402,$E25))</f>
        <v/>
      </c>
      <c r="H25" s="45" t="str">
        <f aca="false">IF($B25="","",COUNTIFS('Lançar Resultado'!$A$3:$A$2002,$B25,'Lançar Resultado'!$B$3:$B$2002,$A25))</f>
        <v/>
      </c>
      <c r="I25" s="48" t="str">
        <f aca="false">IF($B25="","",IF($H25=0,"Não lançada",IF($H25=$G25,"Completa",IF($H25&lt;$G25,CONCATENATE("Faltam ",TEXT($G25-$H25,"0")," item(ns)"),CONCATENATE("Sobram ",TEXT($H25-$G25,"0")," item(ns)")))))</f>
        <v/>
      </c>
    </row>
    <row r="26" customFormat="false" ht="18" hidden="false" customHeight="true" outlineLevel="0" collapsed="false">
      <c r="A26" s="41"/>
      <c r="B26" s="39"/>
      <c r="C26" s="40"/>
      <c r="D26" s="40"/>
      <c r="E26" s="47" t="str">
        <f aca="false">IF($B26="","",IFERROR(INDEX(Equipamentos!$C$3:$C$52,MATCH($B26,Equipamentos!$A$3:$A$52,0)),""))</f>
        <v/>
      </c>
      <c r="F26" s="47" t="str">
        <f aca="false">IF($B26="","",IFERROR(INDEX(Equipamentos!$E$3:$E$52,MATCH($B26,Equipamentos!$A$3:$A$52,0)),""))</f>
        <v/>
      </c>
      <c r="G26" s="45" t="str">
        <f aca="false">IF($B26="","",COUNTIF('Itens Inspecionados'!$B$3:$B$402,$E26))</f>
        <v/>
      </c>
      <c r="H26" s="45" t="str">
        <f aca="false">IF($B26="","",COUNTIFS('Lançar Resultado'!$A$3:$A$2002,$B26,'Lançar Resultado'!$B$3:$B$2002,$A26))</f>
        <v/>
      </c>
      <c r="I26" s="48" t="str">
        <f aca="false">IF($B26="","",IF($H26=0,"Não lançada",IF($H26=$G26,"Completa",IF($H26&lt;$G26,CONCATENATE("Faltam ",TEXT($G26-$H26,"0")," item(ns)"),CONCATENATE("Sobram ",TEXT($H26-$G26,"0")," item(ns)")))))</f>
        <v/>
      </c>
    </row>
    <row r="27" customFormat="false" ht="18" hidden="false" customHeight="true" outlineLevel="0" collapsed="false">
      <c r="A27" s="41"/>
      <c r="B27" s="39"/>
      <c r="C27" s="40"/>
      <c r="D27" s="40"/>
      <c r="E27" s="47" t="str">
        <f aca="false">IF($B27="","",IFERROR(INDEX(Equipamentos!$C$3:$C$52,MATCH($B27,Equipamentos!$A$3:$A$52,0)),""))</f>
        <v/>
      </c>
      <c r="F27" s="47" t="str">
        <f aca="false">IF($B27="","",IFERROR(INDEX(Equipamentos!$E$3:$E$52,MATCH($B27,Equipamentos!$A$3:$A$52,0)),""))</f>
        <v/>
      </c>
      <c r="G27" s="45" t="str">
        <f aca="false">IF($B27="","",COUNTIF('Itens Inspecionados'!$B$3:$B$402,$E27))</f>
        <v/>
      </c>
      <c r="H27" s="45" t="str">
        <f aca="false">IF($B27="","",COUNTIFS('Lançar Resultado'!$A$3:$A$2002,$B27,'Lançar Resultado'!$B$3:$B$2002,$A27))</f>
        <v/>
      </c>
      <c r="I27" s="48" t="str">
        <f aca="false">IF($B27="","",IF($H27=0,"Não lançada",IF($H27=$G27,"Completa",IF($H27&lt;$G27,CONCATENATE("Faltam ",TEXT($G27-$H27,"0")," item(ns)"),CONCATENATE("Sobram ",TEXT($H27-$G27,"0")," item(ns)")))))</f>
        <v/>
      </c>
    </row>
    <row r="28" customFormat="false" ht="18" hidden="false" customHeight="true" outlineLevel="0" collapsed="false">
      <c r="A28" s="41"/>
      <c r="B28" s="39"/>
      <c r="C28" s="40"/>
      <c r="D28" s="40"/>
      <c r="E28" s="47" t="str">
        <f aca="false">IF($B28="","",IFERROR(INDEX(Equipamentos!$C$3:$C$52,MATCH($B28,Equipamentos!$A$3:$A$52,0)),""))</f>
        <v/>
      </c>
      <c r="F28" s="47" t="str">
        <f aca="false">IF($B28="","",IFERROR(INDEX(Equipamentos!$E$3:$E$52,MATCH($B28,Equipamentos!$A$3:$A$52,0)),""))</f>
        <v/>
      </c>
      <c r="G28" s="45" t="str">
        <f aca="false">IF($B28="","",COUNTIF('Itens Inspecionados'!$B$3:$B$402,$E28))</f>
        <v/>
      </c>
      <c r="H28" s="45" t="str">
        <f aca="false">IF($B28="","",COUNTIFS('Lançar Resultado'!$A$3:$A$2002,$B28,'Lançar Resultado'!$B$3:$B$2002,$A28))</f>
        <v/>
      </c>
      <c r="I28" s="48" t="str">
        <f aca="false">IF($B28="","",IF($H28=0,"Não lançada",IF($H28=$G28,"Completa",IF($H28&lt;$G28,CONCATENATE("Faltam ",TEXT($G28-$H28,"0")," item(ns)"),CONCATENATE("Sobram ",TEXT($H28-$G28,"0")," item(ns)")))))</f>
        <v/>
      </c>
    </row>
    <row r="29" customFormat="false" ht="18" hidden="false" customHeight="true" outlineLevel="0" collapsed="false">
      <c r="A29" s="41"/>
      <c r="B29" s="39"/>
      <c r="C29" s="40"/>
      <c r="D29" s="40"/>
      <c r="E29" s="47" t="str">
        <f aca="false">IF($B29="","",IFERROR(INDEX(Equipamentos!$C$3:$C$52,MATCH($B29,Equipamentos!$A$3:$A$52,0)),""))</f>
        <v/>
      </c>
      <c r="F29" s="47" t="str">
        <f aca="false">IF($B29="","",IFERROR(INDEX(Equipamentos!$E$3:$E$52,MATCH($B29,Equipamentos!$A$3:$A$52,0)),""))</f>
        <v/>
      </c>
      <c r="G29" s="45" t="str">
        <f aca="false">IF($B29="","",COUNTIF('Itens Inspecionados'!$B$3:$B$402,$E29))</f>
        <v/>
      </c>
      <c r="H29" s="45" t="str">
        <f aca="false">IF($B29="","",COUNTIFS('Lançar Resultado'!$A$3:$A$2002,$B29,'Lançar Resultado'!$B$3:$B$2002,$A29))</f>
        <v/>
      </c>
      <c r="I29" s="48" t="str">
        <f aca="false">IF($B29="","",IF($H29=0,"Não lançada",IF($H29=$G29,"Completa",IF($H29&lt;$G29,CONCATENATE("Faltam ",TEXT($G29-$H29,"0")," item(ns)"),CONCATENATE("Sobram ",TEXT($H29-$G29,"0")," item(ns)")))))</f>
        <v/>
      </c>
    </row>
    <row r="30" customFormat="false" ht="18" hidden="false" customHeight="true" outlineLevel="0" collapsed="false">
      <c r="A30" s="41"/>
      <c r="B30" s="39"/>
      <c r="C30" s="40"/>
      <c r="D30" s="40"/>
      <c r="E30" s="47" t="str">
        <f aca="false">IF($B30="","",IFERROR(INDEX(Equipamentos!$C$3:$C$52,MATCH($B30,Equipamentos!$A$3:$A$52,0)),""))</f>
        <v/>
      </c>
      <c r="F30" s="47" t="str">
        <f aca="false">IF($B30="","",IFERROR(INDEX(Equipamentos!$E$3:$E$52,MATCH($B30,Equipamentos!$A$3:$A$52,0)),""))</f>
        <v/>
      </c>
      <c r="G30" s="45" t="str">
        <f aca="false">IF($B30="","",COUNTIF('Itens Inspecionados'!$B$3:$B$402,$E30))</f>
        <v/>
      </c>
      <c r="H30" s="45" t="str">
        <f aca="false">IF($B30="","",COUNTIFS('Lançar Resultado'!$A$3:$A$2002,$B30,'Lançar Resultado'!$B$3:$B$2002,$A30))</f>
        <v/>
      </c>
      <c r="I30" s="48" t="str">
        <f aca="false">IF($B30="","",IF($H30=0,"Não lançada",IF($H30=$G30,"Completa",IF($H30&lt;$G30,CONCATENATE("Faltam ",TEXT($G30-$H30,"0")," item(ns)"),CONCATENATE("Sobram ",TEXT($H30-$G30,"0")," item(ns)")))))</f>
        <v/>
      </c>
    </row>
    <row r="31" customFormat="false" ht="18" hidden="false" customHeight="true" outlineLevel="0" collapsed="false">
      <c r="A31" s="41"/>
      <c r="B31" s="39"/>
      <c r="C31" s="40"/>
      <c r="D31" s="40"/>
      <c r="E31" s="47" t="str">
        <f aca="false">IF($B31="","",IFERROR(INDEX(Equipamentos!$C$3:$C$52,MATCH($B31,Equipamentos!$A$3:$A$52,0)),""))</f>
        <v/>
      </c>
      <c r="F31" s="47" t="str">
        <f aca="false">IF($B31="","",IFERROR(INDEX(Equipamentos!$E$3:$E$52,MATCH($B31,Equipamentos!$A$3:$A$52,0)),""))</f>
        <v/>
      </c>
      <c r="G31" s="45" t="str">
        <f aca="false">IF($B31="","",COUNTIF('Itens Inspecionados'!$B$3:$B$402,$E31))</f>
        <v/>
      </c>
      <c r="H31" s="45" t="str">
        <f aca="false">IF($B31="","",COUNTIFS('Lançar Resultado'!$A$3:$A$2002,$B31,'Lançar Resultado'!$B$3:$B$2002,$A31))</f>
        <v/>
      </c>
      <c r="I31" s="48" t="str">
        <f aca="false">IF($B31="","",IF($H31=0,"Não lançada",IF($H31=$G31,"Completa",IF($H31&lt;$G31,CONCATENATE("Faltam ",TEXT($G31-$H31,"0")," item(ns)"),CONCATENATE("Sobram ",TEXT($H31-$G31,"0")," item(ns)")))))</f>
        <v/>
      </c>
    </row>
    <row r="32" customFormat="false" ht="18" hidden="false" customHeight="true" outlineLevel="0" collapsed="false">
      <c r="A32" s="41"/>
      <c r="B32" s="39"/>
      <c r="C32" s="40"/>
      <c r="D32" s="40"/>
      <c r="E32" s="47" t="str">
        <f aca="false">IF($B32="","",IFERROR(INDEX(Equipamentos!$C$3:$C$52,MATCH($B32,Equipamentos!$A$3:$A$52,0)),""))</f>
        <v/>
      </c>
      <c r="F32" s="47" t="str">
        <f aca="false">IF($B32="","",IFERROR(INDEX(Equipamentos!$E$3:$E$52,MATCH($B32,Equipamentos!$A$3:$A$52,0)),""))</f>
        <v/>
      </c>
      <c r="G32" s="45" t="str">
        <f aca="false">IF($B32="","",COUNTIF('Itens Inspecionados'!$B$3:$B$402,$E32))</f>
        <v/>
      </c>
      <c r="H32" s="45" t="str">
        <f aca="false">IF($B32="","",COUNTIFS('Lançar Resultado'!$A$3:$A$2002,$B32,'Lançar Resultado'!$B$3:$B$2002,$A32))</f>
        <v/>
      </c>
      <c r="I32" s="48" t="str">
        <f aca="false">IF($B32="","",IF($H32=0,"Não lançada",IF($H32=$G32,"Completa",IF($H32&lt;$G32,CONCATENATE("Faltam ",TEXT($G32-$H32,"0")," item(ns)"),CONCATENATE("Sobram ",TEXT($H32-$G32,"0")," item(ns)")))))</f>
        <v/>
      </c>
    </row>
    <row r="33" customFormat="false" ht="18" hidden="false" customHeight="true" outlineLevel="0" collapsed="false">
      <c r="A33" s="41"/>
      <c r="B33" s="39"/>
      <c r="C33" s="40"/>
      <c r="D33" s="40"/>
      <c r="E33" s="47" t="str">
        <f aca="false">IF($B33="","",IFERROR(INDEX(Equipamentos!$C$3:$C$52,MATCH($B33,Equipamentos!$A$3:$A$52,0)),""))</f>
        <v/>
      </c>
      <c r="F33" s="47" t="str">
        <f aca="false">IF($B33="","",IFERROR(INDEX(Equipamentos!$E$3:$E$52,MATCH($B33,Equipamentos!$A$3:$A$52,0)),""))</f>
        <v/>
      </c>
      <c r="G33" s="45" t="str">
        <f aca="false">IF($B33="","",COUNTIF('Itens Inspecionados'!$B$3:$B$402,$E33))</f>
        <v/>
      </c>
      <c r="H33" s="45" t="str">
        <f aca="false">IF($B33="","",COUNTIFS('Lançar Resultado'!$A$3:$A$2002,$B33,'Lançar Resultado'!$B$3:$B$2002,$A33))</f>
        <v/>
      </c>
      <c r="I33" s="48" t="str">
        <f aca="false">IF($B33="","",IF($H33=0,"Não lançada",IF($H33=$G33,"Completa",IF($H33&lt;$G33,CONCATENATE("Faltam ",TEXT($G33-$H33,"0")," item(ns)"),CONCATENATE("Sobram ",TEXT($H33-$G33,"0")," item(ns)")))))</f>
        <v/>
      </c>
    </row>
    <row r="34" customFormat="false" ht="18" hidden="false" customHeight="true" outlineLevel="0" collapsed="false">
      <c r="A34" s="41"/>
      <c r="B34" s="39"/>
      <c r="C34" s="40"/>
      <c r="D34" s="40"/>
      <c r="E34" s="47" t="str">
        <f aca="false">IF($B34="","",IFERROR(INDEX(Equipamentos!$C$3:$C$52,MATCH($B34,Equipamentos!$A$3:$A$52,0)),""))</f>
        <v/>
      </c>
      <c r="F34" s="47" t="str">
        <f aca="false">IF($B34="","",IFERROR(INDEX(Equipamentos!$E$3:$E$52,MATCH($B34,Equipamentos!$A$3:$A$52,0)),""))</f>
        <v/>
      </c>
      <c r="G34" s="45" t="str">
        <f aca="false">IF($B34="","",COUNTIF('Itens Inspecionados'!$B$3:$B$402,$E34))</f>
        <v/>
      </c>
      <c r="H34" s="45" t="str">
        <f aca="false">IF($B34="","",COUNTIFS('Lançar Resultado'!$A$3:$A$2002,$B34,'Lançar Resultado'!$B$3:$B$2002,$A34))</f>
        <v/>
      </c>
      <c r="I34" s="48" t="str">
        <f aca="false">IF($B34="","",IF($H34=0,"Não lançada",IF($H34=$G34,"Completa",IF($H34&lt;$G34,CONCATENATE("Faltam ",TEXT($G34-$H34,"0")," item(ns)"),CONCATENATE("Sobram ",TEXT($H34-$G34,"0")," item(ns)")))))</f>
        <v/>
      </c>
    </row>
    <row r="35" customFormat="false" ht="18" hidden="false" customHeight="true" outlineLevel="0" collapsed="false">
      <c r="A35" s="41"/>
      <c r="B35" s="39"/>
      <c r="C35" s="40"/>
      <c r="D35" s="40"/>
      <c r="E35" s="47" t="str">
        <f aca="false">IF($B35="","",IFERROR(INDEX(Equipamentos!$C$3:$C$52,MATCH($B35,Equipamentos!$A$3:$A$52,0)),""))</f>
        <v/>
      </c>
      <c r="F35" s="47" t="str">
        <f aca="false">IF($B35="","",IFERROR(INDEX(Equipamentos!$E$3:$E$52,MATCH($B35,Equipamentos!$A$3:$A$52,0)),""))</f>
        <v/>
      </c>
      <c r="G35" s="45" t="str">
        <f aca="false">IF($B35="","",COUNTIF('Itens Inspecionados'!$B$3:$B$402,$E35))</f>
        <v/>
      </c>
      <c r="H35" s="45" t="str">
        <f aca="false">IF($B35="","",COUNTIFS('Lançar Resultado'!$A$3:$A$2002,$B35,'Lançar Resultado'!$B$3:$B$2002,$A35))</f>
        <v/>
      </c>
      <c r="I35" s="48" t="str">
        <f aca="false">IF($B35="","",IF($H35=0,"Não lançada",IF($H35=$G35,"Completa",IF($H35&lt;$G35,CONCATENATE("Faltam ",TEXT($G35-$H35,"0")," item(ns)"),CONCATENATE("Sobram ",TEXT($H35-$G35,"0")," item(ns)")))))</f>
        <v/>
      </c>
    </row>
    <row r="36" customFormat="false" ht="18" hidden="false" customHeight="true" outlineLevel="0" collapsed="false">
      <c r="A36" s="41"/>
      <c r="B36" s="39"/>
      <c r="C36" s="40"/>
      <c r="D36" s="40"/>
      <c r="E36" s="47" t="str">
        <f aca="false">IF($B36="","",IFERROR(INDEX(Equipamentos!$C$3:$C$52,MATCH($B36,Equipamentos!$A$3:$A$52,0)),""))</f>
        <v/>
      </c>
      <c r="F36" s="47" t="str">
        <f aca="false">IF($B36="","",IFERROR(INDEX(Equipamentos!$E$3:$E$52,MATCH($B36,Equipamentos!$A$3:$A$52,0)),""))</f>
        <v/>
      </c>
      <c r="G36" s="45" t="str">
        <f aca="false">IF($B36="","",COUNTIF('Itens Inspecionados'!$B$3:$B$402,$E36))</f>
        <v/>
      </c>
      <c r="H36" s="45" t="str">
        <f aca="false">IF($B36="","",COUNTIFS('Lançar Resultado'!$A$3:$A$2002,$B36,'Lançar Resultado'!$B$3:$B$2002,$A36))</f>
        <v/>
      </c>
      <c r="I36" s="48" t="str">
        <f aca="false">IF($B36="","",IF($H36=0,"Não lançada",IF($H36=$G36,"Completa",IF($H36&lt;$G36,CONCATENATE("Faltam ",TEXT($G36-$H36,"0")," item(ns)"),CONCATENATE("Sobram ",TEXT($H36-$G36,"0")," item(ns)")))))</f>
        <v/>
      </c>
    </row>
    <row r="37" customFormat="false" ht="18" hidden="false" customHeight="true" outlineLevel="0" collapsed="false">
      <c r="A37" s="41"/>
      <c r="B37" s="39"/>
      <c r="C37" s="40"/>
      <c r="D37" s="40"/>
      <c r="E37" s="47" t="str">
        <f aca="false">IF($B37="","",IFERROR(INDEX(Equipamentos!$C$3:$C$52,MATCH($B37,Equipamentos!$A$3:$A$52,0)),""))</f>
        <v/>
      </c>
      <c r="F37" s="47" t="str">
        <f aca="false">IF($B37="","",IFERROR(INDEX(Equipamentos!$E$3:$E$52,MATCH($B37,Equipamentos!$A$3:$A$52,0)),""))</f>
        <v/>
      </c>
      <c r="G37" s="45" t="str">
        <f aca="false">IF($B37="","",COUNTIF('Itens Inspecionados'!$B$3:$B$402,$E37))</f>
        <v/>
      </c>
      <c r="H37" s="45" t="str">
        <f aca="false">IF($B37="","",COUNTIFS('Lançar Resultado'!$A$3:$A$2002,$B37,'Lançar Resultado'!$B$3:$B$2002,$A37))</f>
        <v/>
      </c>
      <c r="I37" s="48" t="str">
        <f aca="false">IF($B37="","",IF($H37=0,"Não lançada",IF($H37=$G37,"Completa",IF($H37&lt;$G37,CONCATENATE("Faltam ",TEXT($G37-$H37,"0")," item(ns)"),CONCATENATE("Sobram ",TEXT($H37-$G37,"0")," item(ns)")))))</f>
        <v/>
      </c>
    </row>
    <row r="38" customFormat="false" ht="18" hidden="false" customHeight="true" outlineLevel="0" collapsed="false">
      <c r="A38" s="41"/>
      <c r="B38" s="39"/>
      <c r="C38" s="40"/>
      <c r="D38" s="40"/>
      <c r="E38" s="47" t="str">
        <f aca="false">IF($B38="","",IFERROR(INDEX(Equipamentos!$C$3:$C$52,MATCH($B38,Equipamentos!$A$3:$A$52,0)),""))</f>
        <v/>
      </c>
      <c r="F38" s="47" t="str">
        <f aca="false">IF($B38="","",IFERROR(INDEX(Equipamentos!$E$3:$E$52,MATCH($B38,Equipamentos!$A$3:$A$52,0)),""))</f>
        <v/>
      </c>
      <c r="G38" s="45" t="str">
        <f aca="false">IF($B38="","",COUNTIF('Itens Inspecionados'!$B$3:$B$402,$E38))</f>
        <v/>
      </c>
      <c r="H38" s="45" t="str">
        <f aca="false">IF($B38="","",COUNTIFS('Lançar Resultado'!$A$3:$A$2002,$B38,'Lançar Resultado'!$B$3:$B$2002,$A38))</f>
        <v/>
      </c>
      <c r="I38" s="48" t="str">
        <f aca="false">IF($B38="","",IF($H38=0,"Não lançada",IF($H38=$G38,"Completa",IF($H38&lt;$G38,CONCATENATE("Faltam ",TEXT($G38-$H38,"0")," item(ns)"),CONCATENATE("Sobram ",TEXT($H38-$G38,"0")," item(ns)")))))</f>
        <v/>
      </c>
    </row>
    <row r="39" customFormat="false" ht="18" hidden="false" customHeight="true" outlineLevel="0" collapsed="false">
      <c r="A39" s="41"/>
      <c r="B39" s="39"/>
      <c r="C39" s="40"/>
      <c r="D39" s="40"/>
      <c r="E39" s="47" t="str">
        <f aca="false">IF($B39="","",IFERROR(INDEX(Equipamentos!$C$3:$C$52,MATCH($B39,Equipamentos!$A$3:$A$52,0)),""))</f>
        <v/>
      </c>
      <c r="F39" s="47" t="str">
        <f aca="false">IF($B39="","",IFERROR(INDEX(Equipamentos!$E$3:$E$52,MATCH($B39,Equipamentos!$A$3:$A$52,0)),""))</f>
        <v/>
      </c>
      <c r="G39" s="45" t="str">
        <f aca="false">IF($B39="","",COUNTIF('Itens Inspecionados'!$B$3:$B$402,$E39))</f>
        <v/>
      </c>
      <c r="H39" s="45" t="str">
        <f aca="false">IF($B39="","",COUNTIFS('Lançar Resultado'!$A$3:$A$2002,$B39,'Lançar Resultado'!$B$3:$B$2002,$A39))</f>
        <v/>
      </c>
      <c r="I39" s="48" t="str">
        <f aca="false">IF($B39="","",IF($H39=0,"Não lançada",IF($H39=$G39,"Completa",IF($H39&lt;$G39,CONCATENATE("Faltam ",TEXT($G39-$H39,"0")," item(ns)"),CONCATENATE("Sobram ",TEXT($H39-$G39,"0")," item(ns)")))))</f>
        <v/>
      </c>
    </row>
    <row r="40" customFormat="false" ht="18" hidden="false" customHeight="true" outlineLevel="0" collapsed="false">
      <c r="A40" s="41"/>
      <c r="B40" s="39"/>
      <c r="C40" s="40"/>
      <c r="D40" s="40"/>
      <c r="E40" s="47" t="str">
        <f aca="false">IF($B40="","",IFERROR(INDEX(Equipamentos!$C$3:$C$52,MATCH($B40,Equipamentos!$A$3:$A$52,0)),""))</f>
        <v/>
      </c>
      <c r="F40" s="47" t="str">
        <f aca="false">IF($B40="","",IFERROR(INDEX(Equipamentos!$E$3:$E$52,MATCH($B40,Equipamentos!$A$3:$A$52,0)),""))</f>
        <v/>
      </c>
      <c r="G40" s="45" t="str">
        <f aca="false">IF($B40="","",COUNTIF('Itens Inspecionados'!$B$3:$B$402,$E40))</f>
        <v/>
      </c>
      <c r="H40" s="45" t="str">
        <f aca="false">IF($B40="","",COUNTIFS('Lançar Resultado'!$A$3:$A$2002,$B40,'Lançar Resultado'!$B$3:$B$2002,$A40))</f>
        <v/>
      </c>
      <c r="I40" s="48" t="str">
        <f aca="false">IF($B40="","",IF($H40=0,"Não lançada",IF($H40=$G40,"Completa",IF($H40&lt;$G40,CONCATENATE("Faltam ",TEXT($G40-$H40,"0")," item(ns)"),CONCATENATE("Sobram ",TEXT($H40-$G40,"0")," item(ns)")))))</f>
        <v/>
      </c>
    </row>
    <row r="41" customFormat="false" ht="18" hidden="false" customHeight="true" outlineLevel="0" collapsed="false">
      <c r="A41" s="41"/>
      <c r="B41" s="39"/>
      <c r="C41" s="40"/>
      <c r="D41" s="40"/>
      <c r="E41" s="47" t="str">
        <f aca="false">IF($B41="","",IFERROR(INDEX(Equipamentos!$C$3:$C$52,MATCH($B41,Equipamentos!$A$3:$A$52,0)),""))</f>
        <v/>
      </c>
      <c r="F41" s="47" t="str">
        <f aca="false">IF($B41="","",IFERROR(INDEX(Equipamentos!$E$3:$E$52,MATCH($B41,Equipamentos!$A$3:$A$52,0)),""))</f>
        <v/>
      </c>
      <c r="G41" s="45" t="str">
        <f aca="false">IF($B41="","",COUNTIF('Itens Inspecionados'!$B$3:$B$402,$E41))</f>
        <v/>
      </c>
      <c r="H41" s="45" t="str">
        <f aca="false">IF($B41="","",COUNTIFS('Lançar Resultado'!$A$3:$A$2002,$B41,'Lançar Resultado'!$B$3:$B$2002,$A41))</f>
        <v/>
      </c>
      <c r="I41" s="48" t="str">
        <f aca="false">IF($B41="","",IF($H41=0,"Não lançada",IF($H41=$G41,"Completa",IF($H41&lt;$G41,CONCATENATE("Faltam ",TEXT($G41-$H41,"0")," item(ns)"),CONCATENATE("Sobram ",TEXT($H41-$G41,"0")," item(ns)")))))</f>
        <v/>
      </c>
    </row>
    <row r="42" customFormat="false" ht="18" hidden="false" customHeight="true" outlineLevel="0" collapsed="false">
      <c r="A42" s="41"/>
      <c r="B42" s="39"/>
      <c r="C42" s="40"/>
      <c r="D42" s="40"/>
      <c r="E42" s="47" t="str">
        <f aca="false">IF($B42="","",IFERROR(INDEX(Equipamentos!$C$3:$C$52,MATCH($B42,Equipamentos!$A$3:$A$52,0)),""))</f>
        <v/>
      </c>
      <c r="F42" s="47" t="str">
        <f aca="false">IF($B42="","",IFERROR(INDEX(Equipamentos!$E$3:$E$52,MATCH($B42,Equipamentos!$A$3:$A$52,0)),""))</f>
        <v/>
      </c>
      <c r="G42" s="45" t="str">
        <f aca="false">IF($B42="","",COUNTIF('Itens Inspecionados'!$B$3:$B$402,$E42))</f>
        <v/>
      </c>
      <c r="H42" s="45" t="str">
        <f aca="false">IF($B42="","",COUNTIFS('Lançar Resultado'!$A$3:$A$2002,$B42,'Lançar Resultado'!$B$3:$B$2002,$A42))</f>
        <v/>
      </c>
      <c r="I42" s="48" t="str">
        <f aca="false">IF($B42="","",IF($H42=0,"Não lançada",IF($H42=$G42,"Completa",IF($H42&lt;$G42,CONCATENATE("Faltam ",TEXT($G42-$H42,"0")," item(ns)"),CONCATENATE("Sobram ",TEXT($H42-$G42,"0")," item(ns)")))))</f>
        <v/>
      </c>
    </row>
    <row r="43" customFormat="false" ht="18" hidden="false" customHeight="true" outlineLevel="0" collapsed="false">
      <c r="A43" s="41"/>
      <c r="B43" s="39"/>
      <c r="C43" s="40"/>
      <c r="D43" s="40"/>
      <c r="E43" s="47" t="str">
        <f aca="false">IF($B43="","",IFERROR(INDEX(Equipamentos!$C$3:$C$52,MATCH($B43,Equipamentos!$A$3:$A$52,0)),""))</f>
        <v/>
      </c>
      <c r="F43" s="47" t="str">
        <f aca="false">IF($B43="","",IFERROR(INDEX(Equipamentos!$E$3:$E$52,MATCH($B43,Equipamentos!$A$3:$A$52,0)),""))</f>
        <v/>
      </c>
      <c r="G43" s="45" t="str">
        <f aca="false">IF($B43="","",COUNTIF('Itens Inspecionados'!$B$3:$B$402,$E43))</f>
        <v/>
      </c>
      <c r="H43" s="45" t="str">
        <f aca="false">IF($B43="","",COUNTIFS('Lançar Resultado'!$A$3:$A$2002,$B43,'Lançar Resultado'!$B$3:$B$2002,$A43))</f>
        <v/>
      </c>
      <c r="I43" s="48" t="str">
        <f aca="false">IF($B43="","",IF($H43=0,"Não lançada",IF($H43=$G43,"Completa",IF($H43&lt;$G43,CONCATENATE("Faltam ",TEXT($G43-$H43,"0")," item(ns)"),CONCATENATE("Sobram ",TEXT($H43-$G43,"0")," item(ns)")))))</f>
        <v/>
      </c>
    </row>
    <row r="44" customFormat="false" ht="18" hidden="false" customHeight="true" outlineLevel="0" collapsed="false">
      <c r="A44" s="41"/>
      <c r="B44" s="39"/>
      <c r="C44" s="40"/>
      <c r="D44" s="40"/>
      <c r="E44" s="47" t="str">
        <f aca="false">IF($B44="","",IFERROR(INDEX(Equipamentos!$C$3:$C$52,MATCH($B44,Equipamentos!$A$3:$A$52,0)),""))</f>
        <v/>
      </c>
      <c r="F44" s="47" t="str">
        <f aca="false">IF($B44="","",IFERROR(INDEX(Equipamentos!$E$3:$E$52,MATCH($B44,Equipamentos!$A$3:$A$52,0)),""))</f>
        <v/>
      </c>
      <c r="G44" s="45" t="str">
        <f aca="false">IF($B44="","",COUNTIF('Itens Inspecionados'!$B$3:$B$402,$E44))</f>
        <v/>
      </c>
      <c r="H44" s="45" t="str">
        <f aca="false">IF($B44="","",COUNTIFS('Lançar Resultado'!$A$3:$A$2002,$B44,'Lançar Resultado'!$B$3:$B$2002,$A44))</f>
        <v/>
      </c>
      <c r="I44" s="48" t="str">
        <f aca="false">IF($B44="","",IF($H44=0,"Não lançada",IF($H44=$G44,"Completa",IF($H44&lt;$G44,CONCATENATE("Faltam ",TEXT($G44-$H44,"0")," item(ns)"),CONCATENATE("Sobram ",TEXT($H44-$G44,"0")," item(ns)")))))</f>
        <v/>
      </c>
    </row>
    <row r="45" customFormat="false" ht="18" hidden="false" customHeight="true" outlineLevel="0" collapsed="false">
      <c r="A45" s="41"/>
      <c r="B45" s="39"/>
      <c r="C45" s="40"/>
      <c r="D45" s="40"/>
      <c r="E45" s="47" t="str">
        <f aca="false">IF($B45="","",IFERROR(INDEX(Equipamentos!$C$3:$C$52,MATCH($B45,Equipamentos!$A$3:$A$52,0)),""))</f>
        <v/>
      </c>
      <c r="F45" s="47" t="str">
        <f aca="false">IF($B45="","",IFERROR(INDEX(Equipamentos!$E$3:$E$52,MATCH($B45,Equipamentos!$A$3:$A$52,0)),""))</f>
        <v/>
      </c>
      <c r="G45" s="45" t="str">
        <f aca="false">IF($B45="","",COUNTIF('Itens Inspecionados'!$B$3:$B$402,$E45))</f>
        <v/>
      </c>
      <c r="H45" s="45" t="str">
        <f aca="false">IF($B45="","",COUNTIFS('Lançar Resultado'!$A$3:$A$2002,$B45,'Lançar Resultado'!$B$3:$B$2002,$A45))</f>
        <v/>
      </c>
      <c r="I45" s="48" t="str">
        <f aca="false">IF($B45="","",IF($H45=0,"Não lançada",IF($H45=$G45,"Completa",IF($H45&lt;$G45,CONCATENATE("Faltam ",TEXT($G45-$H45,"0")," item(ns)"),CONCATENATE("Sobram ",TEXT($H45-$G45,"0")," item(ns)")))))</f>
        <v/>
      </c>
    </row>
    <row r="46" customFormat="false" ht="18" hidden="false" customHeight="true" outlineLevel="0" collapsed="false">
      <c r="A46" s="41"/>
      <c r="B46" s="39"/>
      <c r="C46" s="40"/>
      <c r="D46" s="40"/>
      <c r="E46" s="47" t="str">
        <f aca="false">IF($B46="","",IFERROR(INDEX(Equipamentos!$C$3:$C$52,MATCH($B46,Equipamentos!$A$3:$A$52,0)),""))</f>
        <v/>
      </c>
      <c r="F46" s="47" t="str">
        <f aca="false">IF($B46="","",IFERROR(INDEX(Equipamentos!$E$3:$E$52,MATCH($B46,Equipamentos!$A$3:$A$52,0)),""))</f>
        <v/>
      </c>
      <c r="G46" s="45" t="str">
        <f aca="false">IF($B46="","",COUNTIF('Itens Inspecionados'!$B$3:$B$402,$E46))</f>
        <v/>
      </c>
      <c r="H46" s="45" t="str">
        <f aca="false">IF($B46="","",COUNTIFS('Lançar Resultado'!$A$3:$A$2002,$B46,'Lançar Resultado'!$B$3:$B$2002,$A46))</f>
        <v/>
      </c>
      <c r="I46" s="48" t="str">
        <f aca="false">IF($B46="","",IF($H46=0,"Não lançada",IF($H46=$G46,"Completa",IF($H46&lt;$G46,CONCATENATE("Faltam ",TEXT($G46-$H46,"0")," item(ns)"),CONCATENATE("Sobram ",TEXT($H46-$G46,"0")," item(ns)")))))</f>
        <v/>
      </c>
    </row>
    <row r="47" customFormat="false" ht="18" hidden="false" customHeight="true" outlineLevel="0" collapsed="false">
      <c r="A47" s="41"/>
      <c r="B47" s="39"/>
      <c r="C47" s="40"/>
      <c r="D47" s="40"/>
      <c r="E47" s="47" t="str">
        <f aca="false">IF($B47="","",IFERROR(INDEX(Equipamentos!$C$3:$C$52,MATCH($B47,Equipamentos!$A$3:$A$52,0)),""))</f>
        <v/>
      </c>
      <c r="F47" s="47" t="str">
        <f aca="false">IF($B47="","",IFERROR(INDEX(Equipamentos!$E$3:$E$52,MATCH($B47,Equipamentos!$A$3:$A$52,0)),""))</f>
        <v/>
      </c>
      <c r="G47" s="45" t="str">
        <f aca="false">IF($B47="","",COUNTIF('Itens Inspecionados'!$B$3:$B$402,$E47))</f>
        <v/>
      </c>
      <c r="H47" s="45" t="str">
        <f aca="false">IF($B47="","",COUNTIFS('Lançar Resultado'!$A$3:$A$2002,$B47,'Lançar Resultado'!$B$3:$B$2002,$A47))</f>
        <v/>
      </c>
      <c r="I47" s="48" t="str">
        <f aca="false">IF($B47="","",IF($H47=0,"Não lançada",IF($H47=$G47,"Completa",IF($H47&lt;$G47,CONCATENATE("Faltam ",TEXT($G47-$H47,"0")," item(ns)"),CONCATENATE("Sobram ",TEXT($H47-$G47,"0")," item(ns)")))))</f>
        <v/>
      </c>
    </row>
    <row r="48" customFormat="false" ht="18" hidden="false" customHeight="true" outlineLevel="0" collapsed="false">
      <c r="A48" s="41"/>
      <c r="B48" s="39"/>
      <c r="C48" s="40"/>
      <c r="D48" s="40"/>
      <c r="E48" s="47" t="str">
        <f aca="false">IF($B48="","",IFERROR(INDEX(Equipamentos!$C$3:$C$52,MATCH($B48,Equipamentos!$A$3:$A$52,0)),""))</f>
        <v/>
      </c>
      <c r="F48" s="47" t="str">
        <f aca="false">IF($B48="","",IFERROR(INDEX(Equipamentos!$E$3:$E$52,MATCH($B48,Equipamentos!$A$3:$A$52,0)),""))</f>
        <v/>
      </c>
      <c r="G48" s="45" t="str">
        <f aca="false">IF($B48="","",COUNTIF('Itens Inspecionados'!$B$3:$B$402,$E48))</f>
        <v/>
      </c>
      <c r="H48" s="45" t="str">
        <f aca="false">IF($B48="","",COUNTIFS('Lançar Resultado'!$A$3:$A$2002,$B48,'Lançar Resultado'!$B$3:$B$2002,$A48))</f>
        <v/>
      </c>
      <c r="I48" s="48" t="str">
        <f aca="false">IF($B48="","",IF($H48=0,"Não lançada",IF($H48=$G48,"Completa",IF($H48&lt;$G48,CONCATENATE("Faltam ",TEXT($G48-$H48,"0")," item(ns)"),CONCATENATE("Sobram ",TEXT($H48-$G48,"0")," item(ns)")))))</f>
        <v/>
      </c>
    </row>
    <row r="49" customFormat="false" ht="18" hidden="false" customHeight="true" outlineLevel="0" collapsed="false">
      <c r="A49" s="41"/>
      <c r="B49" s="39"/>
      <c r="C49" s="40"/>
      <c r="D49" s="40"/>
      <c r="E49" s="47" t="str">
        <f aca="false">IF($B49="","",IFERROR(INDEX(Equipamentos!$C$3:$C$52,MATCH($B49,Equipamentos!$A$3:$A$52,0)),""))</f>
        <v/>
      </c>
      <c r="F49" s="47" t="str">
        <f aca="false">IF($B49="","",IFERROR(INDEX(Equipamentos!$E$3:$E$52,MATCH($B49,Equipamentos!$A$3:$A$52,0)),""))</f>
        <v/>
      </c>
      <c r="G49" s="45" t="str">
        <f aca="false">IF($B49="","",COUNTIF('Itens Inspecionados'!$B$3:$B$402,$E49))</f>
        <v/>
      </c>
      <c r="H49" s="45" t="str">
        <f aca="false">IF($B49="","",COUNTIFS('Lançar Resultado'!$A$3:$A$2002,$B49,'Lançar Resultado'!$B$3:$B$2002,$A49))</f>
        <v/>
      </c>
      <c r="I49" s="48" t="str">
        <f aca="false">IF($B49="","",IF($H49=0,"Não lançada",IF($H49=$G49,"Completa",IF($H49&lt;$G49,CONCATENATE("Faltam ",TEXT($G49-$H49,"0")," item(ns)"),CONCATENATE("Sobram ",TEXT($H49-$G49,"0")," item(ns)")))))</f>
        <v/>
      </c>
    </row>
    <row r="50" customFormat="false" ht="18" hidden="false" customHeight="true" outlineLevel="0" collapsed="false">
      <c r="A50" s="41"/>
      <c r="B50" s="39"/>
      <c r="C50" s="40"/>
      <c r="D50" s="40"/>
      <c r="E50" s="47" t="str">
        <f aca="false">IF($B50="","",IFERROR(INDEX(Equipamentos!$C$3:$C$52,MATCH($B50,Equipamentos!$A$3:$A$52,0)),""))</f>
        <v/>
      </c>
      <c r="F50" s="47" t="str">
        <f aca="false">IF($B50="","",IFERROR(INDEX(Equipamentos!$E$3:$E$52,MATCH($B50,Equipamentos!$A$3:$A$52,0)),""))</f>
        <v/>
      </c>
      <c r="G50" s="45" t="str">
        <f aca="false">IF($B50="","",COUNTIF('Itens Inspecionados'!$B$3:$B$402,$E50))</f>
        <v/>
      </c>
      <c r="H50" s="45" t="str">
        <f aca="false">IF($B50="","",COUNTIFS('Lançar Resultado'!$A$3:$A$2002,$B50,'Lançar Resultado'!$B$3:$B$2002,$A50))</f>
        <v/>
      </c>
      <c r="I50" s="48" t="str">
        <f aca="false">IF($B50="","",IF($H50=0,"Não lançada",IF($H50=$G50,"Completa",IF($H50&lt;$G50,CONCATENATE("Faltam ",TEXT($G50-$H50,"0")," item(ns)"),CONCATENATE("Sobram ",TEXT($H50-$G50,"0")," item(ns)")))))</f>
        <v/>
      </c>
    </row>
    <row r="51" customFormat="false" ht="18" hidden="false" customHeight="true" outlineLevel="0" collapsed="false">
      <c r="A51" s="41"/>
      <c r="B51" s="39"/>
      <c r="C51" s="40"/>
      <c r="D51" s="40"/>
      <c r="E51" s="47" t="str">
        <f aca="false">IF($B51="","",IFERROR(INDEX(Equipamentos!$C$3:$C$52,MATCH($B51,Equipamentos!$A$3:$A$52,0)),""))</f>
        <v/>
      </c>
      <c r="F51" s="47" t="str">
        <f aca="false">IF($B51="","",IFERROR(INDEX(Equipamentos!$E$3:$E$52,MATCH($B51,Equipamentos!$A$3:$A$52,0)),""))</f>
        <v/>
      </c>
      <c r="G51" s="45" t="str">
        <f aca="false">IF($B51="","",COUNTIF('Itens Inspecionados'!$B$3:$B$402,$E51))</f>
        <v/>
      </c>
      <c r="H51" s="45" t="str">
        <f aca="false">IF($B51="","",COUNTIFS('Lançar Resultado'!$A$3:$A$2002,$B51,'Lançar Resultado'!$B$3:$B$2002,$A51))</f>
        <v/>
      </c>
      <c r="I51" s="48" t="str">
        <f aca="false">IF($B51="","",IF($H51=0,"Não lançada",IF($H51=$G51,"Completa",IF($H51&lt;$G51,CONCATENATE("Faltam ",TEXT($G51-$H51,"0")," item(ns)"),CONCATENATE("Sobram ",TEXT($H51-$G51,"0")," item(ns)")))))</f>
        <v/>
      </c>
    </row>
    <row r="52" customFormat="false" ht="18" hidden="false" customHeight="true" outlineLevel="0" collapsed="false">
      <c r="A52" s="41"/>
      <c r="B52" s="39"/>
      <c r="C52" s="40"/>
      <c r="D52" s="40"/>
      <c r="E52" s="47" t="str">
        <f aca="false">IF($B52="","",IFERROR(INDEX(Equipamentos!$C$3:$C$52,MATCH($B52,Equipamentos!$A$3:$A$52,0)),""))</f>
        <v/>
      </c>
      <c r="F52" s="47" t="str">
        <f aca="false">IF($B52="","",IFERROR(INDEX(Equipamentos!$E$3:$E$52,MATCH($B52,Equipamentos!$A$3:$A$52,0)),""))</f>
        <v/>
      </c>
      <c r="G52" s="45" t="str">
        <f aca="false">IF($B52="","",COUNTIF('Itens Inspecionados'!$B$3:$B$402,$E52))</f>
        <v/>
      </c>
      <c r="H52" s="45" t="str">
        <f aca="false">IF($B52="","",COUNTIFS('Lançar Resultado'!$A$3:$A$2002,$B52,'Lançar Resultado'!$B$3:$B$2002,$A52))</f>
        <v/>
      </c>
      <c r="I52" s="48" t="str">
        <f aca="false">IF($B52="","",IF($H52=0,"Não lançada",IF($H52=$G52,"Completa",IF($H52&lt;$G52,CONCATENATE("Faltam ",TEXT($G52-$H52,"0")," item(ns)"),CONCATENATE("Sobram ",TEXT($H52-$G52,"0")," item(ns)")))))</f>
        <v/>
      </c>
    </row>
    <row r="53" customFormat="false" ht="18" hidden="false" customHeight="true" outlineLevel="0" collapsed="false">
      <c r="A53" s="41"/>
      <c r="B53" s="39"/>
      <c r="C53" s="40"/>
      <c r="D53" s="40"/>
      <c r="E53" s="47" t="str">
        <f aca="false">IF($B53="","",IFERROR(INDEX(Equipamentos!$C$3:$C$52,MATCH($B53,Equipamentos!$A$3:$A$52,0)),""))</f>
        <v/>
      </c>
      <c r="F53" s="47" t="str">
        <f aca="false">IF($B53="","",IFERROR(INDEX(Equipamentos!$E$3:$E$52,MATCH($B53,Equipamentos!$A$3:$A$52,0)),""))</f>
        <v/>
      </c>
      <c r="G53" s="45" t="str">
        <f aca="false">IF($B53="","",COUNTIF('Itens Inspecionados'!$B$3:$B$402,$E53))</f>
        <v/>
      </c>
      <c r="H53" s="45" t="str">
        <f aca="false">IF($B53="","",COUNTIFS('Lançar Resultado'!$A$3:$A$2002,$B53,'Lançar Resultado'!$B$3:$B$2002,$A53))</f>
        <v/>
      </c>
      <c r="I53" s="48" t="str">
        <f aca="false">IF($B53="","",IF($H53=0,"Não lançada",IF($H53=$G53,"Completa",IF($H53&lt;$G53,CONCATENATE("Faltam ",TEXT($G53-$H53,"0")," item(ns)"),CONCATENATE("Sobram ",TEXT($H53-$G53,"0")," item(ns)")))))</f>
        <v/>
      </c>
    </row>
    <row r="54" customFormat="false" ht="18" hidden="false" customHeight="true" outlineLevel="0" collapsed="false">
      <c r="A54" s="41"/>
      <c r="B54" s="39"/>
      <c r="C54" s="40"/>
      <c r="D54" s="40"/>
      <c r="E54" s="47" t="str">
        <f aca="false">IF($B54="","",IFERROR(INDEX(Equipamentos!$C$3:$C$52,MATCH($B54,Equipamentos!$A$3:$A$52,0)),""))</f>
        <v/>
      </c>
      <c r="F54" s="47" t="str">
        <f aca="false">IF($B54="","",IFERROR(INDEX(Equipamentos!$E$3:$E$52,MATCH($B54,Equipamentos!$A$3:$A$52,0)),""))</f>
        <v/>
      </c>
      <c r="G54" s="45" t="str">
        <f aca="false">IF($B54="","",COUNTIF('Itens Inspecionados'!$B$3:$B$402,$E54))</f>
        <v/>
      </c>
      <c r="H54" s="45" t="str">
        <f aca="false">IF($B54="","",COUNTIFS('Lançar Resultado'!$A$3:$A$2002,$B54,'Lançar Resultado'!$B$3:$B$2002,$A54))</f>
        <v/>
      </c>
      <c r="I54" s="48" t="str">
        <f aca="false">IF($B54="","",IF($H54=0,"Não lançada",IF($H54=$G54,"Completa",IF($H54&lt;$G54,CONCATENATE("Faltam ",TEXT($G54-$H54,"0")," item(ns)"),CONCATENATE("Sobram ",TEXT($H54-$G54,"0")," item(ns)")))))</f>
        <v/>
      </c>
    </row>
    <row r="55" customFormat="false" ht="18" hidden="false" customHeight="true" outlineLevel="0" collapsed="false">
      <c r="A55" s="41"/>
      <c r="B55" s="39"/>
      <c r="C55" s="40"/>
      <c r="D55" s="40"/>
      <c r="E55" s="47" t="str">
        <f aca="false">IF($B55="","",IFERROR(INDEX(Equipamentos!$C$3:$C$52,MATCH($B55,Equipamentos!$A$3:$A$52,0)),""))</f>
        <v/>
      </c>
      <c r="F55" s="47" t="str">
        <f aca="false">IF($B55="","",IFERROR(INDEX(Equipamentos!$E$3:$E$52,MATCH($B55,Equipamentos!$A$3:$A$52,0)),""))</f>
        <v/>
      </c>
      <c r="G55" s="45" t="str">
        <f aca="false">IF($B55="","",COUNTIF('Itens Inspecionados'!$B$3:$B$402,$E55))</f>
        <v/>
      </c>
      <c r="H55" s="45" t="str">
        <f aca="false">IF($B55="","",COUNTIFS('Lançar Resultado'!$A$3:$A$2002,$B55,'Lançar Resultado'!$B$3:$B$2002,$A55))</f>
        <v/>
      </c>
      <c r="I55" s="48" t="str">
        <f aca="false">IF($B55="","",IF($H55=0,"Não lançada",IF($H55=$G55,"Completa",IF($H55&lt;$G55,CONCATENATE("Faltam ",TEXT($G55-$H55,"0")," item(ns)"),CONCATENATE("Sobram ",TEXT($H55-$G55,"0")," item(ns)")))))</f>
        <v/>
      </c>
    </row>
    <row r="56" customFormat="false" ht="18" hidden="false" customHeight="true" outlineLevel="0" collapsed="false">
      <c r="A56" s="41"/>
      <c r="B56" s="39"/>
      <c r="C56" s="40"/>
      <c r="D56" s="40"/>
      <c r="E56" s="47" t="str">
        <f aca="false">IF($B56="","",IFERROR(INDEX(Equipamentos!$C$3:$C$52,MATCH($B56,Equipamentos!$A$3:$A$52,0)),""))</f>
        <v/>
      </c>
      <c r="F56" s="47" t="str">
        <f aca="false">IF($B56="","",IFERROR(INDEX(Equipamentos!$E$3:$E$52,MATCH($B56,Equipamentos!$A$3:$A$52,0)),""))</f>
        <v/>
      </c>
      <c r="G56" s="45" t="str">
        <f aca="false">IF($B56="","",COUNTIF('Itens Inspecionados'!$B$3:$B$402,$E56))</f>
        <v/>
      </c>
      <c r="H56" s="45" t="str">
        <f aca="false">IF($B56="","",COUNTIFS('Lançar Resultado'!$A$3:$A$2002,$B56,'Lançar Resultado'!$B$3:$B$2002,$A56))</f>
        <v/>
      </c>
      <c r="I56" s="48" t="str">
        <f aca="false">IF($B56="","",IF($H56=0,"Não lançada",IF($H56=$G56,"Completa",IF($H56&lt;$G56,CONCATENATE("Faltam ",TEXT($G56-$H56,"0")," item(ns)"),CONCATENATE("Sobram ",TEXT($H56-$G56,"0")," item(ns)")))))</f>
        <v/>
      </c>
    </row>
    <row r="57" customFormat="false" ht="18" hidden="false" customHeight="true" outlineLevel="0" collapsed="false">
      <c r="A57" s="41"/>
      <c r="B57" s="39"/>
      <c r="C57" s="40"/>
      <c r="D57" s="40"/>
      <c r="E57" s="47" t="str">
        <f aca="false">IF($B57="","",IFERROR(INDEX(Equipamentos!$C$3:$C$52,MATCH($B57,Equipamentos!$A$3:$A$52,0)),""))</f>
        <v/>
      </c>
      <c r="F57" s="47" t="str">
        <f aca="false">IF($B57="","",IFERROR(INDEX(Equipamentos!$E$3:$E$52,MATCH($B57,Equipamentos!$A$3:$A$52,0)),""))</f>
        <v/>
      </c>
      <c r="G57" s="45" t="str">
        <f aca="false">IF($B57="","",COUNTIF('Itens Inspecionados'!$B$3:$B$402,$E57))</f>
        <v/>
      </c>
      <c r="H57" s="45" t="str">
        <f aca="false">IF($B57="","",COUNTIFS('Lançar Resultado'!$A$3:$A$2002,$B57,'Lançar Resultado'!$B$3:$B$2002,$A57))</f>
        <v/>
      </c>
      <c r="I57" s="48" t="str">
        <f aca="false">IF($B57="","",IF($H57=0,"Não lançada",IF($H57=$G57,"Completa",IF($H57&lt;$G57,CONCATENATE("Faltam ",TEXT($G57-$H57,"0")," item(ns)"),CONCATENATE("Sobram ",TEXT($H57-$G57,"0")," item(ns)")))))</f>
        <v/>
      </c>
    </row>
    <row r="58" customFormat="false" ht="18" hidden="false" customHeight="true" outlineLevel="0" collapsed="false">
      <c r="A58" s="41"/>
      <c r="B58" s="39"/>
      <c r="C58" s="40"/>
      <c r="D58" s="40"/>
      <c r="E58" s="47" t="str">
        <f aca="false">IF($B58="","",IFERROR(INDEX(Equipamentos!$C$3:$C$52,MATCH($B58,Equipamentos!$A$3:$A$52,0)),""))</f>
        <v/>
      </c>
      <c r="F58" s="47" t="str">
        <f aca="false">IF($B58="","",IFERROR(INDEX(Equipamentos!$E$3:$E$52,MATCH($B58,Equipamentos!$A$3:$A$52,0)),""))</f>
        <v/>
      </c>
      <c r="G58" s="45" t="str">
        <f aca="false">IF($B58="","",COUNTIF('Itens Inspecionados'!$B$3:$B$402,$E58))</f>
        <v/>
      </c>
      <c r="H58" s="45" t="str">
        <f aca="false">IF($B58="","",COUNTIFS('Lançar Resultado'!$A$3:$A$2002,$B58,'Lançar Resultado'!$B$3:$B$2002,$A58))</f>
        <v/>
      </c>
      <c r="I58" s="48" t="str">
        <f aca="false">IF($B58="","",IF($H58=0,"Não lançada",IF($H58=$G58,"Completa",IF($H58&lt;$G58,CONCATENATE("Faltam ",TEXT($G58-$H58,"0")," item(ns)"),CONCATENATE("Sobram ",TEXT($H58-$G58,"0")," item(ns)")))))</f>
        <v/>
      </c>
    </row>
    <row r="59" customFormat="false" ht="18" hidden="false" customHeight="true" outlineLevel="0" collapsed="false">
      <c r="A59" s="41"/>
      <c r="B59" s="39"/>
      <c r="C59" s="40"/>
      <c r="D59" s="40"/>
      <c r="E59" s="47" t="str">
        <f aca="false">IF($B59="","",IFERROR(INDEX(Equipamentos!$C$3:$C$52,MATCH($B59,Equipamentos!$A$3:$A$52,0)),""))</f>
        <v/>
      </c>
      <c r="F59" s="47" t="str">
        <f aca="false">IF($B59="","",IFERROR(INDEX(Equipamentos!$E$3:$E$52,MATCH($B59,Equipamentos!$A$3:$A$52,0)),""))</f>
        <v/>
      </c>
      <c r="G59" s="45" t="str">
        <f aca="false">IF($B59="","",COUNTIF('Itens Inspecionados'!$B$3:$B$402,$E59))</f>
        <v/>
      </c>
      <c r="H59" s="45" t="str">
        <f aca="false">IF($B59="","",COUNTIFS('Lançar Resultado'!$A$3:$A$2002,$B59,'Lançar Resultado'!$B$3:$B$2002,$A59))</f>
        <v/>
      </c>
      <c r="I59" s="48" t="str">
        <f aca="false">IF($B59="","",IF($H59=0,"Não lançada",IF($H59=$G59,"Completa",IF($H59&lt;$G59,CONCATENATE("Faltam ",TEXT($G59-$H59,"0")," item(ns)"),CONCATENATE("Sobram ",TEXT($H59-$G59,"0")," item(ns)")))))</f>
        <v/>
      </c>
    </row>
    <row r="60" customFormat="false" ht="18" hidden="false" customHeight="true" outlineLevel="0" collapsed="false">
      <c r="A60" s="41"/>
      <c r="B60" s="39"/>
      <c r="C60" s="40"/>
      <c r="D60" s="40"/>
      <c r="E60" s="47" t="str">
        <f aca="false">IF($B60="","",IFERROR(INDEX(Equipamentos!$C$3:$C$52,MATCH($B60,Equipamentos!$A$3:$A$52,0)),""))</f>
        <v/>
      </c>
      <c r="F60" s="47" t="str">
        <f aca="false">IF($B60="","",IFERROR(INDEX(Equipamentos!$E$3:$E$52,MATCH($B60,Equipamentos!$A$3:$A$52,0)),""))</f>
        <v/>
      </c>
      <c r="G60" s="45" t="str">
        <f aca="false">IF($B60="","",COUNTIF('Itens Inspecionados'!$B$3:$B$402,$E60))</f>
        <v/>
      </c>
      <c r="H60" s="45" t="str">
        <f aca="false">IF($B60="","",COUNTIFS('Lançar Resultado'!$A$3:$A$2002,$B60,'Lançar Resultado'!$B$3:$B$2002,$A60))</f>
        <v/>
      </c>
      <c r="I60" s="48" t="str">
        <f aca="false">IF($B60="","",IF($H60=0,"Não lançada",IF($H60=$G60,"Completa",IF($H60&lt;$G60,CONCATENATE("Faltam ",TEXT($G60-$H60,"0")," item(ns)"),CONCATENATE("Sobram ",TEXT($H60-$G60,"0")," item(ns)")))))</f>
        <v/>
      </c>
    </row>
    <row r="61" customFormat="false" ht="18" hidden="false" customHeight="true" outlineLevel="0" collapsed="false">
      <c r="A61" s="41"/>
      <c r="B61" s="39"/>
      <c r="C61" s="40"/>
      <c r="D61" s="40"/>
      <c r="E61" s="47" t="str">
        <f aca="false">IF($B61="","",IFERROR(INDEX(Equipamentos!$C$3:$C$52,MATCH($B61,Equipamentos!$A$3:$A$52,0)),""))</f>
        <v/>
      </c>
      <c r="F61" s="47" t="str">
        <f aca="false">IF($B61="","",IFERROR(INDEX(Equipamentos!$E$3:$E$52,MATCH($B61,Equipamentos!$A$3:$A$52,0)),""))</f>
        <v/>
      </c>
      <c r="G61" s="45" t="str">
        <f aca="false">IF($B61="","",COUNTIF('Itens Inspecionados'!$B$3:$B$402,$E61))</f>
        <v/>
      </c>
      <c r="H61" s="45" t="str">
        <f aca="false">IF($B61="","",COUNTIFS('Lançar Resultado'!$A$3:$A$2002,$B61,'Lançar Resultado'!$B$3:$B$2002,$A61))</f>
        <v/>
      </c>
      <c r="I61" s="48" t="str">
        <f aca="false">IF($B61="","",IF($H61=0,"Não lançada",IF($H61=$G61,"Completa",IF($H61&lt;$G61,CONCATENATE("Faltam ",TEXT($G61-$H61,"0")," item(ns)"),CONCATENATE("Sobram ",TEXT($H61-$G61,"0")," item(ns)")))))</f>
        <v/>
      </c>
    </row>
    <row r="62" customFormat="false" ht="18" hidden="false" customHeight="true" outlineLevel="0" collapsed="false">
      <c r="A62" s="41"/>
      <c r="B62" s="39"/>
      <c r="C62" s="40"/>
      <c r="D62" s="40"/>
      <c r="E62" s="47" t="str">
        <f aca="false">IF($B62="","",IFERROR(INDEX(Equipamentos!$C$3:$C$52,MATCH($B62,Equipamentos!$A$3:$A$52,0)),""))</f>
        <v/>
      </c>
      <c r="F62" s="47" t="str">
        <f aca="false">IF($B62="","",IFERROR(INDEX(Equipamentos!$E$3:$E$52,MATCH($B62,Equipamentos!$A$3:$A$52,0)),""))</f>
        <v/>
      </c>
      <c r="G62" s="45" t="str">
        <f aca="false">IF($B62="","",COUNTIF('Itens Inspecionados'!$B$3:$B$402,$E62))</f>
        <v/>
      </c>
      <c r="H62" s="45" t="str">
        <f aca="false">IF($B62="","",COUNTIFS('Lançar Resultado'!$A$3:$A$2002,$B62,'Lançar Resultado'!$B$3:$B$2002,$A62))</f>
        <v/>
      </c>
      <c r="I62" s="48" t="str">
        <f aca="false">IF($B62="","",IF($H62=0,"Não lançada",IF($H62=$G62,"Completa",IF($H62&lt;$G62,CONCATENATE("Faltam ",TEXT($G62-$H62,"0")," item(ns)"),CONCATENATE("Sobram ",TEXT($H62-$G62,"0")," item(ns)")))))</f>
        <v/>
      </c>
    </row>
    <row r="63" customFormat="false" ht="18" hidden="false" customHeight="true" outlineLevel="0" collapsed="false">
      <c r="A63" s="41"/>
      <c r="B63" s="39"/>
      <c r="C63" s="40"/>
      <c r="D63" s="40"/>
      <c r="E63" s="47" t="str">
        <f aca="false">IF($B63="","",IFERROR(INDEX(Equipamentos!$C$3:$C$52,MATCH($B63,Equipamentos!$A$3:$A$52,0)),""))</f>
        <v/>
      </c>
      <c r="F63" s="47" t="str">
        <f aca="false">IF($B63="","",IFERROR(INDEX(Equipamentos!$E$3:$E$52,MATCH($B63,Equipamentos!$A$3:$A$52,0)),""))</f>
        <v/>
      </c>
      <c r="G63" s="45" t="str">
        <f aca="false">IF($B63="","",COUNTIF('Itens Inspecionados'!$B$3:$B$402,$E63))</f>
        <v/>
      </c>
      <c r="H63" s="45" t="str">
        <f aca="false">IF($B63="","",COUNTIFS('Lançar Resultado'!$A$3:$A$2002,$B63,'Lançar Resultado'!$B$3:$B$2002,$A63))</f>
        <v/>
      </c>
      <c r="I63" s="48" t="str">
        <f aca="false">IF($B63="","",IF($H63=0,"Não lançada",IF($H63=$G63,"Completa",IF($H63&lt;$G63,CONCATENATE("Faltam ",TEXT($G63-$H63,"0")," item(ns)"),CONCATENATE("Sobram ",TEXT($H63-$G63,"0")," item(ns)")))))</f>
        <v/>
      </c>
    </row>
    <row r="64" customFormat="false" ht="18" hidden="false" customHeight="true" outlineLevel="0" collapsed="false">
      <c r="A64" s="41"/>
      <c r="B64" s="39"/>
      <c r="C64" s="40"/>
      <c r="D64" s="40"/>
      <c r="E64" s="47" t="str">
        <f aca="false">IF($B64="","",IFERROR(INDEX(Equipamentos!$C$3:$C$52,MATCH($B64,Equipamentos!$A$3:$A$52,0)),""))</f>
        <v/>
      </c>
      <c r="F64" s="47" t="str">
        <f aca="false">IF($B64="","",IFERROR(INDEX(Equipamentos!$E$3:$E$52,MATCH($B64,Equipamentos!$A$3:$A$52,0)),""))</f>
        <v/>
      </c>
      <c r="G64" s="45" t="str">
        <f aca="false">IF($B64="","",COUNTIF('Itens Inspecionados'!$B$3:$B$402,$E64))</f>
        <v/>
      </c>
      <c r="H64" s="45" t="str">
        <f aca="false">IF($B64="","",COUNTIFS('Lançar Resultado'!$A$3:$A$2002,$B64,'Lançar Resultado'!$B$3:$B$2002,$A64))</f>
        <v/>
      </c>
      <c r="I64" s="48" t="str">
        <f aca="false">IF($B64="","",IF($H64=0,"Não lançada",IF($H64=$G64,"Completa",IF($H64&lt;$G64,CONCATENATE("Faltam ",TEXT($G64-$H64,"0")," item(ns)"),CONCATENATE("Sobram ",TEXT($H64-$G64,"0")," item(ns)")))))</f>
        <v/>
      </c>
    </row>
    <row r="65" customFormat="false" ht="18" hidden="false" customHeight="true" outlineLevel="0" collapsed="false">
      <c r="A65" s="41"/>
      <c r="B65" s="39"/>
      <c r="C65" s="40"/>
      <c r="D65" s="40"/>
      <c r="E65" s="47" t="str">
        <f aca="false">IF($B65="","",IFERROR(INDEX(Equipamentos!$C$3:$C$52,MATCH($B65,Equipamentos!$A$3:$A$52,0)),""))</f>
        <v/>
      </c>
      <c r="F65" s="47" t="str">
        <f aca="false">IF($B65="","",IFERROR(INDEX(Equipamentos!$E$3:$E$52,MATCH($B65,Equipamentos!$A$3:$A$52,0)),""))</f>
        <v/>
      </c>
      <c r="G65" s="45" t="str">
        <f aca="false">IF($B65="","",COUNTIF('Itens Inspecionados'!$B$3:$B$402,$E65))</f>
        <v/>
      </c>
      <c r="H65" s="45" t="str">
        <f aca="false">IF($B65="","",COUNTIFS('Lançar Resultado'!$A$3:$A$2002,$B65,'Lançar Resultado'!$B$3:$B$2002,$A65))</f>
        <v/>
      </c>
      <c r="I65" s="48" t="str">
        <f aca="false">IF($B65="","",IF($H65=0,"Não lançada",IF($H65=$G65,"Completa",IF($H65&lt;$G65,CONCATENATE("Faltam ",TEXT($G65-$H65,"0")," item(ns)"),CONCATENATE("Sobram ",TEXT($H65-$G65,"0")," item(ns)")))))</f>
        <v/>
      </c>
    </row>
    <row r="66" customFormat="false" ht="18" hidden="false" customHeight="true" outlineLevel="0" collapsed="false">
      <c r="A66" s="41"/>
      <c r="B66" s="39"/>
      <c r="C66" s="40"/>
      <c r="D66" s="40"/>
      <c r="E66" s="47" t="str">
        <f aca="false">IF($B66="","",IFERROR(INDEX(Equipamentos!$C$3:$C$52,MATCH($B66,Equipamentos!$A$3:$A$52,0)),""))</f>
        <v/>
      </c>
      <c r="F66" s="47" t="str">
        <f aca="false">IF($B66="","",IFERROR(INDEX(Equipamentos!$E$3:$E$52,MATCH($B66,Equipamentos!$A$3:$A$52,0)),""))</f>
        <v/>
      </c>
      <c r="G66" s="45" t="str">
        <f aca="false">IF($B66="","",COUNTIF('Itens Inspecionados'!$B$3:$B$402,$E66))</f>
        <v/>
      </c>
      <c r="H66" s="45" t="str">
        <f aca="false">IF($B66="","",COUNTIFS('Lançar Resultado'!$A$3:$A$2002,$B66,'Lançar Resultado'!$B$3:$B$2002,$A66))</f>
        <v/>
      </c>
      <c r="I66" s="48" t="str">
        <f aca="false">IF($B66="","",IF($H66=0,"Não lançada",IF($H66=$G66,"Completa",IF($H66&lt;$G66,CONCATENATE("Faltam ",TEXT($G66-$H66,"0")," item(ns)"),CONCATENATE("Sobram ",TEXT($H66-$G66,"0")," item(ns)")))))</f>
        <v/>
      </c>
    </row>
    <row r="67" customFormat="false" ht="18" hidden="false" customHeight="true" outlineLevel="0" collapsed="false">
      <c r="A67" s="41"/>
      <c r="B67" s="39"/>
      <c r="C67" s="40"/>
      <c r="D67" s="40"/>
      <c r="E67" s="47" t="str">
        <f aca="false">IF($B67="","",IFERROR(INDEX(Equipamentos!$C$3:$C$52,MATCH($B67,Equipamentos!$A$3:$A$52,0)),""))</f>
        <v/>
      </c>
      <c r="F67" s="47" t="str">
        <f aca="false">IF($B67="","",IFERROR(INDEX(Equipamentos!$E$3:$E$52,MATCH($B67,Equipamentos!$A$3:$A$52,0)),""))</f>
        <v/>
      </c>
      <c r="G67" s="45" t="str">
        <f aca="false">IF($B67="","",COUNTIF('Itens Inspecionados'!$B$3:$B$402,$E67))</f>
        <v/>
      </c>
      <c r="H67" s="45" t="str">
        <f aca="false">IF($B67="","",COUNTIFS('Lançar Resultado'!$A$3:$A$2002,$B67,'Lançar Resultado'!$B$3:$B$2002,$A67))</f>
        <v/>
      </c>
      <c r="I67" s="48" t="str">
        <f aca="false">IF($B67="","",IF($H67=0,"Não lançada",IF($H67=$G67,"Completa",IF($H67&lt;$G67,CONCATENATE("Faltam ",TEXT($G67-$H67,"0")," item(ns)"),CONCATENATE("Sobram ",TEXT($H67-$G67,"0")," item(ns)")))))</f>
        <v/>
      </c>
    </row>
    <row r="68" customFormat="false" ht="18" hidden="false" customHeight="true" outlineLevel="0" collapsed="false">
      <c r="A68" s="41"/>
      <c r="B68" s="39"/>
      <c r="C68" s="40"/>
      <c r="D68" s="40"/>
      <c r="E68" s="47" t="str">
        <f aca="false">IF($B68="","",IFERROR(INDEX(Equipamentos!$C$3:$C$52,MATCH($B68,Equipamentos!$A$3:$A$52,0)),""))</f>
        <v/>
      </c>
      <c r="F68" s="47" t="str">
        <f aca="false">IF($B68="","",IFERROR(INDEX(Equipamentos!$E$3:$E$52,MATCH($B68,Equipamentos!$A$3:$A$52,0)),""))</f>
        <v/>
      </c>
      <c r="G68" s="45" t="str">
        <f aca="false">IF($B68="","",COUNTIF('Itens Inspecionados'!$B$3:$B$402,$E68))</f>
        <v/>
      </c>
      <c r="H68" s="45" t="str">
        <f aca="false">IF($B68="","",COUNTIFS('Lançar Resultado'!$A$3:$A$2002,$B68,'Lançar Resultado'!$B$3:$B$2002,$A68))</f>
        <v/>
      </c>
      <c r="I68" s="48" t="str">
        <f aca="false">IF($B68="","",IF($H68=0,"Não lançada",IF($H68=$G68,"Completa",IF($H68&lt;$G68,CONCATENATE("Faltam ",TEXT($G68-$H68,"0")," item(ns)"),CONCATENATE("Sobram ",TEXT($H68-$G68,"0")," item(ns)")))))</f>
        <v/>
      </c>
    </row>
    <row r="69" customFormat="false" ht="18" hidden="false" customHeight="true" outlineLevel="0" collapsed="false">
      <c r="A69" s="41"/>
      <c r="B69" s="39"/>
      <c r="C69" s="40"/>
      <c r="D69" s="40"/>
      <c r="E69" s="47" t="str">
        <f aca="false">IF($B69="","",IFERROR(INDEX(Equipamentos!$C$3:$C$52,MATCH($B69,Equipamentos!$A$3:$A$52,0)),""))</f>
        <v/>
      </c>
      <c r="F69" s="47" t="str">
        <f aca="false">IF($B69="","",IFERROR(INDEX(Equipamentos!$E$3:$E$52,MATCH($B69,Equipamentos!$A$3:$A$52,0)),""))</f>
        <v/>
      </c>
      <c r="G69" s="45" t="str">
        <f aca="false">IF($B69="","",COUNTIF('Itens Inspecionados'!$B$3:$B$402,$E69))</f>
        <v/>
      </c>
      <c r="H69" s="45" t="str">
        <f aca="false">IF($B69="","",COUNTIFS('Lançar Resultado'!$A$3:$A$2002,$B69,'Lançar Resultado'!$B$3:$B$2002,$A69))</f>
        <v/>
      </c>
      <c r="I69" s="48" t="str">
        <f aca="false">IF($B69="","",IF($H69=0,"Não lançada",IF($H69=$G69,"Completa",IF($H69&lt;$G69,CONCATENATE("Faltam ",TEXT($G69-$H69,"0")," item(ns)"),CONCATENATE("Sobram ",TEXT($H69-$G69,"0")," item(ns)")))))</f>
        <v/>
      </c>
    </row>
    <row r="70" customFormat="false" ht="18" hidden="false" customHeight="true" outlineLevel="0" collapsed="false">
      <c r="A70" s="41"/>
      <c r="B70" s="39"/>
      <c r="C70" s="40"/>
      <c r="D70" s="40"/>
      <c r="E70" s="47" t="str">
        <f aca="false">IF($B70="","",IFERROR(INDEX(Equipamentos!$C$3:$C$52,MATCH($B70,Equipamentos!$A$3:$A$52,0)),""))</f>
        <v/>
      </c>
      <c r="F70" s="47" t="str">
        <f aca="false">IF($B70="","",IFERROR(INDEX(Equipamentos!$E$3:$E$52,MATCH($B70,Equipamentos!$A$3:$A$52,0)),""))</f>
        <v/>
      </c>
      <c r="G70" s="45" t="str">
        <f aca="false">IF($B70="","",COUNTIF('Itens Inspecionados'!$B$3:$B$402,$E70))</f>
        <v/>
      </c>
      <c r="H70" s="45" t="str">
        <f aca="false">IF($B70="","",COUNTIFS('Lançar Resultado'!$A$3:$A$2002,$B70,'Lançar Resultado'!$B$3:$B$2002,$A70))</f>
        <v/>
      </c>
      <c r="I70" s="48" t="str">
        <f aca="false">IF($B70="","",IF($H70=0,"Não lançada",IF($H70=$G70,"Completa",IF($H70&lt;$G70,CONCATENATE("Faltam ",TEXT($G70-$H70,"0")," item(ns)"),CONCATENATE("Sobram ",TEXT($H70-$G70,"0")," item(ns)")))))</f>
        <v/>
      </c>
    </row>
    <row r="71" customFormat="false" ht="18" hidden="false" customHeight="true" outlineLevel="0" collapsed="false">
      <c r="A71" s="41"/>
      <c r="B71" s="39"/>
      <c r="C71" s="40"/>
      <c r="D71" s="40"/>
      <c r="E71" s="47" t="str">
        <f aca="false">IF($B71="","",IFERROR(INDEX(Equipamentos!$C$3:$C$52,MATCH($B71,Equipamentos!$A$3:$A$52,0)),""))</f>
        <v/>
      </c>
      <c r="F71" s="47" t="str">
        <f aca="false">IF($B71="","",IFERROR(INDEX(Equipamentos!$E$3:$E$52,MATCH($B71,Equipamentos!$A$3:$A$52,0)),""))</f>
        <v/>
      </c>
      <c r="G71" s="45" t="str">
        <f aca="false">IF($B71="","",COUNTIF('Itens Inspecionados'!$B$3:$B$402,$E71))</f>
        <v/>
      </c>
      <c r="H71" s="45" t="str">
        <f aca="false">IF($B71="","",COUNTIFS('Lançar Resultado'!$A$3:$A$2002,$B71,'Lançar Resultado'!$B$3:$B$2002,$A71))</f>
        <v/>
      </c>
      <c r="I71" s="48" t="str">
        <f aca="false">IF($B71="","",IF($H71=0,"Não lançada",IF($H71=$G71,"Completa",IF($H71&lt;$G71,CONCATENATE("Faltam ",TEXT($G71-$H71,"0")," item(ns)"),CONCATENATE("Sobram ",TEXT($H71-$G71,"0")," item(ns)")))))</f>
        <v/>
      </c>
    </row>
    <row r="72" customFormat="false" ht="18" hidden="false" customHeight="true" outlineLevel="0" collapsed="false">
      <c r="A72" s="41"/>
      <c r="B72" s="39"/>
      <c r="C72" s="40"/>
      <c r="D72" s="40"/>
      <c r="E72" s="47" t="str">
        <f aca="false">IF($B72="","",IFERROR(INDEX(Equipamentos!$C$3:$C$52,MATCH($B72,Equipamentos!$A$3:$A$52,0)),""))</f>
        <v/>
      </c>
      <c r="F72" s="47" t="str">
        <f aca="false">IF($B72="","",IFERROR(INDEX(Equipamentos!$E$3:$E$52,MATCH($B72,Equipamentos!$A$3:$A$52,0)),""))</f>
        <v/>
      </c>
      <c r="G72" s="45" t="str">
        <f aca="false">IF($B72="","",COUNTIF('Itens Inspecionados'!$B$3:$B$402,$E72))</f>
        <v/>
      </c>
      <c r="H72" s="45" t="str">
        <f aca="false">IF($B72="","",COUNTIFS('Lançar Resultado'!$A$3:$A$2002,$B72,'Lançar Resultado'!$B$3:$B$2002,$A72))</f>
        <v/>
      </c>
      <c r="I72" s="48" t="str">
        <f aca="false">IF($B72="","",IF($H72=0,"Não lançada",IF($H72=$G72,"Completa",IF($H72&lt;$G72,CONCATENATE("Faltam ",TEXT($G72-$H72,"0")," item(ns)"),CONCATENATE("Sobram ",TEXT($H72-$G72,"0")," item(ns)")))))</f>
        <v/>
      </c>
    </row>
    <row r="73" customFormat="false" ht="18" hidden="false" customHeight="true" outlineLevel="0" collapsed="false">
      <c r="A73" s="41"/>
      <c r="B73" s="39"/>
      <c r="C73" s="40"/>
      <c r="D73" s="40"/>
      <c r="E73" s="47" t="str">
        <f aca="false">IF($B73="","",IFERROR(INDEX(Equipamentos!$C$3:$C$52,MATCH($B73,Equipamentos!$A$3:$A$52,0)),""))</f>
        <v/>
      </c>
      <c r="F73" s="47" t="str">
        <f aca="false">IF($B73="","",IFERROR(INDEX(Equipamentos!$E$3:$E$52,MATCH($B73,Equipamentos!$A$3:$A$52,0)),""))</f>
        <v/>
      </c>
      <c r="G73" s="45" t="str">
        <f aca="false">IF($B73="","",COUNTIF('Itens Inspecionados'!$B$3:$B$402,$E73))</f>
        <v/>
      </c>
      <c r="H73" s="45" t="str">
        <f aca="false">IF($B73="","",COUNTIFS('Lançar Resultado'!$A$3:$A$2002,$B73,'Lançar Resultado'!$B$3:$B$2002,$A73))</f>
        <v/>
      </c>
      <c r="I73" s="48" t="str">
        <f aca="false">IF($B73="","",IF($H73=0,"Não lançada",IF($H73=$G73,"Completa",IF($H73&lt;$G73,CONCATENATE("Faltam ",TEXT($G73-$H73,"0")," item(ns)"),CONCATENATE("Sobram ",TEXT($H73-$G73,"0")," item(ns)")))))</f>
        <v/>
      </c>
    </row>
    <row r="74" customFormat="false" ht="18" hidden="false" customHeight="true" outlineLevel="0" collapsed="false">
      <c r="A74" s="41"/>
      <c r="B74" s="39"/>
      <c r="C74" s="40"/>
      <c r="D74" s="40"/>
      <c r="E74" s="47" t="str">
        <f aca="false">IF($B74="","",IFERROR(INDEX(Equipamentos!$C$3:$C$52,MATCH($B74,Equipamentos!$A$3:$A$52,0)),""))</f>
        <v/>
      </c>
      <c r="F74" s="47" t="str">
        <f aca="false">IF($B74="","",IFERROR(INDEX(Equipamentos!$E$3:$E$52,MATCH($B74,Equipamentos!$A$3:$A$52,0)),""))</f>
        <v/>
      </c>
      <c r="G74" s="45" t="str">
        <f aca="false">IF($B74="","",COUNTIF('Itens Inspecionados'!$B$3:$B$402,$E74))</f>
        <v/>
      </c>
      <c r="H74" s="45" t="str">
        <f aca="false">IF($B74="","",COUNTIFS('Lançar Resultado'!$A$3:$A$2002,$B74,'Lançar Resultado'!$B$3:$B$2002,$A74))</f>
        <v/>
      </c>
      <c r="I74" s="48" t="str">
        <f aca="false">IF($B74="","",IF($H74=0,"Não lançada",IF($H74=$G74,"Completa",IF($H74&lt;$G74,CONCATENATE("Faltam ",TEXT($G74-$H74,"0")," item(ns)"),CONCATENATE("Sobram ",TEXT($H74-$G74,"0")," item(ns)")))))</f>
        <v/>
      </c>
    </row>
    <row r="75" customFormat="false" ht="18" hidden="false" customHeight="true" outlineLevel="0" collapsed="false">
      <c r="A75" s="41"/>
      <c r="B75" s="39"/>
      <c r="C75" s="40"/>
      <c r="D75" s="40"/>
      <c r="E75" s="47" t="str">
        <f aca="false">IF($B75="","",IFERROR(INDEX(Equipamentos!$C$3:$C$52,MATCH($B75,Equipamentos!$A$3:$A$52,0)),""))</f>
        <v/>
      </c>
      <c r="F75" s="47" t="str">
        <f aca="false">IF($B75="","",IFERROR(INDEX(Equipamentos!$E$3:$E$52,MATCH($B75,Equipamentos!$A$3:$A$52,0)),""))</f>
        <v/>
      </c>
      <c r="G75" s="45" t="str">
        <f aca="false">IF($B75="","",COUNTIF('Itens Inspecionados'!$B$3:$B$402,$E75))</f>
        <v/>
      </c>
      <c r="H75" s="45" t="str">
        <f aca="false">IF($B75="","",COUNTIFS('Lançar Resultado'!$A$3:$A$2002,$B75,'Lançar Resultado'!$B$3:$B$2002,$A75))</f>
        <v/>
      </c>
      <c r="I75" s="48" t="str">
        <f aca="false">IF($B75="","",IF($H75=0,"Não lançada",IF($H75=$G75,"Completa",IF($H75&lt;$G75,CONCATENATE("Faltam ",TEXT($G75-$H75,"0")," item(ns)"),CONCATENATE("Sobram ",TEXT($H75-$G75,"0")," item(ns)")))))</f>
        <v/>
      </c>
    </row>
    <row r="76" customFormat="false" ht="18" hidden="false" customHeight="true" outlineLevel="0" collapsed="false">
      <c r="A76" s="41"/>
      <c r="B76" s="39"/>
      <c r="C76" s="40"/>
      <c r="D76" s="40"/>
      <c r="E76" s="47" t="str">
        <f aca="false">IF($B76="","",IFERROR(INDEX(Equipamentos!$C$3:$C$52,MATCH($B76,Equipamentos!$A$3:$A$52,0)),""))</f>
        <v/>
      </c>
      <c r="F76" s="47" t="str">
        <f aca="false">IF($B76="","",IFERROR(INDEX(Equipamentos!$E$3:$E$52,MATCH($B76,Equipamentos!$A$3:$A$52,0)),""))</f>
        <v/>
      </c>
      <c r="G76" s="45" t="str">
        <f aca="false">IF($B76="","",COUNTIF('Itens Inspecionados'!$B$3:$B$402,$E76))</f>
        <v/>
      </c>
      <c r="H76" s="45" t="str">
        <f aca="false">IF($B76="","",COUNTIFS('Lançar Resultado'!$A$3:$A$2002,$B76,'Lançar Resultado'!$B$3:$B$2002,$A76))</f>
        <v/>
      </c>
      <c r="I76" s="48" t="str">
        <f aca="false">IF($B76="","",IF($H76=0,"Não lançada",IF($H76=$G76,"Completa",IF($H76&lt;$G76,CONCATENATE("Faltam ",TEXT($G76-$H76,"0")," item(ns)"),CONCATENATE("Sobram ",TEXT($H76-$G76,"0")," item(ns)")))))</f>
        <v/>
      </c>
    </row>
    <row r="77" customFormat="false" ht="18" hidden="false" customHeight="true" outlineLevel="0" collapsed="false">
      <c r="A77" s="41"/>
      <c r="B77" s="39"/>
      <c r="C77" s="40"/>
      <c r="D77" s="40"/>
      <c r="E77" s="47" t="str">
        <f aca="false">IF($B77="","",IFERROR(INDEX(Equipamentos!$C$3:$C$52,MATCH($B77,Equipamentos!$A$3:$A$52,0)),""))</f>
        <v/>
      </c>
      <c r="F77" s="47" t="str">
        <f aca="false">IF($B77="","",IFERROR(INDEX(Equipamentos!$E$3:$E$52,MATCH($B77,Equipamentos!$A$3:$A$52,0)),""))</f>
        <v/>
      </c>
      <c r="G77" s="45" t="str">
        <f aca="false">IF($B77="","",COUNTIF('Itens Inspecionados'!$B$3:$B$402,$E77))</f>
        <v/>
      </c>
      <c r="H77" s="45" t="str">
        <f aca="false">IF($B77="","",COUNTIFS('Lançar Resultado'!$A$3:$A$2002,$B77,'Lançar Resultado'!$B$3:$B$2002,$A77))</f>
        <v/>
      </c>
      <c r="I77" s="48" t="str">
        <f aca="false">IF($B77="","",IF($H77=0,"Não lançada",IF($H77=$G77,"Completa",IF($H77&lt;$G77,CONCATENATE("Faltam ",TEXT($G77-$H77,"0")," item(ns)"),CONCATENATE("Sobram ",TEXT($H77-$G77,"0")," item(ns)")))))</f>
        <v/>
      </c>
    </row>
    <row r="78" customFormat="false" ht="18" hidden="false" customHeight="true" outlineLevel="0" collapsed="false">
      <c r="A78" s="41"/>
      <c r="B78" s="39"/>
      <c r="C78" s="40"/>
      <c r="D78" s="40"/>
      <c r="E78" s="47" t="str">
        <f aca="false">IF($B78="","",IFERROR(INDEX(Equipamentos!$C$3:$C$52,MATCH($B78,Equipamentos!$A$3:$A$52,0)),""))</f>
        <v/>
      </c>
      <c r="F78" s="47" t="str">
        <f aca="false">IF($B78="","",IFERROR(INDEX(Equipamentos!$E$3:$E$52,MATCH($B78,Equipamentos!$A$3:$A$52,0)),""))</f>
        <v/>
      </c>
      <c r="G78" s="45" t="str">
        <f aca="false">IF($B78="","",COUNTIF('Itens Inspecionados'!$B$3:$B$402,$E78))</f>
        <v/>
      </c>
      <c r="H78" s="45" t="str">
        <f aca="false">IF($B78="","",COUNTIFS('Lançar Resultado'!$A$3:$A$2002,$B78,'Lançar Resultado'!$B$3:$B$2002,$A78))</f>
        <v/>
      </c>
      <c r="I78" s="48" t="str">
        <f aca="false">IF($B78="","",IF($H78=0,"Não lançada",IF($H78=$G78,"Completa",IF($H78&lt;$G78,CONCATENATE("Faltam ",TEXT($G78-$H78,"0")," item(ns)"),CONCATENATE("Sobram ",TEXT($H78-$G78,"0")," item(ns)")))))</f>
        <v/>
      </c>
    </row>
    <row r="79" customFormat="false" ht="18" hidden="false" customHeight="true" outlineLevel="0" collapsed="false">
      <c r="A79" s="41"/>
      <c r="B79" s="39"/>
      <c r="C79" s="40"/>
      <c r="D79" s="40"/>
      <c r="E79" s="47" t="str">
        <f aca="false">IF($B79="","",IFERROR(INDEX(Equipamentos!$C$3:$C$52,MATCH($B79,Equipamentos!$A$3:$A$52,0)),""))</f>
        <v/>
      </c>
      <c r="F79" s="47" t="str">
        <f aca="false">IF($B79="","",IFERROR(INDEX(Equipamentos!$E$3:$E$52,MATCH($B79,Equipamentos!$A$3:$A$52,0)),""))</f>
        <v/>
      </c>
      <c r="G79" s="45" t="str">
        <f aca="false">IF($B79="","",COUNTIF('Itens Inspecionados'!$B$3:$B$402,$E79))</f>
        <v/>
      </c>
      <c r="H79" s="45" t="str">
        <f aca="false">IF($B79="","",COUNTIFS('Lançar Resultado'!$A$3:$A$2002,$B79,'Lançar Resultado'!$B$3:$B$2002,$A79))</f>
        <v/>
      </c>
      <c r="I79" s="48" t="str">
        <f aca="false">IF($B79="","",IF($H79=0,"Não lançada",IF($H79=$G79,"Completa",IF($H79&lt;$G79,CONCATENATE("Faltam ",TEXT($G79-$H79,"0")," item(ns)"),CONCATENATE("Sobram ",TEXT($H79-$G79,"0")," item(ns)")))))</f>
        <v/>
      </c>
    </row>
    <row r="80" customFormat="false" ht="18" hidden="false" customHeight="true" outlineLevel="0" collapsed="false">
      <c r="A80" s="41"/>
      <c r="B80" s="39"/>
      <c r="C80" s="40"/>
      <c r="D80" s="40"/>
      <c r="E80" s="47" t="str">
        <f aca="false">IF($B80="","",IFERROR(INDEX(Equipamentos!$C$3:$C$52,MATCH($B80,Equipamentos!$A$3:$A$52,0)),""))</f>
        <v/>
      </c>
      <c r="F80" s="47" t="str">
        <f aca="false">IF($B80="","",IFERROR(INDEX(Equipamentos!$E$3:$E$52,MATCH($B80,Equipamentos!$A$3:$A$52,0)),""))</f>
        <v/>
      </c>
      <c r="G80" s="45" t="str">
        <f aca="false">IF($B80="","",COUNTIF('Itens Inspecionados'!$B$3:$B$402,$E80))</f>
        <v/>
      </c>
      <c r="H80" s="45" t="str">
        <f aca="false">IF($B80="","",COUNTIFS('Lançar Resultado'!$A$3:$A$2002,$B80,'Lançar Resultado'!$B$3:$B$2002,$A80))</f>
        <v/>
      </c>
      <c r="I80" s="48" t="str">
        <f aca="false">IF($B80="","",IF($H80=0,"Não lançada",IF($H80=$G80,"Completa",IF($H80&lt;$G80,CONCATENATE("Faltam ",TEXT($G80-$H80,"0")," item(ns)"),CONCATENATE("Sobram ",TEXT($H80-$G80,"0")," item(ns)")))))</f>
        <v/>
      </c>
    </row>
    <row r="81" customFormat="false" ht="18" hidden="false" customHeight="true" outlineLevel="0" collapsed="false">
      <c r="A81" s="41"/>
      <c r="B81" s="39"/>
      <c r="C81" s="40"/>
      <c r="D81" s="40"/>
      <c r="E81" s="47" t="str">
        <f aca="false">IF($B81="","",IFERROR(INDEX(Equipamentos!$C$3:$C$52,MATCH($B81,Equipamentos!$A$3:$A$52,0)),""))</f>
        <v/>
      </c>
      <c r="F81" s="47" t="str">
        <f aca="false">IF($B81="","",IFERROR(INDEX(Equipamentos!$E$3:$E$52,MATCH($B81,Equipamentos!$A$3:$A$52,0)),""))</f>
        <v/>
      </c>
      <c r="G81" s="45" t="str">
        <f aca="false">IF($B81="","",COUNTIF('Itens Inspecionados'!$B$3:$B$402,$E81))</f>
        <v/>
      </c>
      <c r="H81" s="45" t="str">
        <f aca="false">IF($B81="","",COUNTIFS('Lançar Resultado'!$A$3:$A$2002,$B81,'Lançar Resultado'!$B$3:$B$2002,$A81))</f>
        <v/>
      </c>
      <c r="I81" s="48" t="str">
        <f aca="false">IF($B81="","",IF($H81=0,"Não lançada",IF($H81=$G81,"Completa",IF($H81&lt;$G81,CONCATENATE("Faltam ",TEXT($G81-$H81,"0")," item(ns)"),CONCATENATE("Sobram ",TEXT($H81-$G81,"0")," item(ns)")))))</f>
        <v/>
      </c>
    </row>
    <row r="82" customFormat="false" ht="18" hidden="false" customHeight="true" outlineLevel="0" collapsed="false">
      <c r="A82" s="41"/>
      <c r="B82" s="39"/>
      <c r="C82" s="40"/>
      <c r="D82" s="40"/>
      <c r="E82" s="47" t="str">
        <f aca="false">IF($B82="","",IFERROR(INDEX(Equipamentos!$C$3:$C$52,MATCH($B82,Equipamentos!$A$3:$A$52,0)),""))</f>
        <v/>
      </c>
      <c r="F82" s="47" t="str">
        <f aca="false">IF($B82="","",IFERROR(INDEX(Equipamentos!$E$3:$E$52,MATCH($B82,Equipamentos!$A$3:$A$52,0)),""))</f>
        <v/>
      </c>
      <c r="G82" s="45" t="str">
        <f aca="false">IF($B82="","",COUNTIF('Itens Inspecionados'!$B$3:$B$402,$E82))</f>
        <v/>
      </c>
      <c r="H82" s="45" t="str">
        <f aca="false">IF($B82="","",COUNTIFS('Lançar Resultado'!$A$3:$A$2002,$B82,'Lançar Resultado'!$B$3:$B$2002,$A82))</f>
        <v/>
      </c>
      <c r="I82" s="48" t="str">
        <f aca="false">IF($B82="","",IF($H82=0,"Não lançada",IF($H82=$G82,"Completa",IF($H82&lt;$G82,CONCATENATE("Faltam ",TEXT($G82-$H82,"0")," item(ns)"),CONCATENATE("Sobram ",TEXT($H82-$G82,"0")," item(ns)")))))</f>
        <v/>
      </c>
    </row>
    <row r="83" customFormat="false" ht="18" hidden="false" customHeight="true" outlineLevel="0" collapsed="false">
      <c r="A83" s="41"/>
      <c r="B83" s="39"/>
      <c r="C83" s="40"/>
      <c r="D83" s="40"/>
      <c r="E83" s="47" t="str">
        <f aca="false">IF($B83="","",IFERROR(INDEX(Equipamentos!$C$3:$C$52,MATCH($B83,Equipamentos!$A$3:$A$52,0)),""))</f>
        <v/>
      </c>
      <c r="F83" s="47" t="str">
        <f aca="false">IF($B83="","",IFERROR(INDEX(Equipamentos!$E$3:$E$52,MATCH($B83,Equipamentos!$A$3:$A$52,0)),""))</f>
        <v/>
      </c>
      <c r="G83" s="45" t="str">
        <f aca="false">IF($B83="","",COUNTIF('Itens Inspecionados'!$B$3:$B$402,$E83))</f>
        <v/>
      </c>
      <c r="H83" s="45" t="str">
        <f aca="false">IF($B83="","",COUNTIFS('Lançar Resultado'!$A$3:$A$2002,$B83,'Lançar Resultado'!$B$3:$B$2002,$A83))</f>
        <v/>
      </c>
      <c r="I83" s="48" t="str">
        <f aca="false">IF($B83="","",IF($H83=0,"Não lançada",IF($H83=$G83,"Completa",IF($H83&lt;$G83,CONCATENATE("Faltam ",TEXT($G83-$H83,"0")," item(ns)"),CONCATENATE("Sobram ",TEXT($H83-$G83,"0")," item(ns)")))))</f>
        <v/>
      </c>
    </row>
    <row r="84" customFormat="false" ht="18" hidden="false" customHeight="true" outlineLevel="0" collapsed="false">
      <c r="A84" s="41"/>
      <c r="B84" s="39"/>
      <c r="C84" s="40"/>
      <c r="D84" s="40"/>
      <c r="E84" s="47" t="str">
        <f aca="false">IF($B84="","",IFERROR(INDEX(Equipamentos!$C$3:$C$52,MATCH($B84,Equipamentos!$A$3:$A$52,0)),""))</f>
        <v/>
      </c>
      <c r="F84" s="47" t="str">
        <f aca="false">IF($B84="","",IFERROR(INDEX(Equipamentos!$E$3:$E$52,MATCH($B84,Equipamentos!$A$3:$A$52,0)),""))</f>
        <v/>
      </c>
      <c r="G84" s="45" t="str">
        <f aca="false">IF($B84="","",COUNTIF('Itens Inspecionados'!$B$3:$B$402,$E84))</f>
        <v/>
      </c>
      <c r="H84" s="45" t="str">
        <f aca="false">IF($B84="","",COUNTIFS('Lançar Resultado'!$A$3:$A$2002,$B84,'Lançar Resultado'!$B$3:$B$2002,$A84))</f>
        <v/>
      </c>
      <c r="I84" s="48" t="str">
        <f aca="false">IF($B84="","",IF($H84=0,"Não lançada",IF($H84=$G84,"Completa",IF($H84&lt;$G84,CONCATENATE("Faltam ",TEXT($G84-$H84,"0")," item(ns)"),CONCATENATE("Sobram ",TEXT($H84-$G84,"0")," item(ns)")))))</f>
        <v/>
      </c>
    </row>
    <row r="85" customFormat="false" ht="18" hidden="false" customHeight="true" outlineLevel="0" collapsed="false">
      <c r="A85" s="41"/>
      <c r="B85" s="39"/>
      <c r="C85" s="40"/>
      <c r="D85" s="40"/>
      <c r="E85" s="47" t="str">
        <f aca="false">IF($B85="","",IFERROR(INDEX(Equipamentos!$C$3:$C$52,MATCH($B85,Equipamentos!$A$3:$A$52,0)),""))</f>
        <v/>
      </c>
      <c r="F85" s="47" t="str">
        <f aca="false">IF($B85="","",IFERROR(INDEX(Equipamentos!$E$3:$E$52,MATCH($B85,Equipamentos!$A$3:$A$52,0)),""))</f>
        <v/>
      </c>
      <c r="G85" s="45" t="str">
        <f aca="false">IF($B85="","",COUNTIF('Itens Inspecionados'!$B$3:$B$402,$E85))</f>
        <v/>
      </c>
      <c r="H85" s="45" t="str">
        <f aca="false">IF($B85="","",COUNTIFS('Lançar Resultado'!$A$3:$A$2002,$B85,'Lançar Resultado'!$B$3:$B$2002,$A85))</f>
        <v/>
      </c>
      <c r="I85" s="48" t="str">
        <f aca="false">IF($B85="","",IF($H85=0,"Não lançada",IF($H85=$G85,"Completa",IF($H85&lt;$G85,CONCATENATE("Faltam ",TEXT($G85-$H85,"0")," item(ns)"),CONCATENATE("Sobram ",TEXT($H85-$G85,"0")," item(ns)")))))</f>
        <v/>
      </c>
    </row>
    <row r="86" customFormat="false" ht="18" hidden="false" customHeight="true" outlineLevel="0" collapsed="false">
      <c r="A86" s="41"/>
      <c r="B86" s="39"/>
      <c r="C86" s="40"/>
      <c r="D86" s="40"/>
      <c r="E86" s="47" t="str">
        <f aca="false">IF($B86="","",IFERROR(INDEX(Equipamentos!$C$3:$C$52,MATCH($B86,Equipamentos!$A$3:$A$52,0)),""))</f>
        <v/>
      </c>
      <c r="F86" s="47" t="str">
        <f aca="false">IF($B86="","",IFERROR(INDEX(Equipamentos!$E$3:$E$52,MATCH($B86,Equipamentos!$A$3:$A$52,0)),""))</f>
        <v/>
      </c>
      <c r="G86" s="45" t="str">
        <f aca="false">IF($B86="","",COUNTIF('Itens Inspecionados'!$B$3:$B$402,$E86))</f>
        <v/>
      </c>
      <c r="H86" s="45" t="str">
        <f aca="false">IF($B86="","",COUNTIFS('Lançar Resultado'!$A$3:$A$2002,$B86,'Lançar Resultado'!$B$3:$B$2002,$A86))</f>
        <v/>
      </c>
      <c r="I86" s="48" t="str">
        <f aca="false">IF($B86="","",IF($H86=0,"Não lançada",IF($H86=$G86,"Completa",IF($H86&lt;$G86,CONCATENATE("Faltam ",TEXT($G86-$H86,"0")," item(ns)"),CONCATENATE("Sobram ",TEXT($H86-$G86,"0")," item(ns)")))))</f>
        <v/>
      </c>
    </row>
    <row r="87" customFormat="false" ht="18" hidden="false" customHeight="true" outlineLevel="0" collapsed="false">
      <c r="A87" s="41"/>
      <c r="B87" s="39"/>
      <c r="C87" s="40"/>
      <c r="D87" s="40"/>
      <c r="E87" s="47" t="str">
        <f aca="false">IF($B87="","",IFERROR(INDEX(Equipamentos!$C$3:$C$52,MATCH($B87,Equipamentos!$A$3:$A$52,0)),""))</f>
        <v/>
      </c>
      <c r="F87" s="47" t="str">
        <f aca="false">IF($B87="","",IFERROR(INDEX(Equipamentos!$E$3:$E$52,MATCH($B87,Equipamentos!$A$3:$A$52,0)),""))</f>
        <v/>
      </c>
      <c r="G87" s="45" t="str">
        <f aca="false">IF($B87="","",COUNTIF('Itens Inspecionados'!$B$3:$B$402,$E87))</f>
        <v/>
      </c>
      <c r="H87" s="45" t="str">
        <f aca="false">IF($B87="","",COUNTIFS('Lançar Resultado'!$A$3:$A$2002,$B87,'Lançar Resultado'!$B$3:$B$2002,$A87))</f>
        <v/>
      </c>
      <c r="I87" s="48" t="str">
        <f aca="false">IF($B87="","",IF($H87=0,"Não lançada",IF($H87=$G87,"Completa",IF($H87&lt;$G87,CONCATENATE("Faltam ",TEXT($G87-$H87,"0")," item(ns)"),CONCATENATE("Sobram ",TEXT($H87-$G87,"0")," item(ns)")))))</f>
        <v/>
      </c>
    </row>
    <row r="88" customFormat="false" ht="18" hidden="false" customHeight="true" outlineLevel="0" collapsed="false">
      <c r="A88" s="41"/>
      <c r="B88" s="39"/>
      <c r="C88" s="40"/>
      <c r="D88" s="40"/>
      <c r="E88" s="47" t="str">
        <f aca="false">IF($B88="","",IFERROR(INDEX(Equipamentos!$C$3:$C$52,MATCH($B88,Equipamentos!$A$3:$A$52,0)),""))</f>
        <v/>
      </c>
      <c r="F88" s="47" t="str">
        <f aca="false">IF($B88="","",IFERROR(INDEX(Equipamentos!$E$3:$E$52,MATCH($B88,Equipamentos!$A$3:$A$52,0)),""))</f>
        <v/>
      </c>
      <c r="G88" s="45" t="str">
        <f aca="false">IF($B88="","",COUNTIF('Itens Inspecionados'!$B$3:$B$402,$E88))</f>
        <v/>
      </c>
      <c r="H88" s="45" t="str">
        <f aca="false">IF($B88="","",COUNTIFS('Lançar Resultado'!$A$3:$A$2002,$B88,'Lançar Resultado'!$B$3:$B$2002,$A88))</f>
        <v/>
      </c>
      <c r="I88" s="48" t="str">
        <f aca="false">IF($B88="","",IF($H88=0,"Não lançada",IF($H88=$G88,"Completa",IF($H88&lt;$G88,CONCATENATE("Faltam ",TEXT($G88-$H88,"0")," item(ns)"),CONCATENATE("Sobram ",TEXT($H88-$G88,"0")," item(ns)")))))</f>
        <v/>
      </c>
    </row>
    <row r="89" customFormat="false" ht="18" hidden="false" customHeight="true" outlineLevel="0" collapsed="false">
      <c r="A89" s="41"/>
      <c r="B89" s="39"/>
      <c r="C89" s="40"/>
      <c r="D89" s="40"/>
      <c r="E89" s="47" t="str">
        <f aca="false">IF($B89="","",IFERROR(INDEX(Equipamentos!$C$3:$C$52,MATCH($B89,Equipamentos!$A$3:$A$52,0)),""))</f>
        <v/>
      </c>
      <c r="F89" s="47" t="str">
        <f aca="false">IF($B89="","",IFERROR(INDEX(Equipamentos!$E$3:$E$52,MATCH($B89,Equipamentos!$A$3:$A$52,0)),""))</f>
        <v/>
      </c>
      <c r="G89" s="45" t="str">
        <f aca="false">IF($B89="","",COUNTIF('Itens Inspecionados'!$B$3:$B$402,$E89))</f>
        <v/>
      </c>
      <c r="H89" s="45" t="str">
        <f aca="false">IF($B89="","",COUNTIFS('Lançar Resultado'!$A$3:$A$2002,$B89,'Lançar Resultado'!$B$3:$B$2002,$A89))</f>
        <v/>
      </c>
      <c r="I89" s="48" t="str">
        <f aca="false">IF($B89="","",IF($H89=0,"Não lançada",IF($H89=$G89,"Completa",IF($H89&lt;$G89,CONCATENATE("Faltam ",TEXT($G89-$H89,"0")," item(ns)"),CONCATENATE("Sobram ",TEXT($H89-$G89,"0")," item(ns)")))))</f>
        <v/>
      </c>
    </row>
    <row r="90" customFormat="false" ht="18" hidden="false" customHeight="true" outlineLevel="0" collapsed="false">
      <c r="A90" s="41"/>
      <c r="B90" s="39"/>
      <c r="C90" s="40"/>
      <c r="D90" s="40"/>
      <c r="E90" s="47" t="str">
        <f aca="false">IF($B90="","",IFERROR(INDEX(Equipamentos!$C$3:$C$52,MATCH($B90,Equipamentos!$A$3:$A$52,0)),""))</f>
        <v/>
      </c>
      <c r="F90" s="47" t="str">
        <f aca="false">IF($B90="","",IFERROR(INDEX(Equipamentos!$E$3:$E$52,MATCH($B90,Equipamentos!$A$3:$A$52,0)),""))</f>
        <v/>
      </c>
      <c r="G90" s="45" t="str">
        <f aca="false">IF($B90="","",COUNTIF('Itens Inspecionados'!$B$3:$B$402,$E90))</f>
        <v/>
      </c>
      <c r="H90" s="45" t="str">
        <f aca="false">IF($B90="","",COUNTIFS('Lançar Resultado'!$A$3:$A$2002,$B90,'Lançar Resultado'!$B$3:$B$2002,$A90))</f>
        <v/>
      </c>
      <c r="I90" s="48" t="str">
        <f aca="false">IF($B90="","",IF($H90=0,"Não lançada",IF($H90=$G90,"Completa",IF($H90&lt;$G90,CONCATENATE("Faltam ",TEXT($G90-$H90,"0")," item(ns)"),CONCATENATE("Sobram ",TEXT($H90-$G90,"0")," item(ns)")))))</f>
        <v/>
      </c>
    </row>
    <row r="91" customFormat="false" ht="18" hidden="false" customHeight="true" outlineLevel="0" collapsed="false">
      <c r="A91" s="41"/>
      <c r="B91" s="39"/>
      <c r="C91" s="40"/>
      <c r="D91" s="40"/>
      <c r="E91" s="47" t="str">
        <f aca="false">IF($B91="","",IFERROR(INDEX(Equipamentos!$C$3:$C$52,MATCH($B91,Equipamentos!$A$3:$A$52,0)),""))</f>
        <v/>
      </c>
      <c r="F91" s="47" t="str">
        <f aca="false">IF($B91="","",IFERROR(INDEX(Equipamentos!$E$3:$E$52,MATCH($B91,Equipamentos!$A$3:$A$52,0)),""))</f>
        <v/>
      </c>
      <c r="G91" s="45" t="str">
        <f aca="false">IF($B91="","",COUNTIF('Itens Inspecionados'!$B$3:$B$402,$E91))</f>
        <v/>
      </c>
      <c r="H91" s="45" t="str">
        <f aca="false">IF($B91="","",COUNTIFS('Lançar Resultado'!$A$3:$A$2002,$B91,'Lançar Resultado'!$B$3:$B$2002,$A91))</f>
        <v/>
      </c>
      <c r="I91" s="48" t="str">
        <f aca="false">IF($B91="","",IF($H91=0,"Não lançada",IF($H91=$G91,"Completa",IF($H91&lt;$G91,CONCATENATE("Faltam ",TEXT($G91-$H91,"0")," item(ns)"),CONCATENATE("Sobram ",TEXT($H91-$G91,"0")," item(ns)")))))</f>
        <v/>
      </c>
    </row>
    <row r="92" customFormat="false" ht="18" hidden="false" customHeight="true" outlineLevel="0" collapsed="false">
      <c r="A92" s="41"/>
      <c r="B92" s="39"/>
      <c r="C92" s="40"/>
      <c r="D92" s="40"/>
      <c r="E92" s="47" t="str">
        <f aca="false">IF($B92="","",IFERROR(INDEX(Equipamentos!$C$3:$C$52,MATCH($B92,Equipamentos!$A$3:$A$52,0)),""))</f>
        <v/>
      </c>
      <c r="F92" s="47" t="str">
        <f aca="false">IF($B92="","",IFERROR(INDEX(Equipamentos!$E$3:$E$52,MATCH($B92,Equipamentos!$A$3:$A$52,0)),""))</f>
        <v/>
      </c>
      <c r="G92" s="45" t="str">
        <f aca="false">IF($B92="","",COUNTIF('Itens Inspecionados'!$B$3:$B$402,$E92))</f>
        <v/>
      </c>
      <c r="H92" s="45" t="str">
        <f aca="false">IF($B92="","",COUNTIFS('Lançar Resultado'!$A$3:$A$2002,$B92,'Lançar Resultado'!$B$3:$B$2002,$A92))</f>
        <v/>
      </c>
      <c r="I92" s="48" t="str">
        <f aca="false">IF($B92="","",IF($H92=0,"Não lançada",IF($H92=$G92,"Completa",IF($H92&lt;$G92,CONCATENATE("Faltam ",TEXT($G92-$H92,"0")," item(ns)"),CONCATENATE("Sobram ",TEXT($H92-$G92,"0")," item(ns)")))))</f>
        <v/>
      </c>
    </row>
    <row r="93" customFormat="false" ht="18" hidden="false" customHeight="true" outlineLevel="0" collapsed="false">
      <c r="A93" s="41"/>
      <c r="B93" s="39"/>
      <c r="C93" s="40"/>
      <c r="D93" s="40"/>
      <c r="E93" s="47" t="str">
        <f aca="false">IF($B93="","",IFERROR(INDEX(Equipamentos!$C$3:$C$52,MATCH($B93,Equipamentos!$A$3:$A$52,0)),""))</f>
        <v/>
      </c>
      <c r="F93" s="47" t="str">
        <f aca="false">IF($B93="","",IFERROR(INDEX(Equipamentos!$E$3:$E$52,MATCH($B93,Equipamentos!$A$3:$A$52,0)),""))</f>
        <v/>
      </c>
      <c r="G93" s="45" t="str">
        <f aca="false">IF($B93="","",COUNTIF('Itens Inspecionados'!$B$3:$B$402,$E93))</f>
        <v/>
      </c>
      <c r="H93" s="45" t="str">
        <f aca="false">IF($B93="","",COUNTIFS('Lançar Resultado'!$A$3:$A$2002,$B93,'Lançar Resultado'!$B$3:$B$2002,$A93))</f>
        <v/>
      </c>
      <c r="I93" s="48" t="str">
        <f aca="false">IF($B93="","",IF($H93=0,"Não lançada",IF($H93=$G93,"Completa",IF($H93&lt;$G93,CONCATENATE("Faltam ",TEXT($G93-$H93,"0")," item(ns)"),CONCATENATE("Sobram ",TEXT($H93-$G93,"0")," item(ns)")))))</f>
        <v/>
      </c>
    </row>
    <row r="94" customFormat="false" ht="18" hidden="false" customHeight="true" outlineLevel="0" collapsed="false">
      <c r="A94" s="41"/>
      <c r="B94" s="39"/>
      <c r="C94" s="40"/>
      <c r="D94" s="40"/>
      <c r="E94" s="47" t="str">
        <f aca="false">IF($B94="","",IFERROR(INDEX(Equipamentos!$C$3:$C$52,MATCH($B94,Equipamentos!$A$3:$A$52,0)),""))</f>
        <v/>
      </c>
      <c r="F94" s="47" t="str">
        <f aca="false">IF($B94="","",IFERROR(INDEX(Equipamentos!$E$3:$E$52,MATCH($B94,Equipamentos!$A$3:$A$52,0)),""))</f>
        <v/>
      </c>
      <c r="G94" s="45" t="str">
        <f aca="false">IF($B94="","",COUNTIF('Itens Inspecionados'!$B$3:$B$402,$E94))</f>
        <v/>
      </c>
      <c r="H94" s="45" t="str">
        <f aca="false">IF($B94="","",COUNTIFS('Lançar Resultado'!$A$3:$A$2002,$B94,'Lançar Resultado'!$B$3:$B$2002,$A94))</f>
        <v/>
      </c>
      <c r="I94" s="48" t="str">
        <f aca="false">IF($B94="","",IF($H94=0,"Não lançada",IF($H94=$G94,"Completa",IF($H94&lt;$G94,CONCATENATE("Faltam ",TEXT($G94-$H94,"0")," item(ns)"),CONCATENATE("Sobram ",TEXT($H94-$G94,"0")," item(ns)")))))</f>
        <v/>
      </c>
    </row>
    <row r="95" customFormat="false" ht="18" hidden="false" customHeight="true" outlineLevel="0" collapsed="false">
      <c r="A95" s="41"/>
      <c r="B95" s="39"/>
      <c r="C95" s="40"/>
      <c r="D95" s="40"/>
      <c r="E95" s="47" t="str">
        <f aca="false">IF($B95="","",IFERROR(INDEX(Equipamentos!$C$3:$C$52,MATCH($B95,Equipamentos!$A$3:$A$52,0)),""))</f>
        <v/>
      </c>
      <c r="F95" s="47" t="str">
        <f aca="false">IF($B95="","",IFERROR(INDEX(Equipamentos!$E$3:$E$52,MATCH($B95,Equipamentos!$A$3:$A$52,0)),""))</f>
        <v/>
      </c>
      <c r="G95" s="45" t="str">
        <f aca="false">IF($B95="","",COUNTIF('Itens Inspecionados'!$B$3:$B$402,$E95))</f>
        <v/>
      </c>
      <c r="H95" s="45" t="str">
        <f aca="false">IF($B95="","",COUNTIFS('Lançar Resultado'!$A$3:$A$2002,$B95,'Lançar Resultado'!$B$3:$B$2002,$A95))</f>
        <v/>
      </c>
      <c r="I95" s="48" t="str">
        <f aca="false">IF($B95="","",IF($H95=0,"Não lançada",IF($H95=$G95,"Completa",IF($H95&lt;$G95,CONCATENATE("Faltam ",TEXT($G95-$H95,"0")," item(ns)"),CONCATENATE("Sobram ",TEXT($H95-$G95,"0")," item(ns)")))))</f>
        <v/>
      </c>
    </row>
    <row r="96" customFormat="false" ht="18" hidden="false" customHeight="true" outlineLevel="0" collapsed="false">
      <c r="A96" s="41"/>
      <c r="B96" s="39"/>
      <c r="C96" s="40"/>
      <c r="D96" s="40"/>
      <c r="E96" s="47" t="str">
        <f aca="false">IF($B96="","",IFERROR(INDEX(Equipamentos!$C$3:$C$52,MATCH($B96,Equipamentos!$A$3:$A$52,0)),""))</f>
        <v/>
      </c>
      <c r="F96" s="47" t="str">
        <f aca="false">IF($B96="","",IFERROR(INDEX(Equipamentos!$E$3:$E$52,MATCH($B96,Equipamentos!$A$3:$A$52,0)),""))</f>
        <v/>
      </c>
      <c r="G96" s="45" t="str">
        <f aca="false">IF($B96="","",COUNTIF('Itens Inspecionados'!$B$3:$B$402,$E96))</f>
        <v/>
      </c>
      <c r="H96" s="45" t="str">
        <f aca="false">IF($B96="","",COUNTIFS('Lançar Resultado'!$A$3:$A$2002,$B96,'Lançar Resultado'!$B$3:$B$2002,$A96))</f>
        <v/>
      </c>
      <c r="I96" s="48" t="str">
        <f aca="false">IF($B96="","",IF($H96=0,"Não lançada",IF($H96=$G96,"Completa",IF($H96&lt;$G96,CONCATENATE("Faltam ",TEXT($G96-$H96,"0")," item(ns)"),CONCATENATE("Sobram ",TEXT($H96-$G96,"0")," item(ns)")))))</f>
        <v/>
      </c>
    </row>
    <row r="97" customFormat="false" ht="18" hidden="false" customHeight="true" outlineLevel="0" collapsed="false">
      <c r="A97" s="41"/>
      <c r="B97" s="39"/>
      <c r="C97" s="40"/>
      <c r="D97" s="40"/>
      <c r="E97" s="47" t="str">
        <f aca="false">IF($B97="","",IFERROR(INDEX(Equipamentos!$C$3:$C$52,MATCH($B97,Equipamentos!$A$3:$A$52,0)),""))</f>
        <v/>
      </c>
      <c r="F97" s="47" t="str">
        <f aca="false">IF($B97="","",IFERROR(INDEX(Equipamentos!$E$3:$E$52,MATCH($B97,Equipamentos!$A$3:$A$52,0)),""))</f>
        <v/>
      </c>
      <c r="G97" s="45" t="str">
        <f aca="false">IF($B97="","",COUNTIF('Itens Inspecionados'!$B$3:$B$402,$E97))</f>
        <v/>
      </c>
      <c r="H97" s="45" t="str">
        <f aca="false">IF($B97="","",COUNTIFS('Lançar Resultado'!$A$3:$A$2002,$B97,'Lançar Resultado'!$B$3:$B$2002,$A97))</f>
        <v/>
      </c>
      <c r="I97" s="48" t="str">
        <f aca="false">IF($B97="","",IF($H97=0,"Não lançada",IF($H97=$G97,"Completa",IF($H97&lt;$G97,CONCATENATE("Faltam ",TEXT($G97-$H97,"0")," item(ns)"),CONCATENATE("Sobram ",TEXT($H97-$G97,"0")," item(ns)")))))</f>
        <v/>
      </c>
    </row>
    <row r="98" customFormat="false" ht="18" hidden="false" customHeight="true" outlineLevel="0" collapsed="false">
      <c r="A98" s="41"/>
      <c r="B98" s="39"/>
      <c r="C98" s="40"/>
      <c r="D98" s="40"/>
      <c r="E98" s="47" t="str">
        <f aca="false">IF($B98="","",IFERROR(INDEX(Equipamentos!$C$3:$C$52,MATCH($B98,Equipamentos!$A$3:$A$52,0)),""))</f>
        <v/>
      </c>
      <c r="F98" s="47" t="str">
        <f aca="false">IF($B98="","",IFERROR(INDEX(Equipamentos!$E$3:$E$52,MATCH($B98,Equipamentos!$A$3:$A$52,0)),""))</f>
        <v/>
      </c>
      <c r="G98" s="45" t="str">
        <f aca="false">IF($B98="","",COUNTIF('Itens Inspecionados'!$B$3:$B$402,$E98))</f>
        <v/>
      </c>
      <c r="H98" s="45" t="str">
        <f aca="false">IF($B98="","",COUNTIFS('Lançar Resultado'!$A$3:$A$2002,$B98,'Lançar Resultado'!$B$3:$B$2002,$A98))</f>
        <v/>
      </c>
      <c r="I98" s="48" t="str">
        <f aca="false">IF($B98="","",IF($H98=0,"Não lançada",IF($H98=$G98,"Completa",IF($H98&lt;$G98,CONCATENATE("Faltam ",TEXT($G98-$H98,"0")," item(ns)"),CONCATENATE("Sobram ",TEXT($H98-$G98,"0")," item(ns)")))))</f>
        <v/>
      </c>
    </row>
    <row r="99" customFormat="false" ht="18" hidden="false" customHeight="true" outlineLevel="0" collapsed="false">
      <c r="A99" s="41"/>
      <c r="B99" s="39"/>
      <c r="C99" s="40"/>
      <c r="D99" s="40"/>
      <c r="E99" s="47" t="str">
        <f aca="false">IF($B99="","",IFERROR(INDEX(Equipamentos!$C$3:$C$52,MATCH($B99,Equipamentos!$A$3:$A$52,0)),""))</f>
        <v/>
      </c>
      <c r="F99" s="47" t="str">
        <f aca="false">IF($B99="","",IFERROR(INDEX(Equipamentos!$E$3:$E$52,MATCH($B99,Equipamentos!$A$3:$A$52,0)),""))</f>
        <v/>
      </c>
      <c r="G99" s="45" t="str">
        <f aca="false">IF($B99="","",COUNTIF('Itens Inspecionados'!$B$3:$B$402,$E99))</f>
        <v/>
      </c>
      <c r="H99" s="45" t="str">
        <f aca="false">IF($B99="","",COUNTIFS('Lançar Resultado'!$A$3:$A$2002,$B99,'Lançar Resultado'!$B$3:$B$2002,$A99))</f>
        <v/>
      </c>
      <c r="I99" s="48" t="str">
        <f aca="false">IF($B99="","",IF($H99=0,"Não lançada",IF($H99=$G99,"Completa",IF($H99&lt;$G99,CONCATENATE("Faltam ",TEXT($G99-$H99,"0")," item(ns)"),CONCATENATE("Sobram ",TEXT($H99-$G99,"0")," item(ns)")))))</f>
        <v/>
      </c>
    </row>
    <row r="100" customFormat="false" ht="18" hidden="false" customHeight="true" outlineLevel="0" collapsed="false">
      <c r="A100" s="41"/>
      <c r="B100" s="39"/>
      <c r="C100" s="40"/>
      <c r="D100" s="40"/>
      <c r="E100" s="47" t="str">
        <f aca="false">IF($B100="","",IFERROR(INDEX(Equipamentos!$C$3:$C$52,MATCH($B100,Equipamentos!$A$3:$A$52,0)),""))</f>
        <v/>
      </c>
      <c r="F100" s="47" t="str">
        <f aca="false">IF($B100="","",IFERROR(INDEX(Equipamentos!$E$3:$E$52,MATCH($B100,Equipamentos!$A$3:$A$52,0)),""))</f>
        <v/>
      </c>
      <c r="G100" s="45" t="str">
        <f aca="false">IF($B100="","",COUNTIF('Itens Inspecionados'!$B$3:$B$402,$E100))</f>
        <v/>
      </c>
      <c r="H100" s="45" t="str">
        <f aca="false">IF($B100="","",COUNTIFS('Lançar Resultado'!$A$3:$A$2002,$B100,'Lançar Resultado'!$B$3:$B$2002,$A100))</f>
        <v/>
      </c>
      <c r="I100" s="48" t="str">
        <f aca="false">IF($B100="","",IF($H100=0,"Não lançada",IF($H100=$G100,"Completa",IF($H100&lt;$G100,CONCATENATE("Faltam ",TEXT($G100-$H100,"0")," item(ns)"),CONCATENATE("Sobram ",TEXT($H100-$G100,"0")," item(ns)")))))</f>
        <v/>
      </c>
    </row>
    <row r="101" customFormat="false" ht="18" hidden="false" customHeight="true" outlineLevel="0" collapsed="false">
      <c r="A101" s="41"/>
      <c r="B101" s="39"/>
      <c r="C101" s="40"/>
      <c r="D101" s="40"/>
      <c r="E101" s="47" t="str">
        <f aca="false">IF($B101="","",IFERROR(INDEX(Equipamentos!$C$3:$C$52,MATCH($B101,Equipamentos!$A$3:$A$52,0)),""))</f>
        <v/>
      </c>
      <c r="F101" s="47" t="str">
        <f aca="false">IF($B101="","",IFERROR(INDEX(Equipamentos!$E$3:$E$52,MATCH($B101,Equipamentos!$A$3:$A$52,0)),""))</f>
        <v/>
      </c>
      <c r="G101" s="45" t="str">
        <f aca="false">IF($B101="","",COUNTIF('Itens Inspecionados'!$B$3:$B$402,$E101))</f>
        <v/>
      </c>
      <c r="H101" s="45" t="str">
        <f aca="false">IF($B101="","",COUNTIFS('Lançar Resultado'!$A$3:$A$2002,$B101,'Lançar Resultado'!$B$3:$B$2002,$A101))</f>
        <v/>
      </c>
      <c r="I101" s="48" t="str">
        <f aca="false">IF($B101="","",IF($H101=0,"Não lançada",IF($H101=$G101,"Completa",IF($H101&lt;$G101,CONCATENATE("Faltam ",TEXT($G101-$H101,"0")," item(ns)"),CONCATENATE("Sobram ",TEXT($H101-$G101,"0")," item(ns)")))))</f>
        <v/>
      </c>
    </row>
    <row r="102" customFormat="false" ht="18" hidden="false" customHeight="true" outlineLevel="0" collapsed="false">
      <c r="A102" s="41"/>
      <c r="B102" s="39"/>
      <c r="C102" s="40"/>
      <c r="D102" s="40"/>
      <c r="E102" s="47" t="str">
        <f aca="false">IF($B102="","",IFERROR(INDEX(Equipamentos!$C$3:$C$52,MATCH($B102,Equipamentos!$A$3:$A$52,0)),""))</f>
        <v/>
      </c>
      <c r="F102" s="47" t="str">
        <f aca="false">IF($B102="","",IFERROR(INDEX(Equipamentos!$E$3:$E$52,MATCH($B102,Equipamentos!$A$3:$A$52,0)),""))</f>
        <v/>
      </c>
      <c r="G102" s="45" t="str">
        <f aca="false">IF($B102="","",COUNTIF('Itens Inspecionados'!$B$3:$B$402,$E102))</f>
        <v/>
      </c>
      <c r="H102" s="45" t="str">
        <f aca="false">IF($B102="","",COUNTIFS('Lançar Resultado'!$A$3:$A$2002,$B102,'Lançar Resultado'!$B$3:$B$2002,$A102))</f>
        <v/>
      </c>
      <c r="I102" s="48" t="str">
        <f aca="false">IF($B102="","",IF($H102=0,"Não lançada",IF($H102=$G102,"Completa",IF($H102&lt;$G102,CONCATENATE("Faltam ",TEXT($G102-$H102,"0")," item(ns)"),CONCATENATE("Sobram ",TEXT($H102-$G102,"0")," item(ns)")))))</f>
        <v/>
      </c>
    </row>
    <row r="103" customFormat="false" ht="18" hidden="false" customHeight="true" outlineLevel="0" collapsed="false">
      <c r="A103" s="41"/>
      <c r="B103" s="39"/>
      <c r="C103" s="40"/>
      <c r="D103" s="40"/>
      <c r="E103" s="47" t="str">
        <f aca="false">IF($B103="","",IFERROR(INDEX(Equipamentos!$C$3:$C$52,MATCH($B103,Equipamentos!$A$3:$A$52,0)),""))</f>
        <v/>
      </c>
      <c r="F103" s="47" t="str">
        <f aca="false">IF($B103="","",IFERROR(INDEX(Equipamentos!$E$3:$E$52,MATCH($B103,Equipamentos!$A$3:$A$52,0)),""))</f>
        <v/>
      </c>
      <c r="G103" s="45" t="str">
        <f aca="false">IF($B103="","",COUNTIF('Itens Inspecionados'!$B$3:$B$402,$E103))</f>
        <v/>
      </c>
      <c r="H103" s="45" t="str">
        <f aca="false">IF($B103="","",COUNTIFS('Lançar Resultado'!$A$3:$A$2002,$B103,'Lançar Resultado'!$B$3:$B$2002,$A103))</f>
        <v/>
      </c>
      <c r="I103" s="48" t="str">
        <f aca="false">IF($B103="","",IF($H103=0,"Não lançada",IF($H103=$G103,"Completa",IF($H103&lt;$G103,CONCATENATE("Faltam ",TEXT($G103-$H103,"0")," item(ns)"),CONCATENATE("Sobram ",TEXT($H103-$G103,"0")," item(ns)")))))</f>
        <v/>
      </c>
    </row>
    <row r="104" customFormat="false" ht="18" hidden="false" customHeight="true" outlineLevel="0" collapsed="false">
      <c r="A104" s="41"/>
      <c r="B104" s="39"/>
      <c r="C104" s="40"/>
      <c r="D104" s="40"/>
      <c r="E104" s="47" t="str">
        <f aca="false">IF($B104="","",IFERROR(INDEX(Equipamentos!$C$3:$C$52,MATCH($B104,Equipamentos!$A$3:$A$52,0)),""))</f>
        <v/>
      </c>
      <c r="F104" s="47" t="str">
        <f aca="false">IF($B104="","",IFERROR(INDEX(Equipamentos!$E$3:$E$52,MATCH($B104,Equipamentos!$A$3:$A$52,0)),""))</f>
        <v/>
      </c>
      <c r="G104" s="45" t="str">
        <f aca="false">IF($B104="","",COUNTIF('Itens Inspecionados'!$B$3:$B$402,$E104))</f>
        <v/>
      </c>
      <c r="H104" s="45" t="str">
        <f aca="false">IF($B104="","",COUNTIFS('Lançar Resultado'!$A$3:$A$2002,$B104,'Lançar Resultado'!$B$3:$B$2002,$A104))</f>
        <v/>
      </c>
      <c r="I104" s="48" t="str">
        <f aca="false">IF($B104="","",IF($H104=0,"Não lançada",IF($H104=$G104,"Completa",IF($H104&lt;$G104,CONCATENATE("Faltam ",TEXT($G104-$H104,"0")," item(ns)"),CONCATENATE("Sobram ",TEXT($H104-$G104,"0")," item(ns)")))))</f>
        <v/>
      </c>
    </row>
    <row r="105" customFormat="false" ht="18" hidden="false" customHeight="true" outlineLevel="0" collapsed="false">
      <c r="A105" s="41"/>
      <c r="B105" s="39"/>
      <c r="C105" s="40"/>
      <c r="D105" s="40"/>
      <c r="E105" s="47" t="str">
        <f aca="false">IF($B105="","",IFERROR(INDEX(Equipamentos!$C$3:$C$52,MATCH($B105,Equipamentos!$A$3:$A$52,0)),""))</f>
        <v/>
      </c>
      <c r="F105" s="47" t="str">
        <f aca="false">IF($B105="","",IFERROR(INDEX(Equipamentos!$E$3:$E$52,MATCH($B105,Equipamentos!$A$3:$A$52,0)),""))</f>
        <v/>
      </c>
      <c r="G105" s="45" t="str">
        <f aca="false">IF($B105="","",COUNTIF('Itens Inspecionados'!$B$3:$B$402,$E105))</f>
        <v/>
      </c>
      <c r="H105" s="45" t="str">
        <f aca="false">IF($B105="","",COUNTIFS('Lançar Resultado'!$A$3:$A$2002,$B105,'Lançar Resultado'!$B$3:$B$2002,$A105))</f>
        <v/>
      </c>
      <c r="I105" s="48" t="str">
        <f aca="false">IF($B105="","",IF($H105=0,"Não lançada",IF($H105=$G105,"Completa",IF($H105&lt;$G105,CONCATENATE("Faltam ",TEXT($G105-$H105,"0")," item(ns)"),CONCATENATE("Sobram ",TEXT($H105-$G105,"0")," item(ns)")))))</f>
        <v/>
      </c>
    </row>
    <row r="106" customFormat="false" ht="18" hidden="false" customHeight="true" outlineLevel="0" collapsed="false">
      <c r="A106" s="41"/>
      <c r="B106" s="39"/>
      <c r="C106" s="40"/>
      <c r="D106" s="40"/>
      <c r="E106" s="47" t="str">
        <f aca="false">IF($B106="","",IFERROR(INDEX(Equipamentos!$C$3:$C$52,MATCH($B106,Equipamentos!$A$3:$A$52,0)),""))</f>
        <v/>
      </c>
      <c r="F106" s="47" t="str">
        <f aca="false">IF($B106="","",IFERROR(INDEX(Equipamentos!$E$3:$E$52,MATCH($B106,Equipamentos!$A$3:$A$52,0)),""))</f>
        <v/>
      </c>
      <c r="G106" s="45" t="str">
        <f aca="false">IF($B106="","",COUNTIF('Itens Inspecionados'!$B$3:$B$402,$E106))</f>
        <v/>
      </c>
      <c r="H106" s="45" t="str">
        <f aca="false">IF($B106="","",COUNTIFS('Lançar Resultado'!$A$3:$A$2002,$B106,'Lançar Resultado'!$B$3:$B$2002,$A106))</f>
        <v/>
      </c>
      <c r="I106" s="48" t="str">
        <f aca="false">IF($B106="","",IF($H106=0,"Não lançada",IF($H106=$G106,"Completa",IF($H106&lt;$G106,CONCATENATE("Faltam ",TEXT($G106-$H106,"0")," item(ns)"),CONCATENATE("Sobram ",TEXT($H106-$G106,"0")," item(ns)")))))</f>
        <v/>
      </c>
    </row>
    <row r="107" customFormat="false" ht="18" hidden="false" customHeight="true" outlineLevel="0" collapsed="false">
      <c r="A107" s="41"/>
      <c r="B107" s="39"/>
      <c r="C107" s="40"/>
      <c r="D107" s="40"/>
      <c r="E107" s="47" t="str">
        <f aca="false">IF($B107="","",IFERROR(INDEX(Equipamentos!$C$3:$C$52,MATCH($B107,Equipamentos!$A$3:$A$52,0)),""))</f>
        <v/>
      </c>
      <c r="F107" s="47" t="str">
        <f aca="false">IF($B107="","",IFERROR(INDEX(Equipamentos!$E$3:$E$52,MATCH($B107,Equipamentos!$A$3:$A$52,0)),""))</f>
        <v/>
      </c>
      <c r="G107" s="45" t="str">
        <f aca="false">IF($B107="","",COUNTIF('Itens Inspecionados'!$B$3:$B$402,$E107))</f>
        <v/>
      </c>
      <c r="H107" s="45" t="str">
        <f aca="false">IF($B107="","",COUNTIFS('Lançar Resultado'!$A$3:$A$2002,$B107,'Lançar Resultado'!$B$3:$B$2002,$A107))</f>
        <v/>
      </c>
      <c r="I107" s="48" t="str">
        <f aca="false">IF($B107="","",IF($H107=0,"Não lançada",IF($H107=$G107,"Completa",IF($H107&lt;$G107,CONCATENATE("Faltam ",TEXT($G107-$H107,"0")," item(ns)"),CONCATENATE("Sobram ",TEXT($H107-$G107,"0")," item(ns)")))))</f>
        <v/>
      </c>
    </row>
    <row r="108" customFormat="false" ht="18" hidden="false" customHeight="true" outlineLevel="0" collapsed="false">
      <c r="A108" s="41"/>
      <c r="B108" s="39"/>
      <c r="C108" s="40"/>
      <c r="D108" s="40"/>
      <c r="E108" s="47" t="str">
        <f aca="false">IF($B108="","",IFERROR(INDEX(Equipamentos!$C$3:$C$52,MATCH($B108,Equipamentos!$A$3:$A$52,0)),""))</f>
        <v/>
      </c>
      <c r="F108" s="47" t="str">
        <f aca="false">IF($B108="","",IFERROR(INDEX(Equipamentos!$E$3:$E$52,MATCH($B108,Equipamentos!$A$3:$A$52,0)),""))</f>
        <v/>
      </c>
      <c r="G108" s="45" t="str">
        <f aca="false">IF($B108="","",COUNTIF('Itens Inspecionados'!$B$3:$B$402,$E108))</f>
        <v/>
      </c>
      <c r="H108" s="45" t="str">
        <f aca="false">IF($B108="","",COUNTIFS('Lançar Resultado'!$A$3:$A$2002,$B108,'Lançar Resultado'!$B$3:$B$2002,$A108))</f>
        <v/>
      </c>
      <c r="I108" s="48" t="str">
        <f aca="false">IF($B108="","",IF($H108=0,"Não lançada",IF($H108=$G108,"Completa",IF($H108&lt;$G108,CONCATENATE("Faltam ",TEXT($G108-$H108,"0")," item(ns)"),CONCATENATE("Sobram ",TEXT($H108-$G108,"0")," item(ns)")))))</f>
        <v/>
      </c>
    </row>
    <row r="109" customFormat="false" ht="18" hidden="false" customHeight="true" outlineLevel="0" collapsed="false">
      <c r="A109" s="41"/>
      <c r="B109" s="39"/>
      <c r="C109" s="40"/>
      <c r="D109" s="40"/>
      <c r="E109" s="47" t="str">
        <f aca="false">IF($B109="","",IFERROR(INDEX(Equipamentos!$C$3:$C$52,MATCH($B109,Equipamentos!$A$3:$A$52,0)),""))</f>
        <v/>
      </c>
      <c r="F109" s="47" t="str">
        <f aca="false">IF($B109="","",IFERROR(INDEX(Equipamentos!$E$3:$E$52,MATCH($B109,Equipamentos!$A$3:$A$52,0)),""))</f>
        <v/>
      </c>
      <c r="G109" s="45" t="str">
        <f aca="false">IF($B109="","",COUNTIF('Itens Inspecionados'!$B$3:$B$402,$E109))</f>
        <v/>
      </c>
      <c r="H109" s="45" t="str">
        <f aca="false">IF($B109="","",COUNTIFS('Lançar Resultado'!$A$3:$A$2002,$B109,'Lançar Resultado'!$B$3:$B$2002,$A109))</f>
        <v/>
      </c>
      <c r="I109" s="48" t="str">
        <f aca="false">IF($B109="","",IF($H109=0,"Não lançada",IF($H109=$G109,"Completa",IF($H109&lt;$G109,CONCATENATE("Faltam ",TEXT($G109-$H109,"0")," item(ns)"),CONCATENATE("Sobram ",TEXT($H109-$G109,"0")," item(ns)")))))</f>
        <v/>
      </c>
    </row>
    <row r="110" customFormat="false" ht="18" hidden="false" customHeight="true" outlineLevel="0" collapsed="false">
      <c r="A110" s="41"/>
      <c r="B110" s="39"/>
      <c r="C110" s="40"/>
      <c r="D110" s="40"/>
      <c r="E110" s="47" t="str">
        <f aca="false">IF($B110="","",IFERROR(INDEX(Equipamentos!$C$3:$C$52,MATCH($B110,Equipamentos!$A$3:$A$52,0)),""))</f>
        <v/>
      </c>
      <c r="F110" s="47" t="str">
        <f aca="false">IF($B110="","",IFERROR(INDEX(Equipamentos!$E$3:$E$52,MATCH($B110,Equipamentos!$A$3:$A$52,0)),""))</f>
        <v/>
      </c>
      <c r="G110" s="45" t="str">
        <f aca="false">IF($B110="","",COUNTIF('Itens Inspecionados'!$B$3:$B$402,$E110))</f>
        <v/>
      </c>
      <c r="H110" s="45" t="str">
        <f aca="false">IF($B110="","",COUNTIFS('Lançar Resultado'!$A$3:$A$2002,$B110,'Lançar Resultado'!$B$3:$B$2002,$A110))</f>
        <v/>
      </c>
      <c r="I110" s="48" t="str">
        <f aca="false">IF($B110="","",IF($H110=0,"Não lançada",IF($H110=$G110,"Completa",IF($H110&lt;$G110,CONCATENATE("Faltam ",TEXT($G110-$H110,"0")," item(ns)"),CONCATENATE("Sobram ",TEXT($H110-$G110,"0")," item(ns)")))))</f>
        <v/>
      </c>
    </row>
    <row r="111" customFormat="false" ht="18" hidden="false" customHeight="true" outlineLevel="0" collapsed="false">
      <c r="A111" s="41"/>
      <c r="B111" s="39"/>
      <c r="C111" s="40"/>
      <c r="D111" s="40"/>
      <c r="E111" s="47" t="str">
        <f aca="false">IF($B111="","",IFERROR(INDEX(Equipamentos!$C$3:$C$52,MATCH($B111,Equipamentos!$A$3:$A$52,0)),""))</f>
        <v/>
      </c>
      <c r="F111" s="47" t="str">
        <f aca="false">IF($B111="","",IFERROR(INDEX(Equipamentos!$E$3:$E$52,MATCH($B111,Equipamentos!$A$3:$A$52,0)),""))</f>
        <v/>
      </c>
      <c r="G111" s="45" t="str">
        <f aca="false">IF($B111="","",COUNTIF('Itens Inspecionados'!$B$3:$B$402,$E111))</f>
        <v/>
      </c>
      <c r="H111" s="45" t="str">
        <f aca="false">IF($B111="","",COUNTIFS('Lançar Resultado'!$A$3:$A$2002,$B111,'Lançar Resultado'!$B$3:$B$2002,$A111))</f>
        <v/>
      </c>
      <c r="I111" s="48" t="str">
        <f aca="false">IF($B111="","",IF($H111=0,"Não lançada",IF($H111=$G111,"Completa",IF($H111&lt;$G111,CONCATENATE("Faltam ",TEXT($G111-$H111,"0")," item(ns)"),CONCATENATE("Sobram ",TEXT($H111-$G111,"0")," item(ns)")))))</f>
        <v/>
      </c>
    </row>
    <row r="112" customFormat="false" ht="18" hidden="false" customHeight="true" outlineLevel="0" collapsed="false">
      <c r="A112" s="41"/>
      <c r="B112" s="39"/>
      <c r="C112" s="40"/>
      <c r="D112" s="40"/>
      <c r="E112" s="47" t="str">
        <f aca="false">IF($B112="","",IFERROR(INDEX(Equipamentos!$C$3:$C$52,MATCH($B112,Equipamentos!$A$3:$A$52,0)),""))</f>
        <v/>
      </c>
      <c r="F112" s="47" t="str">
        <f aca="false">IF($B112="","",IFERROR(INDEX(Equipamentos!$E$3:$E$52,MATCH($B112,Equipamentos!$A$3:$A$52,0)),""))</f>
        <v/>
      </c>
      <c r="G112" s="45" t="str">
        <f aca="false">IF($B112="","",COUNTIF('Itens Inspecionados'!$B$3:$B$402,$E112))</f>
        <v/>
      </c>
      <c r="H112" s="45" t="str">
        <f aca="false">IF($B112="","",COUNTIFS('Lançar Resultado'!$A$3:$A$2002,$B112,'Lançar Resultado'!$B$3:$B$2002,$A112))</f>
        <v/>
      </c>
      <c r="I112" s="48" t="str">
        <f aca="false">IF($B112="","",IF($H112=0,"Não lançada",IF($H112=$G112,"Completa",IF($H112&lt;$G112,CONCATENATE("Faltam ",TEXT($G112-$H112,"0")," item(ns)"),CONCATENATE("Sobram ",TEXT($H112-$G112,"0")," item(ns)")))))</f>
        <v/>
      </c>
    </row>
    <row r="113" customFormat="false" ht="18" hidden="false" customHeight="true" outlineLevel="0" collapsed="false">
      <c r="A113" s="41"/>
      <c r="B113" s="39"/>
      <c r="C113" s="40"/>
      <c r="D113" s="40"/>
      <c r="E113" s="47" t="str">
        <f aca="false">IF($B113="","",IFERROR(INDEX(Equipamentos!$C$3:$C$52,MATCH($B113,Equipamentos!$A$3:$A$52,0)),""))</f>
        <v/>
      </c>
      <c r="F113" s="47" t="str">
        <f aca="false">IF($B113="","",IFERROR(INDEX(Equipamentos!$E$3:$E$52,MATCH($B113,Equipamentos!$A$3:$A$52,0)),""))</f>
        <v/>
      </c>
      <c r="G113" s="45" t="str">
        <f aca="false">IF($B113="","",COUNTIF('Itens Inspecionados'!$B$3:$B$402,$E113))</f>
        <v/>
      </c>
      <c r="H113" s="45" t="str">
        <f aca="false">IF($B113="","",COUNTIFS('Lançar Resultado'!$A$3:$A$2002,$B113,'Lançar Resultado'!$B$3:$B$2002,$A113))</f>
        <v/>
      </c>
      <c r="I113" s="48" t="str">
        <f aca="false">IF($B113="","",IF($H113=0,"Não lançada",IF($H113=$G113,"Completa",IF($H113&lt;$G113,CONCATENATE("Faltam ",TEXT($G113-$H113,"0")," item(ns)"),CONCATENATE("Sobram ",TEXT($H113-$G113,"0")," item(ns)")))))</f>
        <v/>
      </c>
    </row>
    <row r="114" customFormat="false" ht="18" hidden="false" customHeight="true" outlineLevel="0" collapsed="false">
      <c r="A114" s="41"/>
      <c r="B114" s="39"/>
      <c r="C114" s="40"/>
      <c r="D114" s="40"/>
      <c r="E114" s="47" t="str">
        <f aca="false">IF($B114="","",IFERROR(INDEX(Equipamentos!$C$3:$C$52,MATCH($B114,Equipamentos!$A$3:$A$52,0)),""))</f>
        <v/>
      </c>
      <c r="F114" s="47" t="str">
        <f aca="false">IF($B114="","",IFERROR(INDEX(Equipamentos!$E$3:$E$52,MATCH($B114,Equipamentos!$A$3:$A$52,0)),""))</f>
        <v/>
      </c>
      <c r="G114" s="45" t="str">
        <f aca="false">IF($B114="","",COUNTIF('Itens Inspecionados'!$B$3:$B$402,$E114))</f>
        <v/>
      </c>
      <c r="H114" s="45" t="str">
        <f aca="false">IF($B114="","",COUNTIFS('Lançar Resultado'!$A$3:$A$2002,$B114,'Lançar Resultado'!$B$3:$B$2002,$A114))</f>
        <v/>
      </c>
      <c r="I114" s="48" t="str">
        <f aca="false">IF($B114="","",IF($H114=0,"Não lançada",IF($H114=$G114,"Completa",IF($H114&lt;$G114,CONCATENATE("Faltam ",TEXT($G114-$H114,"0")," item(ns)"),CONCATENATE("Sobram ",TEXT($H114-$G114,"0")," item(ns)")))))</f>
        <v/>
      </c>
    </row>
    <row r="115" customFormat="false" ht="18" hidden="false" customHeight="true" outlineLevel="0" collapsed="false">
      <c r="A115" s="41"/>
      <c r="B115" s="39"/>
      <c r="C115" s="40"/>
      <c r="D115" s="40"/>
      <c r="E115" s="47" t="str">
        <f aca="false">IF($B115="","",IFERROR(INDEX(Equipamentos!$C$3:$C$52,MATCH($B115,Equipamentos!$A$3:$A$52,0)),""))</f>
        <v/>
      </c>
      <c r="F115" s="47" t="str">
        <f aca="false">IF($B115="","",IFERROR(INDEX(Equipamentos!$E$3:$E$52,MATCH($B115,Equipamentos!$A$3:$A$52,0)),""))</f>
        <v/>
      </c>
      <c r="G115" s="45" t="str">
        <f aca="false">IF($B115="","",COUNTIF('Itens Inspecionados'!$B$3:$B$402,$E115))</f>
        <v/>
      </c>
      <c r="H115" s="45" t="str">
        <f aca="false">IF($B115="","",COUNTIFS('Lançar Resultado'!$A$3:$A$2002,$B115,'Lançar Resultado'!$B$3:$B$2002,$A115))</f>
        <v/>
      </c>
      <c r="I115" s="48" t="str">
        <f aca="false">IF($B115="","",IF($H115=0,"Não lançada",IF($H115=$G115,"Completa",IF($H115&lt;$G115,CONCATENATE("Faltam ",TEXT($G115-$H115,"0")," item(ns)"),CONCATENATE("Sobram ",TEXT($H115-$G115,"0")," item(ns)")))))</f>
        <v/>
      </c>
    </row>
    <row r="116" customFormat="false" ht="18" hidden="false" customHeight="true" outlineLevel="0" collapsed="false">
      <c r="A116" s="41"/>
      <c r="B116" s="39"/>
      <c r="C116" s="40"/>
      <c r="D116" s="40"/>
      <c r="E116" s="47" t="str">
        <f aca="false">IF($B116="","",IFERROR(INDEX(Equipamentos!$C$3:$C$52,MATCH($B116,Equipamentos!$A$3:$A$52,0)),""))</f>
        <v/>
      </c>
      <c r="F116" s="47" t="str">
        <f aca="false">IF($B116="","",IFERROR(INDEX(Equipamentos!$E$3:$E$52,MATCH($B116,Equipamentos!$A$3:$A$52,0)),""))</f>
        <v/>
      </c>
      <c r="G116" s="45" t="str">
        <f aca="false">IF($B116="","",COUNTIF('Itens Inspecionados'!$B$3:$B$402,$E116))</f>
        <v/>
      </c>
      <c r="H116" s="45" t="str">
        <f aca="false">IF($B116="","",COUNTIFS('Lançar Resultado'!$A$3:$A$2002,$B116,'Lançar Resultado'!$B$3:$B$2002,$A116))</f>
        <v/>
      </c>
      <c r="I116" s="48" t="str">
        <f aca="false">IF($B116="","",IF($H116=0,"Não lançada",IF($H116=$G116,"Completa",IF($H116&lt;$G116,CONCATENATE("Faltam ",TEXT($G116-$H116,"0")," item(ns)"),CONCATENATE("Sobram ",TEXT($H116-$G116,"0")," item(ns)")))))</f>
        <v/>
      </c>
    </row>
    <row r="117" customFormat="false" ht="18" hidden="false" customHeight="true" outlineLevel="0" collapsed="false">
      <c r="A117" s="41"/>
      <c r="B117" s="39"/>
      <c r="C117" s="40"/>
      <c r="D117" s="40"/>
      <c r="E117" s="47" t="str">
        <f aca="false">IF($B117="","",IFERROR(INDEX(Equipamentos!$C$3:$C$52,MATCH($B117,Equipamentos!$A$3:$A$52,0)),""))</f>
        <v/>
      </c>
      <c r="F117" s="47" t="str">
        <f aca="false">IF($B117="","",IFERROR(INDEX(Equipamentos!$E$3:$E$52,MATCH($B117,Equipamentos!$A$3:$A$52,0)),""))</f>
        <v/>
      </c>
      <c r="G117" s="45" t="str">
        <f aca="false">IF($B117="","",COUNTIF('Itens Inspecionados'!$B$3:$B$402,$E117))</f>
        <v/>
      </c>
      <c r="H117" s="45" t="str">
        <f aca="false">IF($B117="","",COUNTIFS('Lançar Resultado'!$A$3:$A$2002,$B117,'Lançar Resultado'!$B$3:$B$2002,$A117))</f>
        <v/>
      </c>
      <c r="I117" s="48" t="str">
        <f aca="false">IF($B117="","",IF($H117=0,"Não lançada",IF($H117=$G117,"Completa",IF($H117&lt;$G117,CONCATENATE("Faltam ",TEXT($G117-$H117,"0")," item(ns)"),CONCATENATE("Sobram ",TEXT($H117-$G117,"0")," item(ns)")))))</f>
        <v/>
      </c>
    </row>
    <row r="118" customFormat="false" ht="18" hidden="false" customHeight="true" outlineLevel="0" collapsed="false">
      <c r="A118" s="41"/>
      <c r="B118" s="39"/>
      <c r="C118" s="40"/>
      <c r="D118" s="40"/>
      <c r="E118" s="47" t="str">
        <f aca="false">IF($B118="","",IFERROR(INDEX(Equipamentos!$C$3:$C$52,MATCH($B118,Equipamentos!$A$3:$A$52,0)),""))</f>
        <v/>
      </c>
      <c r="F118" s="47" t="str">
        <f aca="false">IF($B118="","",IFERROR(INDEX(Equipamentos!$E$3:$E$52,MATCH($B118,Equipamentos!$A$3:$A$52,0)),""))</f>
        <v/>
      </c>
      <c r="G118" s="45" t="str">
        <f aca="false">IF($B118="","",COUNTIF('Itens Inspecionados'!$B$3:$B$402,$E118))</f>
        <v/>
      </c>
      <c r="H118" s="45" t="str">
        <f aca="false">IF($B118="","",COUNTIFS('Lançar Resultado'!$A$3:$A$2002,$B118,'Lançar Resultado'!$B$3:$B$2002,$A118))</f>
        <v/>
      </c>
      <c r="I118" s="48" t="str">
        <f aca="false">IF($B118="","",IF($H118=0,"Não lançada",IF($H118=$G118,"Completa",IF($H118&lt;$G118,CONCATENATE("Faltam ",TEXT($G118-$H118,"0")," item(ns)"),CONCATENATE("Sobram ",TEXT($H118-$G118,"0")," item(ns)")))))</f>
        <v/>
      </c>
    </row>
    <row r="119" customFormat="false" ht="18" hidden="false" customHeight="true" outlineLevel="0" collapsed="false">
      <c r="A119" s="41"/>
      <c r="B119" s="39"/>
      <c r="C119" s="40"/>
      <c r="D119" s="40"/>
      <c r="E119" s="47" t="str">
        <f aca="false">IF($B119="","",IFERROR(INDEX(Equipamentos!$C$3:$C$52,MATCH($B119,Equipamentos!$A$3:$A$52,0)),""))</f>
        <v/>
      </c>
      <c r="F119" s="47" t="str">
        <f aca="false">IF($B119="","",IFERROR(INDEX(Equipamentos!$E$3:$E$52,MATCH($B119,Equipamentos!$A$3:$A$52,0)),""))</f>
        <v/>
      </c>
      <c r="G119" s="45" t="str">
        <f aca="false">IF($B119="","",COUNTIF('Itens Inspecionados'!$B$3:$B$402,$E119))</f>
        <v/>
      </c>
      <c r="H119" s="45" t="str">
        <f aca="false">IF($B119="","",COUNTIFS('Lançar Resultado'!$A$3:$A$2002,$B119,'Lançar Resultado'!$B$3:$B$2002,$A119))</f>
        <v/>
      </c>
      <c r="I119" s="48" t="str">
        <f aca="false">IF($B119="","",IF($H119=0,"Não lançada",IF($H119=$G119,"Completa",IF($H119&lt;$G119,CONCATENATE("Faltam ",TEXT($G119-$H119,"0")," item(ns)"),CONCATENATE("Sobram ",TEXT($H119-$G119,"0")," item(ns)")))))</f>
        <v/>
      </c>
    </row>
    <row r="120" customFormat="false" ht="18" hidden="false" customHeight="true" outlineLevel="0" collapsed="false">
      <c r="A120" s="41"/>
      <c r="B120" s="39"/>
      <c r="C120" s="40"/>
      <c r="D120" s="40"/>
      <c r="E120" s="47" t="str">
        <f aca="false">IF($B120="","",IFERROR(INDEX(Equipamentos!$C$3:$C$52,MATCH($B120,Equipamentos!$A$3:$A$52,0)),""))</f>
        <v/>
      </c>
      <c r="F120" s="47" t="str">
        <f aca="false">IF($B120="","",IFERROR(INDEX(Equipamentos!$E$3:$E$52,MATCH($B120,Equipamentos!$A$3:$A$52,0)),""))</f>
        <v/>
      </c>
      <c r="G120" s="45" t="str">
        <f aca="false">IF($B120="","",COUNTIF('Itens Inspecionados'!$B$3:$B$402,$E120))</f>
        <v/>
      </c>
      <c r="H120" s="45" t="str">
        <f aca="false">IF($B120="","",COUNTIFS('Lançar Resultado'!$A$3:$A$2002,$B120,'Lançar Resultado'!$B$3:$B$2002,$A120))</f>
        <v/>
      </c>
      <c r="I120" s="48" t="str">
        <f aca="false">IF($B120="","",IF($H120=0,"Não lançada",IF($H120=$G120,"Completa",IF($H120&lt;$G120,CONCATENATE("Faltam ",TEXT($G120-$H120,"0")," item(ns)"),CONCATENATE("Sobram ",TEXT($H120-$G120,"0")," item(ns)")))))</f>
        <v/>
      </c>
    </row>
    <row r="121" customFormat="false" ht="18" hidden="false" customHeight="true" outlineLevel="0" collapsed="false">
      <c r="A121" s="41"/>
      <c r="B121" s="39"/>
      <c r="C121" s="40"/>
      <c r="D121" s="40"/>
      <c r="E121" s="47" t="str">
        <f aca="false">IF($B121="","",IFERROR(INDEX(Equipamentos!$C$3:$C$52,MATCH($B121,Equipamentos!$A$3:$A$52,0)),""))</f>
        <v/>
      </c>
      <c r="F121" s="47" t="str">
        <f aca="false">IF($B121="","",IFERROR(INDEX(Equipamentos!$E$3:$E$52,MATCH($B121,Equipamentos!$A$3:$A$52,0)),""))</f>
        <v/>
      </c>
      <c r="G121" s="45" t="str">
        <f aca="false">IF($B121="","",COUNTIF('Itens Inspecionados'!$B$3:$B$402,$E121))</f>
        <v/>
      </c>
      <c r="H121" s="45" t="str">
        <f aca="false">IF($B121="","",COUNTIFS('Lançar Resultado'!$A$3:$A$2002,$B121,'Lançar Resultado'!$B$3:$B$2002,$A121))</f>
        <v/>
      </c>
      <c r="I121" s="48" t="str">
        <f aca="false">IF($B121="","",IF($H121=0,"Não lançada",IF($H121=$G121,"Completa",IF($H121&lt;$G121,CONCATENATE("Faltam ",TEXT($G121-$H121,"0")," item(ns)"),CONCATENATE("Sobram ",TEXT($H121-$G121,"0")," item(ns)")))))</f>
        <v/>
      </c>
    </row>
    <row r="122" customFormat="false" ht="18" hidden="false" customHeight="true" outlineLevel="0" collapsed="false">
      <c r="A122" s="41"/>
      <c r="B122" s="39"/>
      <c r="C122" s="40"/>
      <c r="D122" s="40"/>
      <c r="E122" s="47" t="str">
        <f aca="false">IF($B122="","",IFERROR(INDEX(Equipamentos!$C$3:$C$52,MATCH($B122,Equipamentos!$A$3:$A$52,0)),""))</f>
        <v/>
      </c>
      <c r="F122" s="47" t="str">
        <f aca="false">IF($B122="","",IFERROR(INDEX(Equipamentos!$E$3:$E$52,MATCH($B122,Equipamentos!$A$3:$A$52,0)),""))</f>
        <v/>
      </c>
      <c r="G122" s="45" t="str">
        <f aca="false">IF($B122="","",COUNTIF('Itens Inspecionados'!$B$3:$B$402,$E122))</f>
        <v/>
      </c>
      <c r="H122" s="45" t="str">
        <f aca="false">IF($B122="","",COUNTIFS('Lançar Resultado'!$A$3:$A$2002,$B122,'Lançar Resultado'!$B$3:$B$2002,$A122))</f>
        <v/>
      </c>
      <c r="I122" s="48" t="str">
        <f aca="false">IF($B122="","",IF($H122=0,"Não lançada",IF($H122=$G122,"Completa",IF($H122&lt;$G122,CONCATENATE("Faltam ",TEXT($G122-$H122,"0")," item(ns)"),CONCATENATE("Sobram ",TEXT($H122-$G122,"0")," item(ns)")))))</f>
        <v/>
      </c>
    </row>
  </sheetData>
  <conditionalFormatting sqref="I3:I122">
    <cfRule type="cellIs" priority="2" operator="equal" aboveAverage="0" equalAverage="0" bottom="0" percent="0" rank="0" text="" dxfId="2">
      <formula>"Completa"</formula>
    </cfRule>
    <cfRule type="cellIs" priority="3" operator="equal" aboveAverage="0" equalAverage="0" bottom="0" percent="0" rank="0" text="" dxfId="1">
      <formula>"Não lançada"</formula>
    </cfRule>
    <cfRule type="cellIs" priority="4" operator="notEqual" aboveAverage="0" equalAverage="0" bottom="0" percent="0" rank="0" text="" dxfId="0">
      <formula>"Completa"</formula>
    </cfRule>
  </conditionalFormatting>
  <dataValidations count="1">
    <dataValidation allowBlank="true" error="Cadastre a máquina na aba «Equipamentos» primeiro." errorStyle="stop" errorTitle="TAG" operator="between" showDropDown="false" showErrorMessage="false" showInputMessage="false" sqref="B3:B122" type="list">
      <formula1>Equipamentos!$A$3:$A$52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tabColor rgb="FF00875A"/>
    <pageSetUpPr fitToPage="true"/>
  </sheetPr>
  <dimension ref="B1:M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"/>
    <col collapsed="false" customWidth="true" hidden="false" outlineLevel="0" max="6" min="3" style="0" width="9"/>
    <col collapsed="false" customWidth="true" hidden="false" outlineLevel="0" max="7" min="7" style="0" width="8"/>
    <col collapsed="false" customWidth="true" hidden="false" outlineLevel="0" max="9" min="8" style="0" width="7"/>
    <col collapsed="false" customWidth="true" hidden="false" outlineLevel="0" max="10" min="10" style="0" width="6"/>
    <col collapsed="false" customWidth="true" hidden="false" outlineLevel="0" max="11" min="11" style="0" width="26"/>
    <col collapsed="false" customWidth="true" hidden="false" outlineLevel="0" max="12" min="12" style="0" width="2"/>
    <col collapsed="false" customWidth="true" hidden="true" outlineLevel="0" max="13" min="13" style="0" width="9"/>
  </cols>
  <sheetData>
    <row r="1" customFormat="false" ht="19.5" hidden="false" customHeight="true" outlineLevel="0" collapsed="false">
      <c r="B1" s="49" t="s">
        <v>264</v>
      </c>
      <c r="C1" s="49"/>
      <c r="D1" s="49"/>
      <c r="E1" s="50" t="s">
        <v>112</v>
      </c>
      <c r="F1" s="50"/>
      <c r="G1" s="51" t="s">
        <v>265</v>
      </c>
    </row>
    <row r="2" customFormat="false" ht="16.5" hidden="false" customHeight="true" outlineLevel="0" collapsed="false">
      <c r="B2" s="52" t="s">
        <v>266</v>
      </c>
      <c r="C2" s="52"/>
      <c r="D2" s="52"/>
      <c r="E2" s="53" t="str">
        <f aca="false">CONCATENATE("CHECKLIST DE INSPEÇÃO — ",UPPER(IFERROR(INDEX(Equipamentos!$C$3:$C$52,MATCH($E$1,Equipamentos!$A$3:$A$52,0)),"")))</f>
        <v>CHECKLIST DE INSPEÇÃO — COMPRESSOR DE AR</v>
      </c>
      <c r="F2" s="53"/>
      <c r="G2" s="53"/>
      <c r="H2" s="53"/>
      <c r="I2" s="53"/>
      <c r="J2" s="53"/>
      <c r="K2" s="53"/>
    </row>
    <row r="3" customFormat="false" ht="16.5" hidden="false" customHeight="true" outlineLevel="0" collapsed="false">
      <c r="B3" s="52"/>
      <c r="C3" s="52"/>
      <c r="D3" s="52"/>
      <c r="E3" s="53"/>
      <c r="F3" s="53"/>
      <c r="G3" s="53"/>
      <c r="H3" s="53"/>
      <c r="I3" s="53"/>
      <c r="J3" s="53"/>
      <c r="K3" s="53"/>
    </row>
    <row r="4" customFormat="false" ht="16.5" hidden="false" customHeight="true" outlineLevel="0" collapsed="false">
      <c r="B4" s="52"/>
      <c r="C4" s="52"/>
      <c r="D4" s="52"/>
      <c r="E4" s="53"/>
      <c r="F4" s="53"/>
      <c r="G4" s="53"/>
      <c r="H4" s="53"/>
      <c r="I4" s="53"/>
      <c r="J4" s="53"/>
      <c r="K4" s="53"/>
    </row>
    <row r="5" customFormat="false" ht="22.5" hidden="false" customHeight="true" outlineLevel="0" collapsed="false">
      <c r="B5" s="54" t="s">
        <v>267</v>
      </c>
      <c r="C5" s="54"/>
      <c r="D5" s="54"/>
      <c r="E5" s="55" t="str">
        <f aca="false">$E$1</f>
        <v>COMP-01</v>
      </c>
      <c r="F5" s="55"/>
      <c r="G5" s="55"/>
      <c r="H5" s="55"/>
      <c r="I5" s="54" t="s">
        <v>268</v>
      </c>
      <c r="J5" s="54"/>
      <c r="K5" s="56"/>
    </row>
    <row r="6" customFormat="false" ht="22.5" hidden="false" customHeight="true" outlineLevel="0" collapsed="false">
      <c r="B6" s="54" t="s">
        <v>269</v>
      </c>
      <c r="C6" s="54"/>
      <c r="D6" s="54"/>
      <c r="E6" s="55" t="str">
        <f aca="false">IFERROR(INDEX(Equipamentos!$C$3:$C$52,MATCH($E$1,Equipamentos!$A$3:$A$52,0)),"")</f>
        <v>Compressor de ar</v>
      </c>
      <c r="F6" s="55"/>
      <c r="G6" s="55"/>
      <c r="H6" s="55"/>
      <c r="I6" s="54" t="s">
        <v>270</v>
      </c>
      <c r="J6" s="54"/>
      <c r="K6" s="56"/>
    </row>
    <row r="7" customFormat="false" ht="22.5" hidden="false" customHeight="true" outlineLevel="0" collapsed="false">
      <c r="B7" s="54" t="s">
        <v>271</v>
      </c>
      <c r="C7" s="54"/>
      <c r="D7" s="54"/>
      <c r="E7" s="55" t="str">
        <f aca="false">IFERROR(INDEX(Equipamentos!$E$3:$E$52,MATCH($E$1,Equipamentos!$A$3:$A$52,0)),"")</f>
        <v>Casa de Máquinas</v>
      </c>
      <c r="F7" s="55"/>
      <c r="G7" s="55"/>
      <c r="H7" s="55"/>
      <c r="I7" s="54" t="s">
        <v>272</v>
      </c>
      <c r="J7" s="54"/>
      <c r="K7" s="56"/>
    </row>
    <row r="8" customFormat="false" ht="18" hidden="false" customHeight="true" outlineLevel="0" collapsed="false">
      <c r="B8" s="57" t="str">
        <f aca="false">IF(COUNTIF('Itens Inspecionados'!$B$3:$B$402,$E$6)&gt;45,CONCATENATE("ATENÇÃO: este tipo tem ",TEXT(COUNTIF('Itens Inspecionados'!$B$3:$B$402,$E$6),"0")," itens no catálogo e a folha imprime 45. Imprima o restante numa segunda folha."),IF(SUBTOTAL(102,$B$10:$B$54)&lt;COUNTIF('Itens Inspecionados'!$B$3:$B$402,$E$6),CONCATENATE("ATENÇÃO: o filtro está desatualizado — ",TEXT(COUNTIF('Itens Inspecionados'!$B$3:$B$402,$E$6),"0")," itens no catálogo e apenas ",TEXT(SUBTOTAL(102,$B$10:$B$54),"0"), " visíveis. Refaça o filtro antes de imprimir."),""))</f>
        <v/>
      </c>
      <c r="C8" s="57"/>
      <c r="D8" s="57"/>
      <c r="E8" s="57"/>
      <c r="F8" s="57"/>
      <c r="G8" s="57"/>
      <c r="H8" s="57"/>
      <c r="I8" s="57"/>
      <c r="J8" s="57"/>
      <c r="K8" s="57"/>
    </row>
    <row r="9" customFormat="false" ht="27.75" hidden="false" customHeight="true" outlineLevel="0" collapsed="false">
      <c r="B9" s="58" t="s">
        <v>273</v>
      </c>
      <c r="C9" s="58" t="s">
        <v>154</v>
      </c>
      <c r="D9" s="58"/>
      <c r="E9" s="58" t="s">
        <v>274</v>
      </c>
      <c r="F9" s="58"/>
      <c r="G9" s="58"/>
      <c r="H9" s="58" t="s">
        <v>62</v>
      </c>
      <c r="I9" s="58" t="s">
        <v>67</v>
      </c>
      <c r="J9" s="58" t="s">
        <v>72</v>
      </c>
      <c r="K9" s="58" t="s">
        <v>106</v>
      </c>
    </row>
    <row r="10" customFormat="false" ht="21.75" hidden="false" customHeight="true" outlineLevel="0" collapsed="false">
      <c r="B10" s="59" t="n">
        <f aca="false">IF($M10="","",1)</f>
        <v>1</v>
      </c>
      <c r="C10" s="60" t="str">
        <f aca="false">IF($M10="","",INDEX('Itens Inspecionados'!$C$3:$C$402,$M10))</f>
        <v>Lubrificação</v>
      </c>
      <c r="D10" s="60"/>
      <c r="E10" s="61" t="str">
        <f aca="false">IF($M10="","",INDEX('Itens Inspecionados'!$D$3:$D$402,$M10))</f>
        <v>Nível de óleo</v>
      </c>
      <c r="F10" s="61"/>
      <c r="G10" s="61"/>
      <c r="H10" s="62"/>
      <c r="I10" s="62"/>
      <c r="J10" s="62"/>
      <c r="K10" s="63"/>
      <c r="M10" s="64" t="n">
        <f aca="false">IFERROR(MATCH(CONCATENATE($E$6,"|",1),'Itens Inspecionados'!$G$3:$G$402,0),"")</f>
        <v>1</v>
      </c>
    </row>
    <row r="11" customFormat="false" ht="21.75" hidden="false" customHeight="true" outlineLevel="0" collapsed="false">
      <c r="B11" s="59" t="n">
        <f aca="false">IF($M11="","",2)</f>
        <v>2</v>
      </c>
      <c r="C11" s="60" t="str">
        <f aca="false">IF($M11="","",INDEX('Itens Inspecionados'!$C$3:$C$402,$M11))</f>
        <v>Ar comprimido</v>
      </c>
      <c r="D11" s="60"/>
      <c r="E11" s="61" t="str">
        <f aca="false">IF($M11="","",INDEX('Itens Inspecionados'!$D$3:$D$402,$M11))</f>
        <v>Vazamentos de ar</v>
      </c>
      <c r="F11" s="61"/>
      <c r="G11" s="61"/>
      <c r="H11" s="62"/>
      <c r="I11" s="62"/>
      <c r="J11" s="62"/>
      <c r="K11" s="63"/>
      <c r="M11" s="64" t="n">
        <f aca="false">IFERROR(MATCH(CONCATENATE($E$6,"|",2),'Itens Inspecionados'!$G$3:$G$402,0),"")</f>
        <v>2</v>
      </c>
    </row>
    <row r="12" customFormat="false" ht="21.75" hidden="false" customHeight="true" outlineLevel="0" collapsed="false">
      <c r="B12" s="59" t="n">
        <f aca="false">IF($M12="","",3)</f>
        <v>3</v>
      </c>
      <c r="C12" s="60" t="str">
        <f aca="false">IF($M12="","",INDEX('Itens Inspecionados'!$C$3:$C$402,$M12))</f>
        <v>Ar comprimido</v>
      </c>
      <c r="D12" s="60"/>
      <c r="E12" s="61" t="str">
        <f aca="false">IF($M12="","",INDEX('Itens Inspecionados'!$D$3:$D$402,$M12))</f>
        <v>Pressão de operação</v>
      </c>
      <c r="F12" s="61"/>
      <c r="G12" s="61"/>
      <c r="H12" s="62"/>
      <c r="I12" s="62"/>
      <c r="J12" s="62"/>
      <c r="K12" s="63"/>
      <c r="M12" s="64" t="n">
        <f aca="false">IFERROR(MATCH(CONCATENATE($E$6,"|",3),'Itens Inspecionados'!$G$3:$G$402,0),"")</f>
        <v>3</v>
      </c>
    </row>
    <row r="13" customFormat="false" ht="21.75" hidden="false" customHeight="true" outlineLevel="0" collapsed="false">
      <c r="B13" s="59" t="n">
        <f aca="false">IF($M13="","",4)</f>
        <v>4</v>
      </c>
      <c r="C13" s="60" t="str">
        <f aca="false">IF($M13="","",INDEX('Itens Inspecionados'!$C$3:$C$402,$M13))</f>
        <v>Mecânica</v>
      </c>
      <c r="D13" s="60"/>
      <c r="E13" s="61" t="str">
        <f aca="false">IF($M13="","",INDEX('Itens Inspecionados'!$D$3:$D$402,$M13))</f>
        <v>Ruído e vibração</v>
      </c>
      <c r="F13" s="61"/>
      <c r="G13" s="61"/>
      <c r="H13" s="62"/>
      <c r="I13" s="62"/>
      <c r="J13" s="62"/>
      <c r="K13" s="63"/>
      <c r="M13" s="64" t="n">
        <f aca="false">IFERROR(MATCH(CONCATENATE($E$6,"|",4),'Itens Inspecionados'!$G$3:$G$402,0),"")</f>
        <v>4</v>
      </c>
    </row>
    <row r="14" customFormat="false" ht="21.75" hidden="false" customHeight="true" outlineLevel="0" collapsed="false">
      <c r="B14" s="59" t="n">
        <f aca="false">IF($M14="","",5)</f>
        <v>5</v>
      </c>
      <c r="C14" s="60" t="str">
        <f aca="false">IF($M14="","",INDEX('Itens Inspecionados'!$C$3:$C$402,$M14))</f>
        <v>Mecânica</v>
      </c>
      <c r="D14" s="60"/>
      <c r="E14" s="61" t="str">
        <f aca="false">IF($M14="","",INDEX('Itens Inspecionados'!$D$3:$D$402,$M14))</f>
        <v>Temperatura de operação</v>
      </c>
      <c r="F14" s="61"/>
      <c r="G14" s="61"/>
      <c r="H14" s="62"/>
      <c r="I14" s="62"/>
      <c r="J14" s="62"/>
      <c r="K14" s="63"/>
      <c r="M14" s="64" t="n">
        <f aca="false">IFERROR(MATCH(CONCATENATE($E$6,"|",5),'Itens Inspecionados'!$G$3:$G$402,0),"")</f>
        <v>5</v>
      </c>
    </row>
    <row r="15" customFormat="false" ht="21.75" hidden="false" customHeight="true" outlineLevel="0" collapsed="false">
      <c r="B15" s="59" t="n">
        <f aca="false">IF($M15="","",6)</f>
        <v>6</v>
      </c>
      <c r="C15" s="60" t="str">
        <f aca="false">IF($M15="","",INDEX('Itens Inspecionados'!$C$3:$C$402,$M15))</f>
        <v>Transmissão</v>
      </c>
      <c r="D15" s="60"/>
      <c r="E15" s="61" t="str">
        <f aca="false">IF($M15="","",INDEX('Itens Inspecionados'!$D$3:$D$402,$M15))</f>
        <v>Correias</v>
      </c>
      <c r="F15" s="61"/>
      <c r="G15" s="61"/>
      <c r="H15" s="62"/>
      <c r="I15" s="62"/>
      <c r="J15" s="62"/>
      <c r="K15" s="63"/>
      <c r="M15" s="64" t="n">
        <f aca="false">IFERROR(MATCH(CONCATENATE($E$6,"|",6),'Itens Inspecionados'!$G$3:$G$402,0),"")</f>
        <v>6</v>
      </c>
    </row>
    <row r="16" customFormat="false" ht="21.75" hidden="false" customHeight="true" outlineLevel="0" collapsed="false">
      <c r="B16" s="59" t="n">
        <f aca="false">IF($M16="","",7)</f>
        <v>7</v>
      </c>
      <c r="C16" s="60" t="str">
        <f aca="false">IF($M16="","",INDEX('Itens Inspecionados'!$C$3:$C$402,$M16))</f>
        <v>Reservatório</v>
      </c>
      <c r="D16" s="60"/>
      <c r="E16" s="61" t="str">
        <f aca="false">IF($M16="","",INDEX('Itens Inspecionados'!$D$3:$D$402,$M16))</f>
        <v>Dreno do reservatório</v>
      </c>
      <c r="F16" s="61"/>
      <c r="G16" s="61"/>
      <c r="H16" s="62"/>
      <c r="I16" s="62"/>
      <c r="J16" s="62"/>
      <c r="K16" s="63"/>
      <c r="M16" s="64" t="n">
        <f aca="false">IFERROR(MATCH(CONCATENATE($E$6,"|",7),'Itens Inspecionados'!$G$3:$G$402,0),"")</f>
        <v>7</v>
      </c>
    </row>
    <row r="17" customFormat="false" ht="21.75" hidden="false" customHeight="true" outlineLevel="0" collapsed="false">
      <c r="B17" s="59" t="n">
        <f aca="false">IF($M17="","",8)</f>
        <v>8</v>
      </c>
      <c r="C17" s="60" t="str">
        <f aca="false">IF($M17="","",INDEX('Itens Inspecionados'!$C$3:$C$402,$M17))</f>
        <v>Conservação</v>
      </c>
      <c r="D17" s="60"/>
      <c r="E17" s="61" t="str">
        <f aca="false">IF($M17="","",INDEX('Itens Inspecionados'!$D$3:$D$402,$M17))</f>
        <v>Limpeza externa</v>
      </c>
      <c r="F17" s="61"/>
      <c r="G17" s="61"/>
      <c r="H17" s="62"/>
      <c r="I17" s="62"/>
      <c r="J17" s="62"/>
      <c r="K17" s="63"/>
      <c r="M17" s="64" t="n">
        <f aca="false">IFERROR(MATCH(CONCATENATE($E$6,"|",8),'Itens Inspecionados'!$G$3:$G$402,0),"")</f>
        <v>8</v>
      </c>
    </row>
    <row r="18" customFormat="false" ht="21.75" hidden="false" customHeight="true" outlineLevel="0" collapsed="false">
      <c r="B18" s="59" t="n">
        <f aca="false">IF($M18="","",9)</f>
        <v>9</v>
      </c>
      <c r="C18" s="60" t="str">
        <f aca="false">IF($M18="","",INDEX('Itens Inspecionados'!$C$3:$C$402,$M18))</f>
        <v>Elétrica</v>
      </c>
      <c r="D18" s="60"/>
      <c r="E18" s="61" t="str">
        <f aca="false">IF($M18="","",INDEX('Itens Inspecionados'!$D$3:$D$402,$M18))</f>
        <v>Proteções e conexões elétricas</v>
      </c>
      <c r="F18" s="61"/>
      <c r="G18" s="61"/>
      <c r="H18" s="62"/>
      <c r="I18" s="62"/>
      <c r="J18" s="62"/>
      <c r="K18" s="63"/>
      <c r="M18" s="64" t="n">
        <f aca="false">IFERROR(MATCH(CONCATENATE($E$6,"|",9),'Itens Inspecionados'!$G$3:$G$402,0),"")</f>
        <v>9</v>
      </c>
    </row>
    <row r="19" customFormat="false" ht="21.75" hidden="true" customHeight="true" outlineLevel="0" collapsed="false">
      <c r="B19" s="59" t="str">
        <f aca="false">IF($M19="","",10)</f>
        <v/>
      </c>
      <c r="C19" s="60" t="str">
        <f aca="false">IF($M19="","",INDEX('Itens Inspecionados'!$C$3:$C$402,$M19))</f>
        <v/>
      </c>
      <c r="D19" s="60"/>
      <c r="E19" s="61" t="str">
        <f aca="false">IF($M19="","",INDEX('Itens Inspecionados'!$D$3:$D$402,$M19))</f>
        <v/>
      </c>
      <c r="F19" s="61"/>
      <c r="G19" s="61"/>
      <c r="H19" s="62"/>
      <c r="I19" s="62"/>
      <c r="J19" s="62"/>
      <c r="K19" s="63"/>
      <c r="M19" s="0" t="str">
        <f aca="false">IFERROR(MATCH(CONCATENATE($E$6,"|",10),'Itens Inspecionados'!$G$3:$G$402,0),"")</f>
        <v/>
      </c>
    </row>
    <row r="20" customFormat="false" ht="21.75" hidden="true" customHeight="true" outlineLevel="0" collapsed="false">
      <c r="B20" s="59" t="str">
        <f aca="false">IF($M20="","",11)</f>
        <v/>
      </c>
      <c r="C20" s="60" t="str">
        <f aca="false">IF($M20="","",INDEX('Itens Inspecionados'!$C$3:$C$402,$M20))</f>
        <v/>
      </c>
      <c r="D20" s="60"/>
      <c r="E20" s="61" t="str">
        <f aca="false">IF($M20="","",INDEX('Itens Inspecionados'!$D$3:$D$402,$M20))</f>
        <v/>
      </c>
      <c r="F20" s="61"/>
      <c r="G20" s="61"/>
      <c r="H20" s="62"/>
      <c r="I20" s="62"/>
      <c r="J20" s="62"/>
      <c r="K20" s="63"/>
      <c r="M20" s="0" t="str">
        <f aca="false">IFERROR(MATCH(CONCATENATE($E$6,"|",11),'Itens Inspecionados'!$G$3:$G$402,0),"")</f>
        <v/>
      </c>
    </row>
    <row r="21" customFormat="false" ht="21.75" hidden="true" customHeight="true" outlineLevel="0" collapsed="false">
      <c r="B21" s="59" t="str">
        <f aca="false">IF($M21="","",12)</f>
        <v/>
      </c>
      <c r="C21" s="60" t="str">
        <f aca="false">IF($M21="","",INDEX('Itens Inspecionados'!$C$3:$C$402,$M21))</f>
        <v/>
      </c>
      <c r="D21" s="60"/>
      <c r="E21" s="61" t="str">
        <f aca="false">IF($M21="","",INDEX('Itens Inspecionados'!$D$3:$D$402,$M21))</f>
        <v/>
      </c>
      <c r="F21" s="61"/>
      <c r="G21" s="61"/>
      <c r="H21" s="62"/>
      <c r="I21" s="62"/>
      <c r="J21" s="62"/>
      <c r="K21" s="63"/>
      <c r="M21" s="0" t="str">
        <f aca="false">IFERROR(MATCH(CONCATENATE($E$6,"|",12),'Itens Inspecionados'!$G$3:$G$402,0),"")</f>
        <v/>
      </c>
    </row>
    <row r="22" customFormat="false" ht="21.75" hidden="true" customHeight="true" outlineLevel="0" collapsed="false">
      <c r="B22" s="59" t="str">
        <f aca="false">IF($M22="","",13)</f>
        <v/>
      </c>
      <c r="C22" s="60" t="str">
        <f aca="false">IF($M22="","",INDEX('Itens Inspecionados'!$C$3:$C$402,$M22))</f>
        <v/>
      </c>
      <c r="D22" s="60"/>
      <c r="E22" s="61" t="str">
        <f aca="false">IF($M22="","",INDEX('Itens Inspecionados'!$D$3:$D$402,$M22))</f>
        <v/>
      </c>
      <c r="F22" s="61"/>
      <c r="G22" s="61"/>
      <c r="H22" s="62"/>
      <c r="I22" s="62"/>
      <c r="J22" s="62"/>
      <c r="K22" s="63"/>
      <c r="M22" s="0" t="str">
        <f aca="false">IFERROR(MATCH(CONCATENATE($E$6,"|",13),'Itens Inspecionados'!$G$3:$G$402,0),"")</f>
        <v/>
      </c>
    </row>
    <row r="23" customFormat="false" ht="21.75" hidden="true" customHeight="true" outlineLevel="0" collapsed="false">
      <c r="B23" s="59" t="str">
        <f aca="false">IF($M23="","",14)</f>
        <v/>
      </c>
      <c r="C23" s="60" t="str">
        <f aca="false">IF($M23="","",INDEX('Itens Inspecionados'!$C$3:$C$402,$M23))</f>
        <v/>
      </c>
      <c r="D23" s="60"/>
      <c r="E23" s="61" t="str">
        <f aca="false">IF($M23="","",INDEX('Itens Inspecionados'!$D$3:$D$402,$M23))</f>
        <v/>
      </c>
      <c r="F23" s="61"/>
      <c r="G23" s="61"/>
      <c r="H23" s="62"/>
      <c r="I23" s="62"/>
      <c r="J23" s="62"/>
      <c r="K23" s="63"/>
      <c r="M23" s="0" t="str">
        <f aca="false">IFERROR(MATCH(CONCATENATE($E$6,"|",14),'Itens Inspecionados'!$G$3:$G$402,0),"")</f>
        <v/>
      </c>
    </row>
    <row r="24" customFormat="false" ht="21.75" hidden="true" customHeight="true" outlineLevel="0" collapsed="false">
      <c r="B24" s="59" t="str">
        <f aca="false">IF($M24="","",15)</f>
        <v/>
      </c>
      <c r="C24" s="60" t="str">
        <f aca="false">IF($M24="","",INDEX('Itens Inspecionados'!$C$3:$C$402,$M24))</f>
        <v/>
      </c>
      <c r="D24" s="60"/>
      <c r="E24" s="61" t="str">
        <f aca="false">IF($M24="","",INDEX('Itens Inspecionados'!$D$3:$D$402,$M24))</f>
        <v/>
      </c>
      <c r="F24" s="61"/>
      <c r="G24" s="61"/>
      <c r="H24" s="62"/>
      <c r="I24" s="62"/>
      <c r="J24" s="62"/>
      <c r="K24" s="63"/>
      <c r="M24" s="0" t="str">
        <f aca="false">IFERROR(MATCH(CONCATENATE($E$6,"|",15),'Itens Inspecionados'!$G$3:$G$402,0),"")</f>
        <v/>
      </c>
    </row>
    <row r="25" customFormat="false" ht="21.75" hidden="true" customHeight="true" outlineLevel="0" collapsed="false">
      <c r="B25" s="59" t="str">
        <f aca="false">IF($M25="","",16)</f>
        <v/>
      </c>
      <c r="C25" s="60" t="str">
        <f aca="false">IF($M25="","",INDEX('Itens Inspecionados'!$C$3:$C$402,$M25))</f>
        <v/>
      </c>
      <c r="D25" s="60"/>
      <c r="E25" s="61" t="str">
        <f aca="false">IF($M25="","",INDEX('Itens Inspecionados'!$D$3:$D$402,$M25))</f>
        <v/>
      </c>
      <c r="F25" s="61"/>
      <c r="G25" s="61"/>
      <c r="H25" s="62"/>
      <c r="I25" s="62"/>
      <c r="J25" s="62"/>
      <c r="K25" s="63"/>
      <c r="M25" s="0" t="str">
        <f aca="false">IFERROR(MATCH(CONCATENATE($E$6,"|",16),'Itens Inspecionados'!$G$3:$G$402,0),"")</f>
        <v/>
      </c>
    </row>
    <row r="26" customFormat="false" ht="21.75" hidden="true" customHeight="true" outlineLevel="0" collapsed="false">
      <c r="B26" s="59" t="str">
        <f aca="false">IF($M26="","",17)</f>
        <v/>
      </c>
      <c r="C26" s="60" t="str">
        <f aca="false">IF($M26="","",INDEX('Itens Inspecionados'!$C$3:$C$402,$M26))</f>
        <v/>
      </c>
      <c r="D26" s="60"/>
      <c r="E26" s="61" t="str">
        <f aca="false">IF($M26="","",INDEX('Itens Inspecionados'!$D$3:$D$402,$M26))</f>
        <v/>
      </c>
      <c r="F26" s="61"/>
      <c r="G26" s="61"/>
      <c r="H26" s="62"/>
      <c r="I26" s="62"/>
      <c r="J26" s="62"/>
      <c r="K26" s="63"/>
      <c r="M26" s="0" t="str">
        <f aca="false">IFERROR(MATCH(CONCATENATE($E$6,"|",17),'Itens Inspecionados'!$G$3:$G$402,0),"")</f>
        <v/>
      </c>
    </row>
    <row r="27" customFormat="false" ht="21.75" hidden="true" customHeight="true" outlineLevel="0" collapsed="false">
      <c r="B27" s="59" t="str">
        <f aca="false">IF($M27="","",18)</f>
        <v/>
      </c>
      <c r="C27" s="60" t="str">
        <f aca="false">IF($M27="","",INDEX('Itens Inspecionados'!$C$3:$C$402,$M27))</f>
        <v/>
      </c>
      <c r="D27" s="60"/>
      <c r="E27" s="61" t="str">
        <f aca="false">IF($M27="","",INDEX('Itens Inspecionados'!$D$3:$D$402,$M27))</f>
        <v/>
      </c>
      <c r="F27" s="61"/>
      <c r="G27" s="61"/>
      <c r="H27" s="62"/>
      <c r="I27" s="62"/>
      <c r="J27" s="62"/>
      <c r="K27" s="63"/>
      <c r="M27" s="0" t="str">
        <f aca="false">IFERROR(MATCH(CONCATENATE($E$6,"|",18),'Itens Inspecionados'!$G$3:$G$402,0),"")</f>
        <v/>
      </c>
    </row>
    <row r="28" customFormat="false" ht="21.75" hidden="true" customHeight="true" outlineLevel="0" collapsed="false">
      <c r="B28" s="59" t="str">
        <f aca="false">IF($M28="","",19)</f>
        <v/>
      </c>
      <c r="C28" s="60" t="str">
        <f aca="false">IF($M28="","",INDEX('Itens Inspecionados'!$C$3:$C$402,$M28))</f>
        <v/>
      </c>
      <c r="D28" s="60"/>
      <c r="E28" s="61" t="str">
        <f aca="false">IF($M28="","",INDEX('Itens Inspecionados'!$D$3:$D$402,$M28))</f>
        <v/>
      </c>
      <c r="F28" s="61"/>
      <c r="G28" s="61"/>
      <c r="H28" s="62"/>
      <c r="I28" s="62"/>
      <c r="J28" s="62"/>
      <c r="K28" s="63"/>
      <c r="M28" s="0" t="str">
        <f aca="false">IFERROR(MATCH(CONCATENATE($E$6,"|",19),'Itens Inspecionados'!$G$3:$G$402,0),"")</f>
        <v/>
      </c>
    </row>
    <row r="29" customFormat="false" ht="21.75" hidden="true" customHeight="true" outlineLevel="0" collapsed="false">
      <c r="B29" s="59" t="str">
        <f aca="false">IF($M29="","",20)</f>
        <v/>
      </c>
      <c r="C29" s="60" t="str">
        <f aca="false">IF($M29="","",INDEX('Itens Inspecionados'!$C$3:$C$402,$M29))</f>
        <v/>
      </c>
      <c r="D29" s="60"/>
      <c r="E29" s="61" t="str">
        <f aca="false">IF($M29="","",INDEX('Itens Inspecionados'!$D$3:$D$402,$M29))</f>
        <v/>
      </c>
      <c r="F29" s="61"/>
      <c r="G29" s="61"/>
      <c r="H29" s="62"/>
      <c r="I29" s="62"/>
      <c r="J29" s="62"/>
      <c r="K29" s="63"/>
      <c r="M29" s="0" t="str">
        <f aca="false">IFERROR(MATCH(CONCATENATE($E$6,"|",20),'Itens Inspecionados'!$G$3:$G$402,0),"")</f>
        <v/>
      </c>
    </row>
    <row r="30" customFormat="false" ht="21.75" hidden="true" customHeight="true" outlineLevel="0" collapsed="false">
      <c r="B30" s="59" t="str">
        <f aca="false">IF($M30="","",21)</f>
        <v/>
      </c>
      <c r="C30" s="60" t="str">
        <f aca="false">IF($M30="","",INDEX('Itens Inspecionados'!$C$3:$C$402,$M30))</f>
        <v/>
      </c>
      <c r="D30" s="60"/>
      <c r="E30" s="61" t="str">
        <f aca="false">IF($M30="","",INDEX('Itens Inspecionados'!$D$3:$D$402,$M30))</f>
        <v/>
      </c>
      <c r="F30" s="61"/>
      <c r="G30" s="61"/>
      <c r="H30" s="62"/>
      <c r="I30" s="62"/>
      <c r="J30" s="62"/>
      <c r="K30" s="63"/>
      <c r="M30" s="0" t="str">
        <f aca="false">IFERROR(MATCH(CONCATENATE($E$6,"|",21),'Itens Inspecionados'!$G$3:$G$402,0),"")</f>
        <v/>
      </c>
    </row>
    <row r="31" customFormat="false" ht="21.75" hidden="true" customHeight="true" outlineLevel="0" collapsed="false">
      <c r="B31" s="59" t="str">
        <f aca="false">IF($M31="","",22)</f>
        <v/>
      </c>
      <c r="C31" s="60" t="str">
        <f aca="false">IF($M31="","",INDEX('Itens Inspecionados'!$C$3:$C$402,$M31))</f>
        <v/>
      </c>
      <c r="D31" s="60"/>
      <c r="E31" s="61" t="str">
        <f aca="false">IF($M31="","",INDEX('Itens Inspecionados'!$D$3:$D$402,$M31))</f>
        <v/>
      </c>
      <c r="F31" s="61"/>
      <c r="G31" s="61"/>
      <c r="H31" s="62"/>
      <c r="I31" s="62"/>
      <c r="J31" s="62"/>
      <c r="K31" s="63"/>
      <c r="M31" s="0" t="str">
        <f aca="false">IFERROR(MATCH(CONCATENATE($E$6,"|",22),'Itens Inspecionados'!$G$3:$G$402,0),"")</f>
        <v/>
      </c>
    </row>
    <row r="32" customFormat="false" ht="21.75" hidden="true" customHeight="true" outlineLevel="0" collapsed="false">
      <c r="B32" s="59" t="str">
        <f aca="false">IF($M32="","",23)</f>
        <v/>
      </c>
      <c r="C32" s="60" t="str">
        <f aca="false">IF($M32="","",INDEX('Itens Inspecionados'!$C$3:$C$402,$M32))</f>
        <v/>
      </c>
      <c r="D32" s="60"/>
      <c r="E32" s="61" t="str">
        <f aca="false">IF($M32="","",INDEX('Itens Inspecionados'!$D$3:$D$402,$M32))</f>
        <v/>
      </c>
      <c r="F32" s="61"/>
      <c r="G32" s="61"/>
      <c r="H32" s="62"/>
      <c r="I32" s="62"/>
      <c r="J32" s="62"/>
      <c r="K32" s="63"/>
      <c r="M32" s="0" t="str">
        <f aca="false">IFERROR(MATCH(CONCATENATE($E$6,"|",23),'Itens Inspecionados'!$G$3:$G$402,0),"")</f>
        <v/>
      </c>
    </row>
    <row r="33" customFormat="false" ht="21.75" hidden="true" customHeight="true" outlineLevel="0" collapsed="false">
      <c r="B33" s="59" t="str">
        <f aca="false">IF($M33="","",24)</f>
        <v/>
      </c>
      <c r="C33" s="60" t="str">
        <f aca="false">IF($M33="","",INDEX('Itens Inspecionados'!$C$3:$C$402,$M33))</f>
        <v/>
      </c>
      <c r="D33" s="60"/>
      <c r="E33" s="61" t="str">
        <f aca="false">IF($M33="","",INDEX('Itens Inspecionados'!$D$3:$D$402,$M33))</f>
        <v/>
      </c>
      <c r="F33" s="61"/>
      <c r="G33" s="61"/>
      <c r="H33" s="62"/>
      <c r="I33" s="62"/>
      <c r="J33" s="62"/>
      <c r="K33" s="63"/>
      <c r="M33" s="0" t="str">
        <f aca="false">IFERROR(MATCH(CONCATENATE($E$6,"|",24),'Itens Inspecionados'!$G$3:$G$402,0),"")</f>
        <v/>
      </c>
    </row>
    <row r="34" customFormat="false" ht="21.75" hidden="true" customHeight="true" outlineLevel="0" collapsed="false">
      <c r="B34" s="59" t="str">
        <f aca="false">IF($M34="","",25)</f>
        <v/>
      </c>
      <c r="C34" s="60" t="str">
        <f aca="false">IF($M34="","",INDEX('Itens Inspecionados'!$C$3:$C$402,$M34))</f>
        <v/>
      </c>
      <c r="D34" s="60"/>
      <c r="E34" s="61" t="str">
        <f aca="false">IF($M34="","",INDEX('Itens Inspecionados'!$D$3:$D$402,$M34))</f>
        <v/>
      </c>
      <c r="F34" s="61"/>
      <c r="G34" s="61"/>
      <c r="H34" s="62"/>
      <c r="I34" s="62"/>
      <c r="J34" s="62"/>
      <c r="K34" s="63"/>
      <c r="M34" s="0" t="str">
        <f aca="false">IFERROR(MATCH(CONCATENATE($E$6,"|",25),'Itens Inspecionados'!$G$3:$G$402,0),"")</f>
        <v/>
      </c>
    </row>
    <row r="35" customFormat="false" ht="21.75" hidden="true" customHeight="true" outlineLevel="0" collapsed="false">
      <c r="B35" s="59" t="str">
        <f aca="false">IF($M35="","",26)</f>
        <v/>
      </c>
      <c r="C35" s="60" t="str">
        <f aca="false">IF($M35="","",INDEX('Itens Inspecionados'!$C$3:$C$402,$M35))</f>
        <v/>
      </c>
      <c r="D35" s="60"/>
      <c r="E35" s="61" t="str">
        <f aca="false">IF($M35="","",INDEX('Itens Inspecionados'!$D$3:$D$402,$M35))</f>
        <v/>
      </c>
      <c r="F35" s="61"/>
      <c r="G35" s="61"/>
      <c r="H35" s="62"/>
      <c r="I35" s="62"/>
      <c r="J35" s="62"/>
      <c r="K35" s="63"/>
      <c r="M35" s="0" t="str">
        <f aca="false">IFERROR(MATCH(CONCATENATE($E$6,"|",26),'Itens Inspecionados'!$G$3:$G$402,0),"")</f>
        <v/>
      </c>
    </row>
    <row r="36" customFormat="false" ht="21.75" hidden="true" customHeight="true" outlineLevel="0" collapsed="false">
      <c r="B36" s="59" t="str">
        <f aca="false">IF($M36="","",27)</f>
        <v/>
      </c>
      <c r="C36" s="60" t="str">
        <f aca="false">IF($M36="","",INDEX('Itens Inspecionados'!$C$3:$C$402,$M36))</f>
        <v/>
      </c>
      <c r="D36" s="60"/>
      <c r="E36" s="61" t="str">
        <f aca="false">IF($M36="","",INDEX('Itens Inspecionados'!$D$3:$D$402,$M36))</f>
        <v/>
      </c>
      <c r="F36" s="61"/>
      <c r="G36" s="61"/>
      <c r="H36" s="62"/>
      <c r="I36" s="62"/>
      <c r="J36" s="62"/>
      <c r="K36" s="63"/>
      <c r="M36" s="0" t="str">
        <f aca="false">IFERROR(MATCH(CONCATENATE($E$6,"|",27),'Itens Inspecionados'!$G$3:$G$402,0),"")</f>
        <v/>
      </c>
    </row>
    <row r="37" customFormat="false" ht="21.75" hidden="true" customHeight="true" outlineLevel="0" collapsed="false">
      <c r="B37" s="59" t="str">
        <f aca="false">IF($M37="","",28)</f>
        <v/>
      </c>
      <c r="C37" s="60" t="str">
        <f aca="false">IF($M37="","",INDEX('Itens Inspecionados'!$C$3:$C$402,$M37))</f>
        <v/>
      </c>
      <c r="D37" s="60"/>
      <c r="E37" s="61" t="str">
        <f aca="false">IF($M37="","",INDEX('Itens Inspecionados'!$D$3:$D$402,$M37))</f>
        <v/>
      </c>
      <c r="F37" s="61"/>
      <c r="G37" s="61"/>
      <c r="H37" s="62"/>
      <c r="I37" s="62"/>
      <c r="J37" s="62"/>
      <c r="K37" s="63"/>
      <c r="M37" s="0" t="str">
        <f aca="false">IFERROR(MATCH(CONCATENATE($E$6,"|",28),'Itens Inspecionados'!$G$3:$G$402,0),"")</f>
        <v/>
      </c>
    </row>
    <row r="38" customFormat="false" ht="21.75" hidden="true" customHeight="true" outlineLevel="0" collapsed="false">
      <c r="B38" s="59" t="str">
        <f aca="false">IF($M38="","",29)</f>
        <v/>
      </c>
      <c r="C38" s="60" t="str">
        <f aca="false">IF($M38="","",INDEX('Itens Inspecionados'!$C$3:$C$402,$M38))</f>
        <v/>
      </c>
      <c r="D38" s="60"/>
      <c r="E38" s="61" t="str">
        <f aca="false">IF($M38="","",INDEX('Itens Inspecionados'!$D$3:$D$402,$M38))</f>
        <v/>
      </c>
      <c r="F38" s="61"/>
      <c r="G38" s="61"/>
      <c r="H38" s="62"/>
      <c r="I38" s="62"/>
      <c r="J38" s="62"/>
      <c r="K38" s="63"/>
      <c r="M38" s="0" t="str">
        <f aca="false">IFERROR(MATCH(CONCATENATE($E$6,"|",29),'Itens Inspecionados'!$G$3:$G$402,0),"")</f>
        <v/>
      </c>
    </row>
    <row r="39" customFormat="false" ht="21.75" hidden="true" customHeight="true" outlineLevel="0" collapsed="false">
      <c r="B39" s="59" t="str">
        <f aca="false">IF($M39="","",30)</f>
        <v/>
      </c>
      <c r="C39" s="60" t="str">
        <f aca="false">IF($M39="","",INDEX('Itens Inspecionados'!$C$3:$C$402,$M39))</f>
        <v/>
      </c>
      <c r="D39" s="60"/>
      <c r="E39" s="61" t="str">
        <f aca="false">IF($M39="","",INDEX('Itens Inspecionados'!$D$3:$D$402,$M39))</f>
        <v/>
      </c>
      <c r="F39" s="61"/>
      <c r="G39" s="61"/>
      <c r="H39" s="62"/>
      <c r="I39" s="62"/>
      <c r="J39" s="62"/>
      <c r="K39" s="63"/>
      <c r="M39" s="0" t="str">
        <f aca="false">IFERROR(MATCH(CONCATENATE($E$6,"|",30),'Itens Inspecionados'!$G$3:$G$402,0),"")</f>
        <v/>
      </c>
    </row>
    <row r="40" customFormat="false" ht="21.75" hidden="true" customHeight="true" outlineLevel="0" collapsed="false">
      <c r="B40" s="59" t="str">
        <f aca="false">IF($M40="","",31)</f>
        <v/>
      </c>
      <c r="C40" s="60" t="str">
        <f aca="false">IF($M40="","",INDEX('Itens Inspecionados'!$C$3:$C$402,$M40))</f>
        <v/>
      </c>
      <c r="D40" s="60"/>
      <c r="E40" s="61" t="str">
        <f aca="false">IF($M40="","",INDEX('Itens Inspecionados'!$D$3:$D$402,$M40))</f>
        <v/>
      </c>
      <c r="F40" s="61"/>
      <c r="G40" s="61"/>
      <c r="H40" s="62"/>
      <c r="I40" s="62"/>
      <c r="J40" s="62"/>
      <c r="K40" s="63"/>
      <c r="M40" s="0" t="str">
        <f aca="false">IFERROR(MATCH(CONCATENATE($E$6,"|",31),'Itens Inspecionados'!$G$3:$G$402,0),"")</f>
        <v/>
      </c>
    </row>
    <row r="41" customFormat="false" ht="21.75" hidden="true" customHeight="true" outlineLevel="0" collapsed="false">
      <c r="B41" s="59" t="str">
        <f aca="false">IF($M41="","",32)</f>
        <v/>
      </c>
      <c r="C41" s="60" t="str">
        <f aca="false">IF($M41="","",INDEX('Itens Inspecionados'!$C$3:$C$402,$M41))</f>
        <v/>
      </c>
      <c r="D41" s="60"/>
      <c r="E41" s="61" t="str">
        <f aca="false">IF($M41="","",INDEX('Itens Inspecionados'!$D$3:$D$402,$M41))</f>
        <v/>
      </c>
      <c r="F41" s="61"/>
      <c r="G41" s="61"/>
      <c r="H41" s="62"/>
      <c r="I41" s="62"/>
      <c r="J41" s="62"/>
      <c r="K41" s="63"/>
      <c r="M41" s="0" t="str">
        <f aca="false">IFERROR(MATCH(CONCATENATE($E$6,"|",32),'Itens Inspecionados'!$G$3:$G$402,0),"")</f>
        <v/>
      </c>
    </row>
    <row r="42" customFormat="false" ht="21.75" hidden="true" customHeight="true" outlineLevel="0" collapsed="false">
      <c r="B42" s="59" t="str">
        <f aca="false">IF($M42="","",33)</f>
        <v/>
      </c>
      <c r="C42" s="60" t="str">
        <f aca="false">IF($M42="","",INDEX('Itens Inspecionados'!$C$3:$C$402,$M42))</f>
        <v/>
      </c>
      <c r="D42" s="60"/>
      <c r="E42" s="61" t="str">
        <f aca="false">IF($M42="","",INDEX('Itens Inspecionados'!$D$3:$D$402,$M42))</f>
        <v/>
      </c>
      <c r="F42" s="61"/>
      <c r="G42" s="61"/>
      <c r="H42" s="62"/>
      <c r="I42" s="62"/>
      <c r="J42" s="62"/>
      <c r="K42" s="63"/>
      <c r="M42" s="0" t="str">
        <f aca="false">IFERROR(MATCH(CONCATENATE($E$6,"|",33),'Itens Inspecionados'!$G$3:$G$402,0),"")</f>
        <v/>
      </c>
    </row>
    <row r="43" customFormat="false" ht="21.75" hidden="true" customHeight="true" outlineLevel="0" collapsed="false">
      <c r="B43" s="59" t="str">
        <f aca="false">IF($M43="","",34)</f>
        <v/>
      </c>
      <c r="C43" s="60" t="str">
        <f aca="false">IF($M43="","",INDEX('Itens Inspecionados'!$C$3:$C$402,$M43))</f>
        <v/>
      </c>
      <c r="D43" s="60"/>
      <c r="E43" s="61" t="str">
        <f aca="false">IF($M43="","",INDEX('Itens Inspecionados'!$D$3:$D$402,$M43))</f>
        <v/>
      </c>
      <c r="F43" s="61"/>
      <c r="G43" s="61"/>
      <c r="H43" s="62"/>
      <c r="I43" s="62"/>
      <c r="J43" s="62"/>
      <c r="K43" s="63"/>
      <c r="M43" s="0" t="str">
        <f aca="false">IFERROR(MATCH(CONCATENATE($E$6,"|",34),'Itens Inspecionados'!$G$3:$G$402,0),"")</f>
        <v/>
      </c>
    </row>
    <row r="44" customFormat="false" ht="21.75" hidden="true" customHeight="true" outlineLevel="0" collapsed="false">
      <c r="B44" s="59" t="str">
        <f aca="false">IF($M44="","",35)</f>
        <v/>
      </c>
      <c r="C44" s="60" t="str">
        <f aca="false">IF($M44="","",INDEX('Itens Inspecionados'!$C$3:$C$402,$M44))</f>
        <v/>
      </c>
      <c r="D44" s="60"/>
      <c r="E44" s="61" t="str">
        <f aca="false">IF($M44="","",INDEX('Itens Inspecionados'!$D$3:$D$402,$M44))</f>
        <v/>
      </c>
      <c r="F44" s="61"/>
      <c r="G44" s="61"/>
      <c r="H44" s="62"/>
      <c r="I44" s="62"/>
      <c r="J44" s="62"/>
      <c r="K44" s="63"/>
      <c r="M44" s="0" t="str">
        <f aca="false">IFERROR(MATCH(CONCATENATE($E$6,"|",35),'Itens Inspecionados'!$G$3:$G$402,0),"")</f>
        <v/>
      </c>
    </row>
    <row r="45" customFormat="false" ht="21.75" hidden="true" customHeight="true" outlineLevel="0" collapsed="false">
      <c r="B45" s="59" t="str">
        <f aca="false">IF($M45="","",36)</f>
        <v/>
      </c>
      <c r="C45" s="60" t="str">
        <f aca="false">IF($M45="","",INDEX('Itens Inspecionados'!$C$3:$C$402,$M45))</f>
        <v/>
      </c>
      <c r="D45" s="60"/>
      <c r="E45" s="61" t="str">
        <f aca="false">IF($M45="","",INDEX('Itens Inspecionados'!$D$3:$D$402,$M45))</f>
        <v/>
      </c>
      <c r="F45" s="61"/>
      <c r="G45" s="61"/>
      <c r="H45" s="62"/>
      <c r="I45" s="62"/>
      <c r="J45" s="62"/>
      <c r="K45" s="63"/>
      <c r="M45" s="0" t="str">
        <f aca="false">IFERROR(MATCH(CONCATENATE($E$6,"|",36),'Itens Inspecionados'!$G$3:$G$402,0),"")</f>
        <v/>
      </c>
    </row>
    <row r="46" customFormat="false" ht="21.75" hidden="true" customHeight="true" outlineLevel="0" collapsed="false">
      <c r="B46" s="59" t="str">
        <f aca="false">IF($M46="","",37)</f>
        <v/>
      </c>
      <c r="C46" s="60" t="str">
        <f aca="false">IF($M46="","",INDEX('Itens Inspecionados'!$C$3:$C$402,$M46))</f>
        <v/>
      </c>
      <c r="D46" s="60"/>
      <c r="E46" s="61" t="str">
        <f aca="false">IF($M46="","",INDEX('Itens Inspecionados'!$D$3:$D$402,$M46))</f>
        <v/>
      </c>
      <c r="F46" s="61"/>
      <c r="G46" s="61"/>
      <c r="H46" s="62"/>
      <c r="I46" s="62"/>
      <c r="J46" s="62"/>
      <c r="K46" s="63"/>
      <c r="M46" s="0" t="str">
        <f aca="false">IFERROR(MATCH(CONCATENATE($E$6,"|",37),'Itens Inspecionados'!$G$3:$G$402,0),"")</f>
        <v/>
      </c>
    </row>
    <row r="47" customFormat="false" ht="21.75" hidden="true" customHeight="true" outlineLevel="0" collapsed="false">
      <c r="B47" s="59" t="str">
        <f aca="false">IF($M47="","",38)</f>
        <v/>
      </c>
      <c r="C47" s="60" t="str">
        <f aca="false">IF($M47="","",INDEX('Itens Inspecionados'!$C$3:$C$402,$M47))</f>
        <v/>
      </c>
      <c r="D47" s="60"/>
      <c r="E47" s="61" t="str">
        <f aca="false">IF($M47="","",INDEX('Itens Inspecionados'!$D$3:$D$402,$M47))</f>
        <v/>
      </c>
      <c r="F47" s="61"/>
      <c r="G47" s="61"/>
      <c r="H47" s="62"/>
      <c r="I47" s="62"/>
      <c r="J47" s="62"/>
      <c r="K47" s="63"/>
      <c r="M47" s="0" t="str">
        <f aca="false">IFERROR(MATCH(CONCATENATE($E$6,"|",38),'Itens Inspecionados'!$G$3:$G$402,0),"")</f>
        <v/>
      </c>
    </row>
    <row r="48" customFormat="false" ht="21.75" hidden="true" customHeight="true" outlineLevel="0" collapsed="false">
      <c r="B48" s="59" t="str">
        <f aca="false">IF($M48="","",39)</f>
        <v/>
      </c>
      <c r="C48" s="60" t="str">
        <f aca="false">IF($M48="","",INDEX('Itens Inspecionados'!$C$3:$C$402,$M48))</f>
        <v/>
      </c>
      <c r="D48" s="60"/>
      <c r="E48" s="61" t="str">
        <f aca="false">IF($M48="","",INDEX('Itens Inspecionados'!$D$3:$D$402,$M48))</f>
        <v/>
      </c>
      <c r="F48" s="61"/>
      <c r="G48" s="61"/>
      <c r="H48" s="62"/>
      <c r="I48" s="62"/>
      <c r="J48" s="62"/>
      <c r="K48" s="63"/>
      <c r="M48" s="0" t="str">
        <f aca="false">IFERROR(MATCH(CONCATENATE($E$6,"|",39),'Itens Inspecionados'!$G$3:$G$402,0),"")</f>
        <v/>
      </c>
    </row>
    <row r="49" customFormat="false" ht="21.75" hidden="true" customHeight="true" outlineLevel="0" collapsed="false">
      <c r="B49" s="59" t="str">
        <f aca="false">IF($M49="","",40)</f>
        <v/>
      </c>
      <c r="C49" s="60" t="str">
        <f aca="false">IF($M49="","",INDEX('Itens Inspecionados'!$C$3:$C$402,$M49))</f>
        <v/>
      </c>
      <c r="D49" s="60"/>
      <c r="E49" s="61" t="str">
        <f aca="false">IF($M49="","",INDEX('Itens Inspecionados'!$D$3:$D$402,$M49))</f>
        <v/>
      </c>
      <c r="F49" s="61"/>
      <c r="G49" s="61"/>
      <c r="H49" s="62"/>
      <c r="I49" s="62"/>
      <c r="J49" s="62"/>
      <c r="K49" s="63"/>
      <c r="M49" s="0" t="str">
        <f aca="false">IFERROR(MATCH(CONCATENATE($E$6,"|",40),'Itens Inspecionados'!$G$3:$G$402,0),"")</f>
        <v/>
      </c>
    </row>
    <row r="50" customFormat="false" ht="21.75" hidden="true" customHeight="true" outlineLevel="0" collapsed="false">
      <c r="B50" s="59" t="str">
        <f aca="false">IF($M50="","",41)</f>
        <v/>
      </c>
      <c r="C50" s="60" t="str">
        <f aca="false">IF($M50="","",INDEX('Itens Inspecionados'!$C$3:$C$402,$M50))</f>
        <v/>
      </c>
      <c r="D50" s="60"/>
      <c r="E50" s="61" t="str">
        <f aca="false">IF($M50="","",INDEX('Itens Inspecionados'!$D$3:$D$402,$M50))</f>
        <v/>
      </c>
      <c r="F50" s="61"/>
      <c r="G50" s="61"/>
      <c r="H50" s="62"/>
      <c r="I50" s="62"/>
      <c r="J50" s="62"/>
      <c r="K50" s="63"/>
      <c r="M50" s="0" t="str">
        <f aca="false">IFERROR(MATCH(CONCATENATE($E$6,"|",41),'Itens Inspecionados'!$G$3:$G$402,0),"")</f>
        <v/>
      </c>
    </row>
    <row r="51" customFormat="false" ht="21.75" hidden="true" customHeight="true" outlineLevel="0" collapsed="false">
      <c r="B51" s="59" t="str">
        <f aca="false">IF($M51="","",42)</f>
        <v/>
      </c>
      <c r="C51" s="60" t="str">
        <f aca="false">IF($M51="","",INDEX('Itens Inspecionados'!$C$3:$C$402,$M51))</f>
        <v/>
      </c>
      <c r="D51" s="60"/>
      <c r="E51" s="61" t="str">
        <f aca="false">IF($M51="","",INDEX('Itens Inspecionados'!$D$3:$D$402,$M51))</f>
        <v/>
      </c>
      <c r="F51" s="61"/>
      <c r="G51" s="61"/>
      <c r="H51" s="62"/>
      <c r="I51" s="62"/>
      <c r="J51" s="62"/>
      <c r="K51" s="63"/>
      <c r="M51" s="0" t="str">
        <f aca="false">IFERROR(MATCH(CONCATENATE($E$6,"|",42),'Itens Inspecionados'!$G$3:$G$402,0),"")</f>
        <v/>
      </c>
    </row>
    <row r="52" customFormat="false" ht="21.75" hidden="true" customHeight="true" outlineLevel="0" collapsed="false">
      <c r="B52" s="59" t="str">
        <f aca="false">IF($M52="","",43)</f>
        <v/>
      </c>
      <c r="C52" s="60" t="str">
        <f aca="false">IF($M52="","",INDEX('Itens Inspecionados'!$C$3:$C$402,$M52))</f>
        <v/>
      </c>
      <c r="D52" s="60"/>
      <c r="E52" s="61" t="str">
        <f aca="false">IF($M52="","",INDEX('Itens Inspecionados'!$D$3:$D$402,$M52))</f>
        <v/>
      </c>
      <c r="F52" s="61"/>
      <c r="G52" s="61"/>
      <c r="H52" s="62"/>
      <c r="I52" s="62"/>
      <c r="J52" s="62"/>
      <c r="K52" s="63"/>
      <c r="M52" s="0" t="str">
        <f aca="false">IFERROR(MATCH(CONCATENATE($E$6,"|",43),'Itens Inspecionados'!$G$3:$G$402,0),"")</f>
        <v/>
      </c>
    </row>
    <row r="53" customFormat="false" ht="21.75" hidden="true" customHeight="true" outlineLevel="0" collapsed="false">
      <c r="B53" s="59" t="str">
        <f aca="false">IF($M53="","",44)</f>
        <v/>
      </c>
      <c r="C53" s="60" t="str">
        <f aca="false">IF($M53="","",INDEX('Itens Inspecionados'!$C$3:$C$402,$M53))</f>
        <v/>
      </c>
      <c r="D53" s="60"/>
      <c r="E53" s="61" t="str">
        <f aca="false">IF($M53="","",INDEX('Itens Inspecionados'!$D$3:$D$402,$M53))</f>
        <v/>
      </c>
      <c r="F53" s="61"/>
      <c r="G53" s="61"/>
      <c r="H53" s="62"/>
      <c r="I53" s="62"/>
      <c r="J53" s="62"/>
      <c r="K53" s="63"/>
      <c r="M53" s="0" t="str">
        <f aca="false">IFERROR(MATCH(CONCATENATE($E$6,"|",44),'Itens Inspecionados'!$G$3:$G$402,0),"")</f>
        <v/>
      </c>
    </row>
    <row r="54" customFormat="false" ht="21.75" hidden="true" customHeight="true" outlineLevel="0" collapsed="false">
      <c r="B54" s="59" t="str">
        <f aca="false">IF($M54="","",45)</f>
        <v/>
      </c>
      <c r="C54" s="60" t="str">
        <f aca="false">IF($M54="","",INDEX('Itens Inspecionados'!$C$3:$C$402,$M54))</f>
        <v/>
      </c>
      <c r="D54" s="60"/>
      <c r="E54" s="61" t="str">
        <f aca="false">IF($M54="","",INDEX('Itens Inspecionados'!$D$3:$D$402,$M54))</f>
        <v/>
      </c>
      <c r="F54" s="61"/>
      <c r="G54" s="61"/>
      <c r="H54" s="62"/>
      <c r="I54" s="62"/>
      <c r="J54" s="62"/>
      <c r="K54" s="63"/>
      <c r="M54" s="0" t="str">
        <f aca="false">IFERROR(MATCH(CONCATENATE($E$6,"|",45),'Itens Inspecionados'!$G$3:$G$402,0),"")</f>
        <v/>
      </c>
    </row>
    <row r="56" customFormat="false" ht="21" hidden="false" customHeight="true" outlineLevel="0" collapsed="false">
      <c r="B56" s="65" t="s">
        <v>275</v>
      </c>
      <c r="C56" s="65"/>
      <c r="D56" s="65"/>
      <c r="E56" s="65"/>
      <c r="F56" s="65"/>
      <c r="G56" s="65"/>
      <c r="H56" s="65"/>
      <c r="I56" s="65"/>
      <c r="J56" s="65"/>
      <c r="K56" s="65"/>
    </row>
    <row r="57" customFormat="false" ht="22.5" hidden="false" customHeight="true" outlineLevel="0" collapsed="false"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customFormat="false" ht="22.5" hidden="false" customHeight="true" outlineLevel="0" collapsed="false">
      <c r="B58" s="66"/>
      <c r="C58" s="66"/>
      <c r="D58" s="66"/>
      <c r="E58" s="66"/>
      <c r="F58" s="66"/>
      <c r="G58" s="66"/>
      <c r="H58" s="66"/>
      <c r="I58" s="66"/>
      <c r="J58" s="66"/>
      <c r="K58" s="66"/>
    </row>
    <row r="59" customFormat="false" ht="22.5" hidden="false" customHeight="true" outlineLevel="0" collapsed="false">
      <c r="B59" s="66"/>
      <c r="C59" s="66"/>
      <c r="D59" s="66"/>
      <c r="E59" s="66"/>
      <c r="F59" s="66"/>
      <c r="G59" s="66"/>
      <c r="H59" s="66"/>
      <c r="I59" s="66"/>
      <c r="J59" s="66"/>
      <c r="K59" s="66"/>
    </row>
    <row r="60" customFormat="false" ht="22.5" hidden="false" customHeight="true" outlineLevel="0" collapsed="false">
      <c r="B60" s="66"/>
      <c r="C60" s="66"/>
      <c r="D60" s="66"/>
      <c r="E60" s="66"/>
      <c r="F60" s="66"/>
      <c r="G60" s="66"/>
      <c r="H60" s="66"/>
      <c r="I60" s="66"/>
      <c r="J60" s="66"/>
      <c r="K60" s="66"/>
    </row>
    <row r="62" customFormat="false" ht="18" hidden="false" customHeight="true" outlineLevel="0" collapsed="false">
      <c r="B62" s="67" t="s">
        <v>276</v>
      </c>
      <c r="C62" s="67"/>
      <c r="D62" s="67"/>
      <c r="E62" s="67"/>
      <c r="H62" s="67" t="s">
        <v>277</v>
      </c>
      <c r="I62" s="67"/>
      <c r="J62" s="67"/>
      <c r="K62" s="67"/>
    </row>
    <row r="63" customFormat="false" ht="30" hidden="false" customHeight="true" outlineLevel="0" collapsed="false">
      <c r="B63" s="68"/>
      <c r="C63" s="68"/>
      <c r="D63" s="68"/>
      <c r="E63" s="68"/>
      <c r="H63" s="68"/>
      <c r="I63" s="68"/>
      <c r="J63" s="68"/>
      <c r="K63" s="68"/>
    </row>
  </sheetData>
  <autoFilter ref="B9:K54">
    <filterColumn colId="0">
      <customFilters>
        <customFilter operator="notEqual" val=" "/>
      </customFilters>
    </filterColumn>
    <filterColumn colId="2" hiddenButton="1"/>
    <filterColumn colId="4" hiddenButton="1"/>
    <filterColumn colId="5" hiddenButton="1"/>
  </autoFilter>
  <mergeCells count="115">
    <mergeCell ref="B1:D1"/>
    <mergeCell ref="E1:F1"/>
    <mergeCell ref="B2:D4"/>
    <mergeCell ref="E2:K4"/>
    <mergeCell ref="B5:D5"/>
    <mergeCell ref="E5:H5"/>
    <mergeCell ref="I5:J5"/>
    <mergeCell ref="B6:D6"/>
    <mergeCell ref="E6:H6"/>
    <mergeCell ref="I6:J6"/>
    <mergeCell ref="B7:D7"/>
    <mergeCell ref="E7:H7"/>
    <mergeCell ref="I7:J7"/>
    <mergeCell ref="B8:K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45:D45"/>
    <mergeCell ref="E45:G45"/>
    <mergeCell ref="C46:D46"/>
    <mergeCell ref="E46:G46"/>
    <mergeCell ref="C47:D47"/>
    <mergeCell ref="E47:G47"/>
    <mergeCell ref="C48:D48"/>
    <mergeCell ref="E48:G48"/>
    <mergeCell ref="C49:D49"/>
    <mergeCell ref="E49:G49"/>
    <mergeCell ref="C50:D50"/>
    <mergeCell ref="E50:G50"/>
    <mergeCell ref="C51:D51"/>
    <mergeCell ref="E51:G51"/>
    <mergeCell ref="C52:D52"/>
    <mergeCell ref="E52:G52"/>
    <mergeCell ref="C53:D53"/>
    <mergeCell ref="E53:G53"/>
    <mergeCell ref="C54:D54"/>
    <mergeCell ref="E54:G54"/>
    <mergeCell ref="B56:K56"/>
    <mergeCell ref="B57:K57"/>
    <mergeCell ref="B58:K58"/>
    <mergeCell ref="B59:K59"/>
    <mergeCell ref="B60:K60"/>
    <mergeCell ref="B62:E62"/>
    <mergeCell ref="H62:K62"/>
    <mergeCell ref="B63:E63"/>
    <mergeCell ref="H63:K63"/>
  </mergeCells>
  <conditionalFormatting sqref="B10:K54">
    <cfRule type="expression" priority="2" aboveAverage="0" equalAverage="0" bottom="0" percent="0" rank="0" text="" dxfId="11">
      <formula>$M10&lt;&gt;""</formula>
    </cfRule>
  </conditionalFormatting>
  <dataValidations count="1">
    <dataValidation allowBlank="false" error="Escolha uma TAG cadastrada em «Equipamentos»." errorStyle="stop" errorTitle="Máquina" operator="between" showDropDown="false" showErrorMessage="false" showInputMessage="false" sqref="E1" type="list">
      <formula1>Equipamentos!$A$3:$A$52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875A"/>
    <pageSetUpPr fitToPage="true"/>
  </sheetPr>
  <dimension ref="A1:H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4" min="3" style="0" width="24"/>
    <col collapsed="false" customWidth="true" hidden="false" outlineLevel="0" max="5" min="5" style="0" width="52"/>
    <col collapsed="false" customWidth="true" hidden="false" outlineLevel="0" max="6" min="6" style="0" width="13"/>
    <col collapsed="false" customWidth="true" hidden="true" outlineLevel="0" max="7" min="7" style="0" width="3"/>
    <col collapsed="false" customWidth="true" hidden="false" outlineLevel="0" max="8" min="8" style="0" width="40"/>
  </cols>
  <sheetData>
    <row r="1" customFormat="false" ht="17.35" hidden="false" customHeight="false" outlineLevel="0" collapsed="false">
      <c r="A1" s="13" t="s">
        <v>278</v>
      </c>
      <c r="C1" s="38" t="s">
        <v>279</v>
      </c>
    </row>
    <row r="3" customFormat="false" ht="21.75" hidden="false" customHeight="true" outlineLevel="0" collapsed="false">
      <c r="A3" s="15" t="s">
        <v>280</v>
      </c>
      <c r="B3" s="69" t="s">
        <v>112</v>
      </c>
      <c r="E3" s="70" t="str">
        <f aca="false">IF($B$5="","Escolha a máquina ao lado.",CONCATENATE("1) Selecione A11:F",TEXT(10+COUNTIF('Itens Inspecionados'!$B$3:$B$402,$B$5),"0"),"   ·   2) Copie (Ctrl+C)   ·   3) Em «Lançar Resultado», clique na primeira linha vazia da coluna A e cole como VALORES (Ctrl+Shift+V).   —   ",TEXT(COUNTIF('Itens Inspecionados'!$B$3:$B$402,$B$5),"0")," itens"))</f>
        <v>1) Selecione A11:F19   ·   2) Copie (Ctrl+C)   ·   3) Em «Lançar Resultado», clique na primeira linha vazia da coluna A e cole como VALORES (Ctrl+Shift+V).   —   9 itens</v>
      </c>
      <c r="F3" s="70"/>
      <c r="G3" s="70"/>
      <c r="H3" s="70"/>
    </row>
    <row r="4" customFormat="false" ht="15" hidden="false" customHeight="false" outlineLevel="0" collapsed="false">
      <c r="A4" s="15" t="s">
        <v>281</v>
      </c>
      <c r="B4" s="71" t="n">
        <f aca="false">IF($B$3="","",SUMPRODUCT(MAX((Inspeções!$B$3:$B$122=$B$3)*Inspeções!$A$3:$A$122)))</f>
        <v>46232</v>
      </c>
      <c r="E4" s="70"/>
      <c r="F4" s="70"/>
      <c r="G4" s="70"/>
      <c r="H4" s="70"/>
    </row>
    <row r="5" customFormat="false" ht="15" hidden="false" customHeight="false" outlineLevel="0" collapsed="false">
      <c r="A5" s="15" t="s">
        <v>282</v>
      </c>
      <c r="B5" s="72" t="str">
        <f aca="false">IFERROR(INDEX(Equipamentos!$C$3:$C$52,MATCH($B$3,Equipamentos!$A$3:$A$52,0)),"")</f>
        <v>Compressor de ar</v>
      </c>
      <c r="C5" s="72"/>
      <c r="E5" s="70"/>
      <c r="F5" s="70"/>
      <c r="G5" s="70"/>
      <c r="H5" s="70"/>
    </row>
    <row r="6" customFormat="false" ht="15" hidden="false" customHeight="false" outlineLevel="0" collapsed="false">
      <c r="A6" s="15" t="s">
        <v>270</v>
      </c>
      <c r="B6" s="72" t="str">
        <f aca="false">IF(SUMPRODUCT((Inspeções!$B$3:$B$122=$B$3)*(Inspeções!$A$3:$A$122=$B$4)*(ROW(Inspeções!$B$3:$B$122)-3+1))=0,"",INDEX(Inspeções!$C$3:$C$122,SUMPRODUCT((Inspeções!$B$3:$B$122=$B$3)*(Inspeções!$A$3:$A$122=$B$4)*(ROW(Inspeções!$B$3:$B$122)-3+1))))</f>
        <v>Carlos Silva</v>
      </c>
      <c r="C6" s="72"/>
      <c r="E6" s="70"/>
      <c r="F6" s="70"/>
      <c r="G6" s="70"/>
      <c r="H6" s="70"/>
    </row>
    <row r="7" customFormat="false" ht="15" hidden="false" customHeight="false" outlineLevel="0" collapsed="false">
      <c r="A7" s="15" t="s">
        <v>283</v>
      </c>
      <c r="B7" s="72" t="str">
        <f aca="false">IF($B$3="","",IF(SUMPRODUCT((Inspeções!$B$3:$B$122=$B$3)*(Inspeções!$A$3:$A$122=$B$4)*(ROW(Inspeções!$B$3:$B$122)-3+1))=0,"NÃO EXISTE inspeção desta máquina nesta data — cadastre em «Inspeções».","encontrada"))</f>
        <v>encontrada</v>
      </c>
      <c r="C7" s="72"/>
    </row>
    <row r="9" customFormat="false" ht="15" hidden="false" customHeight="false" outlineLevel="0" collapsed="false">
      <c r="A9" s="73" t="s">
        <v>284</v>
      </c>
    </row>
    <row r="10" customFormat="false" ht="25.5" hidden="false" customHeight="true" outlineLevel="0" collapsed="false">
      <c r="A10" s="18" t="s">
        <v>285</v>
      </c>
      <c r="B10" s="18" t="s">
        <v>286</v>
      </c>
      <c r="C10" s="18" t="s">
        <v>287</v>
      </c>
      <c r="D10" s="18" t="s">
        <v>154</v>
      </c>
      <c r="E10" s="18" t="s">
        <v>288</v>
      </c>
      <c r="F10" s="18" t="s">
        <v>83</v>
      </c>
    </row>
    <row r="11" customFormat="false" ht="18" hidden="false" customHeight="true" outlineLevel="0" collapsed="false">
      <c r="A11" s="46" t="str">
        <f aca="false">IF($G11="","",$B$3)</f>
        <v>COMP-01</v>
      </c>
      <c r="B11" s="44" t="n">
        <f aca="false">IF($G11="","",$B$4)</f>
        <v>46232</v>
      </c>
      <c r="C11" s="47" t="str">
        <f aca="false">IF($G11="","",$B$5)</f>
        <v>Compressor de ar</v>
      </c>
      <c r="D11" s="47" t="str">
        <f aca="false">IF($G11="","",INDEX('Itens Inspecionados'!$C$3:$C$402,$G11))</f>
        <v>Lubrificação</v>
      </c>
      <c r="E11" s="47" t="str">
        <f aca="false">IF($G11="","",INDEX('Itens Inspecionados'!$D$3:$D$402,$G11))</f>
        <v>Nível de óleo</v>
      </c>
      <c r="F11" s="45" t="n">
        <f aca="false">IF($G11="","",INDEX('Itens Inspecionados'!$E$3:$E$402,$G11))</f>
        <v>7</v>
      </c>
      <c r="G11" s="64" t="n">
        <f aca="false">IFERROR(MATCH(CONCATENATE($B$5,"|",1),'Itens Inspecionados'!$G$3:$G$402,0),"")</f>
        <v>1</v>
      </c>
    </row>
    <row r="12" customFormat="false" ht="18" hidden="false" customHeight="true" outlineLevel="0" collapsed="false">
      <c r="A12" s="46" t="str">
        <f aca="false">IF($G12="","",$B$3)</f>
        <v>COMP-01</v>
      </c>
      <c r="B12" s="44" t="n">
        <f aca="false">IF($G12="","",$B$4)</f>
        <v>46232</v>
      </c>
      <c r="C12" s="47" t="str">
        <f aca="false">IF($G12="","",$B$5)</f>
        <v>Compressor de ar</v>
      </c>
      <c r="D12" s="47" t="str">
        <f aca="false">IF($G12="","",INDEX('Itens Inspecionados'!$C$3:$C$402,$G12))</f>
        <v>Ar comprimido</v>
      </c>
      <c r="E12" s="47" t="str">
        <f aca="false">IF($G12="","",INDEX('Itens Inspecionados'!$D$3:$D$402,$G12))</f>
        <v>Vazamentos de ar</v>
      </c>
      <c r="F12" s="45" t="n">
        <f aca="false">IF($G12="","",INDEX('Itens Inspecionados'!$E$3:$E$402,$G12))</f>
        <v>5</v>
      </c>
      <c r="G12" s="64" t="n">
        <f aca="false">IFERROR(MATCH(CONCATENATE($B$5,"|",2),'Itens Inspecionados'!$G$3:$G$402,0),"")</f>
        <v>2</v>
      </c>
    </row>
    <row r="13" customFormat="false" ht="18" hidden="false" customHeight="true" outlineLevel="0" collapsed="false">
      <c r="A13" s="46" t="str">
        <f aca="false">IF($G13="","",$B$3)</f>
        <v>COMP-01</v>
      </c>
      <c r="B13" s="44" t="n">
        <f aca="false">IF($G13="","",$B$4)</f>
        <v>46232</v>
      </c>
      <c r="C13" s="47" t="str">
        <f aca="false">IF($G13="","",$B$5)</f>
        <v>Compressor de ar</v>
      </c>
      <c r="D13" s="47" t="str">
        <f aca="false">IF($G13="","",INDEX('Itens Inspecionados'!$C$3:$C$402,$G13))</f>
        <v>Ar comprimido</v>
      </c>
      <c r="E13" s="47" t="str">
        <f aca="false">IF($G13="","",INDEX('Itens Inspecionados'!$D$3:$D$402,$G13))</f>
        <v>Pressão de operação</v>
      </c>
      <c r="F13" s="45" t="n">
        <f aca="false">IF($G13="","",INDEX('Itens Inspecionados'!$E$3:$E$402,$G13))</f>
        <v>7</v>
      </c>
      <c r="G13" s="64" t="n">
        <f aca="false">IFERROR(MATCH(CONCATENATE($B$5,"|",3),'Itens Inspecionados'!$G$3:$G$402,0),"")</f>
        <v>3</v>
      </c>
    </row>
    <row r="14" customFormat="false" ht="18" hidden="false" customHeight="true" outlineLevel="0" collapsed="false">
      <c r="A14" s="46" t="str">
        <f aca="false">IF($G14="","",$B$3)</f>
        <v>COMP-01</v>
      </c>
      <c r="B14" s="44" t="n">
        <f aca="false">IF($G14="","",$B$4)</f>
        <v>46232</v>
      </c>
      <c r="C14" s="47" t="str">
        <f aca="false">IF($G14="","",$B$5)</f>
        <v>Compressor de ar</v>
      </c>
      <c r="D14" s="47" t="str">
        <f aca="false">IF($G14="","",INDEX('Itens Inspecionados'!$C$3:$C$402,$G14))</f>
        <v>Mecânica</v>
      </c>
      <c r="E14" s="47" t="str">
        <f aca="false">IF($G14="","",INDEX('Itens Inspecionados'!$D$3:$D$402,$G14))</f>
        <v>Ruído e vibração</v>
      </c>
      <c r="F14" s="45" t="n">
        <f aca="false">IF($G14="","",INDEX('Itens Inspecionados'!$E$3:$E$402,$G14))</f>
        <v>5</v>
      </c>
      <c r="G14" s="64" t="n">
        <f aca="false">IFERROR(MATCH(CONCATENATE($B$5,"|",4),'Itens Inspecionados'!$G$3:$G$402,0),"")</f>
        <v>4</v>
      </c>
    </row>
    <row r="15" customFormat="false" ht="18" hidden="false" customHeight="true" outlineLevel="0" collapsed="false">
      <c r="A15" s="46" t="str">
        <f aca="false">IF($G15="","",$B$3)</f>
        <v>COMP-01</v>
      </c>
      <c r="B15" s="44" t="n">
        <f aca="false">IF($G15="","",$B$4)</f>
        <v>46232</v>
      </c>
      <c r="C15" s="47" t="str">
        <f aca="false">IF($G15="","",$B$5)</f>
        <v>Compressor de ar</v>
      </c>
      <c r="D15" s="47" t="str">
        <f aca="false">IF($G15="","",INDEX('Itens Inspecionados'!$C$3:$C$402,$G15))</f>
        <v>Mecânica</v>
      </c>
      <c r="E15" s="47" t="str">
        <f aca="false">IF($G15="","",INDEX('Itens Inspecionados'!$D$3:$D$402,$G15))</f>
        <v>Temperatura de operação</v>
      </c>
      <c r="F15" s="45" t="n">
        <f aca="false">IF($G15="","",INDEX('Itens Inspecionados'!$E$3:$E$402,$G15))</f>
        <v>7</v>
      </c>
      <c r="G15" s="64" t="n">
        <f aca="false">IFERROR(MATCH(CONCATENATE($B$5,"|",5),'Itens Inspecionados'!$G$3:$G$402,0),"")</f>
        <v>5</v>
      </c>
    </row>
    <row r="16" customFormat="false" ht="18" hidden="false" customHeight="true" outlineLevel="0" collapsed="false">
      <c r="A16" s="46" t="str">
        <f aca="false">IF($G16="","",$B$3)</f>
        <v>COMP-01</v>
      </c>
      <c r="B16" s="44" t="n">
        <f aca="false">IF($G16="","",$B$4)</f>
        <v>46232</v>
      </c>
      <c r="C16" s="47" t="str">
        <f aca="false">IF($G16="","",$B$5)</f>
        <v>Compressor de ar</v>
      </c>
      <c r="D16" s="47" t="str">
        <f aca="false">IF($G16="","",INDEX('Itens Inspecionados'!$C$3:$C$402,$G16))</f>
        <v>Transmissão</v>
      </c>
      <c r="E16" s="47" t="str">
        <f aca="false">IF($G16="","",INDEX('Itens Inspecionados'!$D$3:$D$402,$G16))</f>
        <v>Correias</v>
      </c>
      <c r="F16" s="45" t="n">
        <f aca="false">IF($G16="","",INDEX('Itens Inspecionados'!$E$3:$E$402,$G16))</f>
        <v>7</v>
      </c>
      <c r="G16" s="64" t="n">
        <f aca="false">IFERROR(MATCH(CONCATENATE($B$5,"|",6),'Itens Inspecionados'!$G$3:$G$402,0),"")</f>
        <v>6</v>
      </c>
    </row>
    <row r="17" customFormat="false" ht="18" hidden="false" customHeight="true" outlineLevel="0" collapsed="false">
      <c r="A17" s="46" t="str">
        <f aca="false">IF($G17="","",$B$3)</f>
        <v>COMP-01</v>
      </c>
      <c r="B17" s="44" t="n">
        <f aca="false">IF($G17="","",$B$4)</f>
        <v>46232</v>
      </c>
      <c r="C17" s="47" t="str">
        <f aca="false">IF($G17="","",$B$5)</f>
        <v>Compressor de ar</v>
      </c>
      <c r="D17" s="47" t="str">
        <f aca="false">IF($G17="","",INDEX('Itens Inspecionados'!$C$3:$C$402,$G17))</f>
        <v>Reservatório</v>
      </c>
      <c r="E17" s="47" t="str">
        <f aca="false">IF($G17="","",INDEX('Itens Inspecionados'!$D$3:$D$402,$G17))</f>
        <v>Dreno do reservatório</v>
      </c>
      <c r="F17" s="45" t="n">
        <f aca="false">IF($G17="","",INDEX('Itens Inspecionados'!$E$3:$E$402,$G17))</f>
        <v>5</v>
      </c>
      <c r="G17" s="64" t="n">
        <f aca="false">IFERROR(MATCH(CONCATENATE($B$5,"|",7),'Itens Inspecionados'!$G$3:$G$402,0),"")</f>
        <v>7</v>
      </c>
    </row>
    <row r="18" customFormat="false" ht="18" hidden="false" customHeight="true" outlineLevel="0" collapsed="false">
      <c r="A18" s="46" t="str">
        <f aca="false">IF($G18="","",$B$3)</f>
        <v>COMP-01</v>
      </c>
      <c r="B18" s="44" t="n">
        <f aca="false">IF($G18="","",$B$4)</f>
        <v>46232</v>
      </c>
      <c r="C18" s="47" t="str">
        <f aca="false">IF($G18="","",$B$5)</f>
        <v>Compressor de ar</v>
      </c>
      <c r="D18" s="47" t="str">
        <f aca="false">IF($G18="","",INDEX('Itens Inspecionados'!$C$3:$C$402,$G18))</f>
        <v>Conservação</v>
      </c>
      <c r="E18" s="47" t="str">
        <f aca="false">IF($G18="","",INDEX('Itens Inspecionados'!$D$3:$D$402,$G18))</f>
        <v>Limpeza externa</v>
      </c>
      <c r="F18" s="45" t="n">
        <f aca="false">IF($G18="","",INDEX('Itens Inspecionados'!$E$3:$E$402,$G18))</f>
        <v>3</v>
      </c>
      <c r="G18" s="64" t="n">
        <f aca="false">IFERROR(MATCH(CONCATENATE($B$5,"|",8),'Itens Inspecionados'!$G$3:$G$402,0),"")</f>
        <v>8</v>
      </c>
    </row>
    <row r="19" customFormat="false" ht="18" hidden="false" customHeight="true" outlineLevel="0" collapsed="false">
      <c r="A19" s="46" t="str">
        <f aca="false">IF($G19="","",$B$3)</f>
        <v>COMP-01</v>
      </c>
      <c r="B19" s="44" t="n">
        <f aca="false">IF($G19="","",$B$4)</f>
        <v>46232</v>
      </c>
      <c r="C19" s="47" t="str">
        <f aca="false">IF($G19="","",$B$5)</f>
        <v>Compressor de ar</v>
      </c>
      <c r="D19" s="47" t="str">
        <f aca="false">IF($G19="","",INDEX('Itens Inspecionados'!$C$3:$C$402,$G19))</f>
        <v>Elétrica</v>
      </c>
      <c r="E19" s="47" t="str">
        <f aca="false">IF($G19="","",INDEX('Itens Inspecionados'!$D$3:$D$402,$G19))</f>
        <v>Proteções e conexões elétricas</v>
      </c>
      <c r="F19" s="45" t="n">
        <f aca="false">IF($G19="","",INDEX('Itens Inspecionados'!$E$3:$E$402,$G19))</f>
        <v>9</v>
      </c>
      <c r="G19" s="64" t="n">
        <f aca="false">IFERROR(MATCH(CONCATENATE($B$5,"|",9),'Itens Inspecionados'!$G$3:$G$402,0),"")</f>
        <v>9</v>
      </c>
    </row>
    <row r="20" customFormat="false" ht="18" hidden="false" customHeight="true" outlineLevel="0" collapsed="false">
      <c r="A20" s="46" t="str">
        <f aca="false">IF($G20="","",$B$3)</f>
        <v/>
      </c>
      <c r="B20" s="44" t="str">
        <f aca="false">IF($G20="","",$B$4)</f>
        <v/>
      </c>
      <c r="C20" s="47" t="str">
        <f aca="false">IF($G20="","",$B$5)</f>
        <v/>
      </c>
      <c r="D20" s="47" t="str">
        <f aca="false">IF($G20="","",INDEX('Itens Inspecionados'!$C$3:$C$402,$G20))</f>
        <v/>
      </c>
      <c r="E20" s="47" t="str">
        <f aca="false">IF($G20="","",INDEX('Itens Inspecionados'!$D$3:$D$402,$G20))</f>
        <v/>
      </c>
      <c r="F20" s="45" t="str">
        <f aca="false">IF($G20="","",INDEX('Itens Inspecionados'!$E$3:$E$402,$G20))</f>
        <v/>
      </c>
      <c r="G20" s="0" t="str">
        <f aca="false">IFERROR(MATCH(CONCATENATE($B$5,"|",10),'Itens Inspecionados'!$G$3:$G$402,0),"")</f>
        <v/>
      </c>
    </row>
    <row r="21" customFormat="false" ht="18" hidden="false" customHeight="true" outlineLevel="0" collapsed="false">
      <c r="A21" s="46" t="str">
        <f aca="false">IF($G21="","",$B$3)</f>
        <v/>
      </c>
      <c r="B21" s="44" t="str">
        <f aca="false">IF($G21="","",$B$4)</f>
        <v/>
      </c>
      <c r="C21" s="47" t="str">
        <f aca="false">IF($G21="","",$B$5)</f>
        <v/>
      </c>
      <c r="D21" s="47" t="str">
        <f aca="false">IF($G21="","",INDEX('Itens Inspecionados'!$C$3:$C$402,$G21))</f>
        <v/>
      </c>
      <c r="E21" s="47" t="str">
        <f aca="false">IF($G21="","",INDEX('Itens Inspecionados'!$D$3:$D$402,$G21))</f>
        <v/>
      </c>
      <c r="F21" s="45" t="str">
        <f aca="false">IF($G21="","",INDEX('Itens Inspecionados'!$E$3:$E$402,$G21))</f>
        <v/>
      </c>
      <c r="G21" s="0" t="str">
        <f aca="false">IFERROR(MATCH(CONCATENATE($B$5,"|",11),'Itens Inspecionados'!$G$3:$G$402,0),"")</f>
        <v/>
      </c>
    </row>
    <row r="22" customFormat="false" ht="18" hidden="false" customHeight="true" outlineLevel="0" collapsed="false">
      <c r="A22" s="46" t="str">
        <f aca="false">IF($G22="","",$B$3)</f>
        <v/>
      </c>
      <c r="B22" s="44" t="str">
        <f aca="false">IF($G22="","",$B$4)</f>
        <v/>
      </c>
      <c r="C22" s="47" t="str">
        <f aca="false">IF($G22="","",$B$5)</f>
        <v/>
      </c>
      <c r="D22" s="47" t="str">
        <f aca="false">IF($G22="","",INDEX('Itens Inspecionados'!$C$3:$C$402,$G22))</f>
        <v/>
      </c>
      <c r="E22" s="47" t="str">
        <f aca="false">IF($G22="","",INDEX('Itens Inspecionados'!$D$3:$D$402,$G22))</f>
        <v/>
      </c>
      <c r="F22" s="45" t="str">
        <f aca="false">IF($G22="","",INDEX('Itens Inspecionados'!$E$3:$E$402,$G22))</f>
        <v/>
      </c>
      <c r="G22" s="0" t="str">
        <f aca="false">IFERROR(MATCH(CONCATENATE($B$5,"|",12),'Itens Inspecionados'!$G$3:$G$402,0),"")</f>
        <v/>
      </c>
    </row>
    <row r="23" customFormat="false" ht="18" hidden="false" customHeight="true" outlineLevel="0" collapsed="false">
      <c r="A23" s="46" t="str">
        <f aca="false">IF($G23="","",$B$3)</f>
        <v/>
      </c>
      <c r="B23" s="44" t="str">
        <f aca="false">IF($G23="","",$B$4)</f>
        <v/>
      </c>
      <c r="C23" s="47" t="str">
        <f aca="false">IF($G23="","",$B$5)</f>
        <v/>
      </c>
      <c r="D23" s="47" t="str">
        <f aca="false">IF($G23="","",INDEX('Itens Inspecionados'!$C$3:$C$402,$G23))</f>
        <v/>
      </c>
      <c r="E23" s="47" t="str">
        <f aca="false">IF($G23="","",INDEX('Itens Inspecionados'!$D$3:$D$402,$G23))</f>
        <v/>
      </c>
      <c r="F23" s="45" t="str">
        <f aca="false">IF($G23="","",INDEX('Itens Inspecionados'!$E$3:$E$402,$G23))</f>
        <v/>
      </c>
      <c r="G23" s="0" t="str">
        <f aca="false">IFERROR(MATCH(CONCATENATE($B$5,"|",13),'Itens Inspecionados'!$G$3:$G$402,0),"")</f>
        <v/>
      </c>
    </row>
    <row r="24" customFormat="false" ht="18" hidden="false" customHeight="true" outlineLevel="0" collapsed="false">
      <c r="A24" s="46" t="str">
        <f aca="false">IF($G24="","",$B$3)</f>
        <v/>
      </c>
      <c r="B24" s="44" t="str">
        <f aca="false">IF($G24="","",$B$4)</f>
        <v/>
      </c>
      <c r="C24" s="47" t="str">
        <f aca="false">IF($G24="","",$B$5)</f>
        <v/>
      </c>
      <c r="D24" s="47" t="str">
        <f aca="false">IF($G24="","",INDEX('Itens Inspecionados'!$C$3:$C$402,$G24))</f>
        <v/>
      </c>
      <c r="E24" s="47" t="str">
        <f aca="false">IF($G24="","",INDEX('Itens Inspecionados'!$D$3:$D$402,$G24))</f>
        <v/>
      </c>
      <c r="F24" s="45" t="str">
        <f aca="false">IF($G24="","",INDEX('Itens Inspecionados'!$E$3:$E$402,$G24))</f>
        <v/>
      </c>
      <c r="G24" s="0" t="str">
        <f aca="false">IFERROR(MATCH(CONCATENATE($B$5,"|",14),'Itens Inspecionados'!$G$3:$G$402,0),"")</f>
        <v/>
      </c>
    </row>
    <row r="25" customFormat="false" ht="18" hidden="false" customHeight="true" outlineLevel="0" collapsed="false">
      <c r="A25" s="46" t="str">
        <f aca="false">IF($G25="","",$B$3)</f>
        <v/>
      </c>
      <c r="B25" s="44" t="str">
        <f aca="false">IF($G25="","",$B$4)</f>
        <v/>
      </c>
      <c r="C25" s="47" t="str">
        <f aca="false">IF($G25="","",$B$5)</f>
        <v/>
      </c>
      <c r="D25" s="47" t="str">
        <f aca="false">IF($G25="","",INDEX('Itens Inspecionados'!$C$3:$C$402,$G25))</f>
        <v/>
      </c>
      <c r="E25" s="47" t="str">
        <f aca="false">IF($G25="","",INDEX('Itens Inspecionados'!$D$3:$D$402,$G25))</f>
        <v/>
      </c>
      <c r="F25" s="45" t="str">
        <f aca="false">IF($G25="","",INDEX('Itens Inspecionados'!$E$3:$E$402,$G25))</f>
        <v/>
      </c>
      <c r="G25" s="0" t="str">
        <f aca="false">IFERROR(MATCH(CONCATENATE($B$5,"|",15),'Itens Inspecionados'!$G$3:$G$402,0),"")</f>
        <v/>
      </c>
    </row>
    <row r="26" customFormat="false" ht="18" hidden="false" customHeight="true" outlineLevel="0" collapsed="false">
      <c r="A26" s="46" t="str">
        <f aca="false">IF($G26="","",$B$3)</f>
        <v/>
      </c>
      <c r="B26" s="44" t="str">
        <f aca="false">IF($G26="","",$B$4)</f>
        <v/>
      </c>
      <c r="C26" s="47" t="str">
        <f aca="false">IF($G26="","",$B$5)</f>
        <v/>
      </c>
      <c r="D26" s="47" t="str">
        <f aca="false">IF($G26="","",INDEX('Itens Inspecionados'!$C$3:$C$402,$G26))</f>
        <v/>
      </c>
      <c r="E26" s="47" t="str">
        <f aca="false">IF($G26="","",INDEX('Itens Inspecionados'!$D$3:$D$402,$G26))</f>
        <v/>
      </c>
      <c r="F26" s="45" t="str">
        <f aca="false">IF($G26="","",INDEX('Itens Inspecionados'!$E$3:$E$402,$G26))</f>
        <v/>
      </c>
      <c r="G26" s="0" t="str">
        <f aca="false">IFERROR(MATCH(CONCATENATE($B$5,"|",16),'Itens Inspecionados'!$G$3:$G$402,0),"")</f>
        <v/>
      </c>
    </row>
    <row r="27" customFormat="false" ht="18" hidden="false" customHeight="true" outlineLevel="0" collapsed="false">
      <c r="A27" s="46" t="str">
        <f aca="false">IF($G27="","",$B$3)</f>
        <v/>
      </c>
      <c r="B27" s="44" t="str">
        <f aca="false">IF($G27="","",$B$4)</f>
        <v/>
      </c>
      <c r="C27" s="47" t="str">
        <f aca="false">IF($G27="","",$B$5)</f>
        <v/>
      </c>
      <c r="D27" s="47" t="str">
        <f aca="false">IF($G27="","",INDEX('Itens Inspecionados'!$C$3:$C$402,$G27))</f>
        <v/>
      </c>
      <c r="E27" s="47" t="str">
        <f aca="false">IF($G27="","",INDEX('Itens Inspecionados'!$D$3:$D$402,$G27))</f>
        <v/>
      </c>
      <c r="F27" s="45" t="str">
        <f aca="false">IF($G27="","",INDEX('Itens Inspecionados'!$E$3:$E$402,$G27))</f>
        <v/>
      </c>
      <c r="G27" s="0" t="str">
        <f aca="false">IFERROR(MATCH(CONCATENATE($B$5,"|",17),'Itens Inspecionados'!$G$3:$G$402,0),"")</f>
        <v/>
      </c>
    </row>
    <row r="28" customFormat="false" ht="18" hidden="false" customHeight="true" outlineLevel="0" collapsed="false">
      <c r="A28" s="46" t="str">
        <f aca="false">IF($G28="","",$B$3)</f>
        <v/>
      </c>
      <c r="B28" s="44" t="str">
        <f aca="false">IF($G28="","",$B$4)</f>
        <v/>
      </c>
      <c r="C28" s="47" t="str">
        <f aca="false">IF($G28="","",$B$5)</f>
        <v/>
      </c>
      <c r="D28" s="47" t="str">
        <f aca="false">IF($G28="","",INDEX('Itens Inspecionados'!$C$3:$C$402,$G28))</f>
        <v/>
      </c>
      <c r="E28" s="47" t="str">
        <f aca="false">IF($G28="","",INDEX('Itens Inspecionados'!$D$3:$D$402,$G28))</f>
        <v/>
      </c>
      <c r="F28" s="45" t="str">
        <f aca="false">IF($G28="","",INDEX('Itens Inspecionados'!$E$3:$E$402,$G28))</f>
        <v/>
      </c>
      <c r="G28" s="0" t="str">
        <f aca="false">IFERROR(MATCH(CONCATENATE($B$5,"|",18),'Itens Inspecionados'!$G$3:$G$402,0),"")</f>
        <v/>
      </c>
    </row>
    <row r="29" customFormat="false" ht="18" hidden="false" customHeight="true" outlineLevel="0" collapsed="false">
      <c r="A29" s="46" t="str">
        <f aca="false">IF($G29="","",$B$3)</f>
        <v/>
      </c>
      <c r="B29" s="44" t="str">
        <f aca="false">IF($G29="","",$B$4)</f>
        <v/>
      </c>
      <c r="C29" s="47" t="str">
        <f aca="false">IF($G29="","",$B$5)</f>
        <v/>
      </c>
      <c r="D29" s="47" t="str">
        <f aca="false">IF($G29="","",INDEX('Itens Inspecionados'!$C$3:$C$402,$G29))</f>
        <v/>
      </c>
      <c r="E29" s="47" t="str">
        <f aca="false">IF($G29="","",INDEX('Itens Inspecionados'!$D$3:$D$402,$G29))</f>
        <v/>
      </c>
      <c r="F29" s="45" t="str">
        <f aca="false">IF($G29="","",INDEX('Itens Inspecionados'!$E$3:$E$402,$G29))</f>
        <v/>
      </c>
      <c r="G29" s="0" t="str">
        <f aca="false">IFERROR(MATCH(CONCATENATE($B$5,"|",19),'Itens Inspecionados'!$G$3:$G$402,0),"")</f>
        <v/>
      </c>
    </row>
    <row r="30" customFormat="false" ht="18" hidden="false" customHeight="true" outlineLevel="0" collapsed="false">
      <c r="A30" s="46" t="str">
        <f aca="false">IF($G30="","",$B$3)</f>
        <v/>
      </c>
      <c r="B30" s="44" t="str">
        <f aca="false">IF($G30="","",$B$4)</f>
        <v/>
      </c>
      <c r="C30" s="47" t="str">
        <f aca="false">IF($G30="","",$B$5)</f>
        <v/>
      </c>
      <c r="D30" s="47" t="str">
        <f aca="false">IF($G30="","",INDEX('Itens Inspecionados'!$C$3:$C$402,$G30))</f>
        <v/>
      </c>
      <c r="E30" s="47" t="str">
        <f aca="false">IF($G30="","",INDEX('Itens Inspecionados'!$D$3:$D$402,$G30))</f>
        <v/>
      </c>
      <c r="F30" s="45" t="str">
        <f aca="false">IF($G30="","",INDEX('Itens Inspecionados'!$E$3:$E$402,$G30))</f>
        <v/>
      </c>
      <c r="G30" s="0" t="str">
        <f aca="false">IFERROR(MATCH(CONCATENATE($B$5,"|",20),'Itens Inspecionados'!$G$3:$G$402,0),"")</f>
        <v/>
      </c>
    </row>
    <row r="31" customFormat="false" ht="18" hidden="false" customHeight="true" outlineLevel="0" collapsed="false">
      <c r="A31" s="46" t="str">
        <f aca="false">IF($G31="","",$B$3)</f>
        <v/>
      </c>
      <c r="B31" s="44" t="str">
        <f aca="false">IF($G31="","",$B$4)</f>
        <v/>
      </c>
      <c r="C31" s="47" t="str">
        <f aca="false">IF($G31="","",$B$5)</f>
        <v/>
      </c>
      <c r="D31" s="47" t="str">
        <f aca="false">IF($G31="","",INDEX('Itens Inspecionados'!$C$3:$C$402,$G31))</f>
        <v/>
      </c>
      <c r="E31" s="47" t="str">
        <f aca="false">IF($G31="","",INDEX('Itens Inspecionados'!$D$3:$D$402,$G31))</f>
        <v/>
      </c>
      <c r="F31" s="45" t="str">
        <f aca="false">IF($G31="","",INDEX('Itens Inspecionados'!$E$3:$E$402,$G31))</f>
        <v/>
      </c>
      <c r="G31" s="0" t="str">
        <f aca="false">IFERROR(MATCH(CONCATENATE($B$5,"|",21),'Itens Inspecionados'!$G$3:$G$402,0),"")</f>
        <v/>
      </c>
    </row>
    <row r="32" customFormat="false" ht="18" hidden="false" customHeight="true" outlineLevel="0" collapsed="false">
      <c r="A32" s="46" t="str">
        <f aca="false">IF($G32="","",$B$3)</f>
        <v/>
      </c>
      <c r="B32" s="44" t="str">
        <f aca="false">IF($G32="","",$B$4)</f>
        <v/>
      </c>
      <c r="C32" s="47" t="str">
        <f aca="false">IF($G32="","",$B$5)</f>
        <v/>
      </c>
      <c r="D32" s="47" t="str">
        <f aca="false">IF($G32="","",INDEX('Itens Inspecionados'!$C$3:$C$402,$G32))</f>
        <v/>
      </c>
      <c r="E32" s="47" t="str">
        <f aca="false">IF($G32="","",INDEX('Itens Inspecionados'!$D$3:$D$402,$G32))</f>
        <v/>
      </c>
      <c r="F32" s="45" t="str">
        <f aca="false">IF($G32="","",INDEX('Itens Inspecionados'!$E$3:$E$402,$G32))</f>
        <v/>
      </c>
      <c r="G32" s="0" t="str">
        <f aca="false">IFERROR(MATCH(CONCATENATE($B$5,"|",22),'Itens Inspecionados'!$G$3:$G$402,0),"")</f>
        <v/>
      </c>
    </row>
    <row r="33" customFormat="false" ht="18" hidden="false" customHeight="true" outlineLevel="0" collapsed="false">
      <c r="A33" s="46" t="str">
        <f aca="false">IF($G33="","",$B$3)</f>
        <v/>
      </c>
      <c r="B33" s="44" t="str">
        <f aca="false">IF($G33="","",$B$4)</f>
        <v/>
      </c>
      <c r="C33" s="47" t="str">
        <f aca="false">IF($G33="","",$B$5)</f>
        <v/>
      </c>
      <c r="D33" s="47" t="str">
        <f aca="false">IF($G33="","",INDEX('Itens Inspecionados'!$C$3:$C$402,$G33))</f>
        <v/>
      </c>
      <c r="E33" s="47" t="str">
        <f aca="false">IF($G33="","",INDEX('Itens Inspecionados'!$D$3:$D$402,$G33))</f>
        <v/>
      </c>
      <c r="F33" s="45" t="str">
        <f aca="false">IF($G33="","",INDEX('Itens Inspecionados'!$E$3:$E$402,$G33))</f>
        <v/>
      </c>
      <c r="G33" s="0" t="str">
        <f aca="false">IFERROR(MATCH(CONCATENATE($B$5,"|",23),'Itens Inspecionados'!$G$3:$G$402,0),"")</f>
        <v/>
      </c>
    </row>
    <row r="34" customFormat="false" ht="18" hidden="false" customHeight="true" outlineLevel="0" collapsed="false">
      <c r="A34" s="46" t="str">
        <f aca="false">IF($G34="","",$B$3)</f>
        <v/>
      </c>
      <c r="B34" s="44" t="str">
        <f aca="false">IF($G34="","",$B$4)</f>
        <v/>
      </c>
      <c r="C34" s="47" t="str">
        <f aca="false">IF($G34="","",$B$5)</f>
        <v/>
      </c>
      <c r="D34" s="47" t="str">
        <f aca="false">IF($G34="","",INDEX('Itens Inspecionados'!$C$3:$C$402,$G34))</f>
        <v/>
      </c>
      <c r="E34" s="47" t="str">
        <f aca="false">IF($G34="","",INDEX('Itens Inspecionados'!$D$3:$D$402,$G34))</f>
        <v/>
      </c>
      <c r="F34" s="45" t="str">
        <f aca="false">IF($G34="","",INDEX('Itens Inspecionados'!$E$3:$E$402,$G34))</f>
        <v/>
      </c>
      <c r="G34" s="0" t="str">
        <f aca="false">IFERROR(MATCH(CONCATENATE($B$5,"|",24),'Itens Inspecionados'!$G$3:$G$402,0),"")</f>
        <v/>
      </c>
    </row>
    <row r="35" customFormat="false" ht="18" hidden="false" customHeight="true" outlineLevel="0" collapsed="false">
      <c r="A35" s="46" t="str">
        <f aca="false">IF($G35="","",$B$3)</f>
        <v/>
      </c>
      <c r="B35" s="44" t="str">
        <f aca="false">IF($G35="","",$B$4)</f>
        <v/>
      </c>
      <c r="C35" s="47" t="str">
        <f aca="false">IF($G35="","",$B$5)</f>
        <v/>
      </c>
      <c r="D35" s="47" t="str">
        <f aca="false">IF($G35="","",INDEX('Itens Inspecionados'!$C$3:$C$402,$G35))</f>
        <v/>
      </c>
      <c r="E35" s="47" t="str">
        <f aca="false">IF($G35="","",INDEX('Itens Inspecionados'!$D$3:$D$402,$G35))</f>
        <v/>
      </c>
      <c r="F35" s="45" t="str">
        <f aca="false">IF($G35="","",INDEX('Itens Inspecionados'!$E$3:$E$402,$G35))</f>
        <v/>
      </c>
      <c r="G35" s="0" t="str">
        <f aca="false">IFERROR(MATCH(CONCATENATE($B$5,"|",25),'Itens Inspecionados'!$G$3:$G$402,0),"")</f>
        <v/>
      </c>
    </row>
    <row r="36" customFormat="false" ht="18" hidden="false" customHeight="true" outlineLevel="0" collapsed="false">
      <c r="A36" s="46" t="str">
        <f aca="false">IF($G36="","",$B$3)</f>
        <v/>
      </c>
      <c r="B36" s="44" t="str">
        <f aca="false">IF($G36="","",$B$4)</f>
        <v/>
      </c>
      <c r="C36" s="47" t="str">
        <f aca="false">IF($G36="","",$B$5)</f>
        <v/>
      </c>
      <c r="D36" s="47" t="str">
        <f aca="false">IF($G36="","",INDEX('Itens Inspecionados'!$C$3:$C$402,$G36))</f>
        <v/>
      </c>
      <c r="E36" s="47" t="str">
        <f aca="false">IF($G36="","",INDEX('Itens Inspecionados'!$D$3:$D$402,$G36))</f>
        <v/>
      </c>
      <c r="F36" s="45" t="str">
        <f aca="false">IF($G36="","",INDEX('Itens Inspecionados'!$E$3:$E$402,$G36))</f>
        <v/>
      </c>
      <c r="G36" s="0" t="str">
        <f aca="false">IFERROR(MATCH(CONCATENATE($B$5,"|",26),'Itens Inspecionados'!$G$3:$G$402,0),"")</f>
        <v/>
      </c>
    </row>
    <row r="37" customFormat="false" ht="18" hidden="false" customHeight="true" outlineLevel="0" collapsed="false">
      <c r="A37" s="46" t="str">
        <f aca="false">IF($G37="","",$B$3)</f>
        <v/>
      </c>
      <c r="B37" s="44" t="str">
        <f aca="false">IF($G37="","",$B$4)</f>
        <v/>
      </c>
      <c r="C37" s="47" t="str">
        <f aca="false">IF($G37="","",$B$5)</f>
        <v/>
      </c>
      <c r="D37" s="47" t="str">
        <f aca="false">IF($G37="","",INDEX('Itens Inspecionados'!$C$3:$C$402,$G37))</f>
        <v/>
      </c>
      <c r="E37" s="47" t="str">
        <f aca="false">IF($G37="","",INDEX('Itens Inspecionados'!$D$3:$D$402,$G37))</f>
        <v/>
      </c>
      <c r="F37" s="45" t="str">
        <f aca="false">IF($G37="","",INDEX('Itens Inspecionados'!$E$3:$E$402,$G37))</f>
        <v/>
      </c>
      <c r="G37" s="0" t="str">
        <f aca="false">IFERROR(MATCH(CONCATENATE($B$5,"|",27),'Itens Inspecionados'!$G$3:$G$402,0),"")</f>
        <v/>
      </c>
    </row>
    <row r="38" customFormat="false" ht="18" hidden="false" customHeight="true" outlineLevel="0" collapsed="false">
      <c r="A38" s="46" t="str">
        <f aca="false">IF($G38="","",$B$3)</f>
        <v/>
      </c>
      <c r="B38" s="44" t="str">
        <f aca="false">IF($G38="","",$B$4)</f>
        <v/>
      </c>
      <c r="C38" s="47" t="str">
        <f aca="false">IF($G38="","",$B$5)</f>
        <v/>
      </c>
      <c r="D38" s="47" t="str">
        <f aca="false">IF($G38="","",INDEX('Itens Inspecionados'!$C$3:$C$402,$G38))</f>
        <v/>
      </c>
      <c r="E38" s="47" t="str">
        <f aca="false">IF($G38="","",INDEX('Itens Inspecionados'!$D$3:$D$402,$G38))</f>
        <v/>
      </c>
      <c r="F38" s="45" t="str">
        <f aca="false">IF($G38="","",INDEX('Itens Inspecionados'!$E$3:$E$402,$G38))</f>
        <v/>
      </c>
      <c r="G38" s="0" t="str">
        <f aca="false">IFERROR(MATCH(CONCATENATE($B$5,"|",28),'Itens Inspecionados'!$G$3:$G$402,0),"")</f>
        <v/>
      </c>
    </row>
    <row r="39" customFormat="false" ht="18" hidden="false" customHeight="true" outlineLevel="0" collapsed="false">
      <c r="A39" s="46" t="str">
        <f aca="false">IF($G39="","",$B$3)</f>
        <v/>
      </c>
      <c r="B39" s="44" t="str">
        <f aca="false">IF($G39="","",$B$4)</f>
        <v/>
      </c>
      <c r="C39" s="47" t="str">
        <f aca="false">IF($G39="","",$B$5)</f>
        <v/>
      </c>
      <c r="D39" s="47" t="str">
        <f aca="false">IF($G39="","",INDEX('Itens Inspecionados'!$C$3:$C$402,$G39))</f>
        <v/>
      </c>
      <c r="E39" s="47" t="str">
        <f aca="false">IF($G39="","",INDEX('Itens Inspecionados'!$D$3:$D$402,$G39))</f>
        <v/>
      </c>
      <c r="F39" s="45" t="str">
        <f aca="false">IF($G39="","",INDEX('Itens Inspecionados'!$E$3:$E$402,$G39))</f>
        <v/>
      </c>
      <c r="G39" s="0" t="str">
        <f aca="false">IFERROR(MATCH(CONCATENATE($B$5,"|",29),'Itens Inspecionados'!$G$3:$G$402,0),"")</f>
        <v/>
      </c>
    </row>
    <row r="40" customFormat="false" ht="18" hidden="false" customHeight="true" outlineLevel="0" collapsed="false">
      <c r="A40" s="46" t="str">
        <f aca="false">IF($G40="","",$B$3)</f>
        <v/>
      </c>
      <c r="B40" s="44" t="str">
        <f aca="false">IF($G40="","",$B$4)</f>
        <v/>
      </c>
      <c r="C40" s="47" t="str">
        <f aca="false">IF($G40="","",$B$5)</f>
        <v/>
      </c>
      <c r="D40" s="47" t="str">
        <f aca="false">IF($G40="","",INDEX('Itens Inspecionados'!$C$3:$C$402,$G40))</f>
        <v/>
      </c>
      <c r="E40" s="47" t="str">
        <f aca="false">IF($G40="","",INDEX('Itens Inspecionados'!$D$3:$D$402,$G40))</f>
        <v/>
      </c>
      <c r="F40" s="45" t="str">
        <f aca="false">IF($G40="","",INDEX('Itens Inspecionados'!$E$3:$E$402,$G40))</f>
        <v/>
      </c>
      <c r="G40" s="0" t="str">
        <f aca="false">IFERROR(MATCH(CONCATENATE($B$5,"|",30),'Itens Inspecionados'!$G$3:$G$402,0),"")</f>
        <v/>
      </c>
    </row>
    <row r="41" customFormat="false" ht="18" hidden="false" customHeight="true" outlineLevel="0" collapsed="false">
      <c r="A41" s="46" t="str">
        <f aca="false">IF($G41="","",$B$3)</f>
        <v/>
      </c>
      <c r="B41" s="44" t="str">
        <f aca="false">IF($G41="","",$B$4)</f>
        <v/>
      </c>
      <c r="C41" s="47" t="str">
        <f aca="false">IF($G41="","",$B$5)</f>
        <v/>
      </c>
      <c r="D41" s="47" t="str">
        <f aca="false">IF($G41="","",INDEX('Itens Inspecionados'!$C$3:$C$402,$G41))</f>
        <v/>
      </c>
      <c r="E41" s="47" t="str">
        <f aca="false">IF($G41="","",INDEX('Itens Inspecionados'!$D$3:$D$402,$G41))</f>
        <v/>
      </c>
      <c r="F41" s="45" t="str">
        <f aca="false">IF($G41="","",INDEX('Itens Inspecionados'!$E$3:$E$402,$G41))</f>
        <v/>
      </c>
      <c r="G41" s="0" t="str">
        <f aca="false">IFERROR(MATCH(CONCATENATE($B$5,"|",31),'Itens Inspecionados'!$G$3:$G$402,0),"")</f>
        <v/>
      </c>
    </row>
    <row r="42" customFormat="false" ht="18" hidden="false" customHeight="true" outlineLevel="0" collapsed="false">
      <c r="A42" s="46" t="str">
        <f aca="false">IF($G42="","",$B$3)</f>
        <v/>
      </c>
      <c r="B42" s="44" t="str">
        <f aca="false">IF($G42="","",$B$4)</f>
        <v/>
      </c>
      <c r="C42" s="47" t="str">
        <f aca="false">IF($G42="","",$B$5)</f>
        <v/>
      </c>
      <c r="D42" s="47" t="str">
        <f aca="false">IF($G42="","",INDEX('Itens Inspecionados'!$C$3:$C$402,$G42))</f>
        <v/>
      </c>
      <c r="E42" s="47" t="str">
        <f aca="false">IF($G42="","",INDEX('Itens Inspecionados'!$D$3:$D$402,$G42))</f>
        <v/>
      </c>
      <c r="F42" s="45" t="str">
        <f aca="false">IF($G42="","",INDEX('Itens Inspecionados'!$E$3:$E$402,$G42))</f>
        <v/>
      </c>
      <c r="G42" s="0" t="str">
        <f aca="false">IFERROR(MATCH(CONCATENATE($B$5,"|",32),'Itens Inspecionados'!$G$3:$G$402,0),"")</f>
        <v/>
      </c>
    </row>
    <row r="43" customFormat="false" ht="18" hidden="false" customHeight="true" outlineLevel="0" collapsed="false">
      <c r="A43" s="46" t="str">
        <f aca="false">IF($G43="","",$B$3)</f>
        <v/>
      </c>
      <c r="B43" s="44" t="str">
        <f aca="false">IF($G43="","",$B$4)</f>
        <v/>
      </c>
      <c r="C43" s="47" t="str">
        <f aca="false">IF($G43="","",$B$5)</f>
        <v/>
      </c>
      <c r="D43" s="47" t="str">
        <f aca="false">IF($G43="","",INDEX('Itens Inspecionados'!$C$3:$C$402,$G43))</f>
        <v/>
      </c>
      <c r="E43" s="47" t="str">
        <f aca="false">IF($G43="","",INDEX('Itens Inspecionados'!$D$3:$D$402,$G43))</f>
        <v/>
      </c>
      <c r="F43" s="45" t="str">
        <f aca="false">IF($G43="","",INDEX('Itens Inspecionados'!$E$3:$E$402,$G43))</f>
        <v/>
      </c>
      <c r="G43" s="0" t="str">
        <f aca="false">IFERROR(MATCH(CONCATENATE($B$5,"|",33),'Itens Inspecionados'!$G$3:$G$402,0),"")</f>
        <v/>
      </c>
    </row>
    <row r="44" customFormat="false" ht="18" hidden="false" customHeight="true" outlineLevel="0" collapsed="false">
      <c r="A44" s="46" t="str">
        <f aca="false">IF($G44="","",$B$3)</f>
        <v/>
      </c>
      <c r="B44" s="44" t="str">
        <f aca="false">IF($G44="","",$B$4)</f>
        <v/>
      </c>
      <c r="C44" s="47" t="str">
        <f aca="false">IF($G44="","",$B$5)</f>
        <v/>
      </c>
      <c r="D44" s="47" t="str">
        <f aca="false">IF($G44="","",INDEX('Itens Inspecionados'!$C$3:$C$402,$G44))</f>
        <v/>
      </c>
      <c r="E44" s="47" t="str">
        <f aca="false">IF($G44="","",INDEX('Itens Inspecionados'!$D$3:$D$402,$G44))</f>
        <v/>
      </c>
      <c r="F44" s="45" t="str">
        <f aca="false">IF($G44="","",INDEX('Itens Inspecionados'!$E$3:$E$402,$G44))</f>
        <v/>
      </c>
      <c r="G44" s="0" t="str">
        <f aca="false">IFERROR(MATCH(CONCATENATE($B$5,"|",34),'Itens Inspecionados'!$G$3:$G$402,0),"")</f>
        <v/>
      </c>
    </row>
    <row r="45" customFormat="false" ht="18" hidden="false" customHeight="true" outlineLevel="0" collapsed="false">
      <c r="A45" s="46" t="str">
        <f aca="false">IF($G45="","",$B$3)</f>
        <v/>
      </c>
      <c r="B45" s="44" t="str">
        <f aca="false">IF($G45="","",$B$4)</f>
        <v/>
      </c>
      <c r="C45" s="47" t="str">
        <f aca="false">IF($G45="","",$B$5)</f>
        <v/>
      </c>
      <c r="D45" s="47" t="str">
        <f aca="false">IF($G45="","",INDEX('Itens Inspecionados'!$C$3:$C$402,$G45))</f>
        <v/>
      </c>
      <c r="E45" s="47" t="str">
        <f aca="false">IF($G45="","",INDEX('Itens Inspecionados'!$D$3:$D$402,$G45))</f>
        <v/>
      </c>
      <c r="F45" s="45" t="str">
        <f aca="false">IF($G45="","",INDEX('Itens Inspecionados'!$E$3:$E$402,$G45))</f>
        <v/>
      </c>
      <c r="G45" s="0" t="str">
        <f aca="false">IFERROR(MATCH(CONCATENATE($B$5,"|",35),'Itens Inspecionados'!$G$3:$G$402,0),"")</f>
        <v/>
      </c>
    </row>
    <row r="46" customFormat="false" ht="18" hidden="false" customHeight="true" outlineLevel="0" collapsed="false">
      <c r="A46" s="46" t="str">
        <f aca="false">IF($G46="","",$B$3)</f>
        <v/>
      </c>
      <c r="B46" s="44" t="str">
        <f aca="false">IF($G46="","",$B$4)</f>
        <v/>
      </c>
      <c r="C46" s="47" t="str">
        <f aca="false">IF($G46="","",$B$5)</f>
        <v/>
      </c>
      <c r="D46" s="47" t="str">
        <f aca="false">IF($G46="","",INDEX('Itens Inspecionados'!$C$3:$C$402,$G46))</f>
        <v/>
      </c>
      <c r="E46" s="47" t="str">
        <f aca="false">IF($G46="","",INDEX('Itens Inspecionados'!$D$3:$D$402,$G46))</f>
        <v/>
      </c>
      <c r="F46" s="45" t="str">
        <f aca="false">IF($G46="","",INDEX('Itens Inspecionados'!$E$3:$E$402,$G46))</f>
        <v/>
      </c>
      <c r="G46" s="0" t="str">
        <f aca="false">IFERROR(MATCH(CONCATENATE($B$5,"|",36),'Itens Inspecionados'!$G$3:$G$402,0),"")</f>
        <v/>
      </c>
    </row>
    <row r="47" customFormat="false" ht="18" hidden="false" customHeight="true" outlineLevel="0" collapsed="false">
      <c r="A47" s="46" t="str">
        <f aca="false">IF($G47="","",$B$3)</f>
        <v/>
      </c>
      <c r="B47" s="44" t="str">
        <f aca="false">IF($G47="","",$B$4)</f>
        <v/>
      </c>
      <c r="C47" s="47" t="str">
        <f aca="false">IF($G47="","",$B$5)</f>
        <v/>
      </c>
      <c r="D47" s="47" t="str">
        <f aca="false">IF($G47="","",INDEX('Itens Inspecionados'!$C$3:$C$402,$G47))</f>
        <v/>
      </c>
      <c r="E47" s="47" t="str">
        <f aca="false">IF($G47="","",INDEX('Itens Inspecionados'!$D$3:$D$402,$G47))</f>
        <v/>
      </c>
      <c r="F47" s="45" t="str">
        <f aca="false">IF($G47="","",INDEX('Itens Inspecionados'!$E$3:$E$402,$G47))</f>
        <v/>
      </c>
      <c r="G47" s="0" t="str">
        <f aca="false">IFERROR(MATCH(CONCATENATE($B$5,"|",37),'Itens Inspecionados'!$G$3:$G$402,0),"")</f>
        <v/>
      </c>
    </row>
    <row r="48" customFormat="false" ht="18" hidden="false" customHeight="true" outlineLevel="0" collapsed="false">
      <c r="A48" s="46" t="str">
        <f aca="false">IF($G48="","",$B$3)</f>
        <v/>
      </c>
      <c r="B48" s="44" t="str">
        <f aca="false">IF($G48="","",$B$4)</f>
        <v/>
      </c>
      <c r="C48" s="47" t="str">
        <f aca="false">IF($G48="","",$B$5)</f>
        <v/>
      </c>
      <c r="D48" s="47" t="str">
        <f aca="false">IF($G48="","",INDEX('Itens Inspecionados'!$C$3:$C$402,$G48))</f>
        <v/>
      </c>
      <c r="E48" s="47" t="str">
        <f aca="false">IF($G48="","",INDEX('Itens Inspecionados'!$D$3:$D$402,$G48))</f>
        <v/>
      </c>
      <c r="F48" s="45" t="str">
        <f aca="false">IF($G48="","",INDEX('Itens Inspecionados'!$E$3:$E$402,$G48))</f>
        <v/>
      </c>
      <c r="G48" s="0" t="str">
        <f aca="false">IFERROR(MATCH(CONCATENATE($B$5,"|",38),'Itens Inspecionados'!$G$3:$G$402,0),"")</f>
        <v/>
      </c>
    </row>
    <row r="49" customFormat="false" ht="18" hidden="false" customHeight="true" outlineLevel="0" collapsed="false">
      <c r="A49" s="46" t="str">
        <f aca="false">IF($G49="","",$B$3)</f>
        <v/>
      </c>
      <c r="B49" s="44" t="str">
        <f aca="false">IF($G49="","",$B$4)</f>
        <v/>
      </c>
      <c r="C49" s="47" t="str">
        <f aca="false">IF($G49="","",$B$5)</f>
        <v/>
      </c>
      <c r="D49" s="47" t="str">
        <f aca="false">IF($G49="","",INDEX('Itens Inspecionados'!$C$3:$C$402,$G49))</f>
        <v/>
      </c>
      <c r="E49" s="47" t="str">
        <f aca="false">IF($G49="","",INDEX('Itens Inspecionados'!$D$3:$D$402,$G49))</f>
        <v/>
      </c>
      <c r="F49" s="45" t="str">
        <f aca="false">IF($G49="","",INDEX('Itens Inspecionados'!$E$3:$E$402,$G49))</f>
        <v/>
      </c>
      <c r="G49" s="0" t="str">
        <f aca="false">IFERROR(MATCH(CONCATENATE($B$5,"|",39),'Itens Inspecionados'!$G$3:$G$402,0),"")</f>
        <v/>
      </c>
    </row>
    <row r="50" customFormat="false" ht="18" hidden="false" customHeight="true" outlineLevel="0" collapsed="false">
      <c r="A50" s="46" t="str">
        <f aca="false">IF($G50="","",$B$3)</f>
        <v/>
      </c>
      <c r="B50" s="44" t="str">
        <f aca="false">IF($G50="","",$B$4)</f>
        <v/>
      </c>
      <c r="C50" s="47" t="str">
        <f aca="false">IF($G50="","",$B$5)</f>
        <v/>
      </c>
      <c r="D50" s="47" t="str">
        <f aca="false">IF($G50="","",INDEX('Itens Inspecionados'!$C$3:$C$402,$G50))</f>
        <v/>
      </c>
      <c r="E50" s="47" t="str">
        <f aca="false">IF($G50="","",INDEX('Itens Inspecionados'!$D$3:$D$402,$G50))</f>
        <v/>
      </c>
      <c r="F50" s="45" t="str">
        <f aca="false">IF($G50="","",INDEX('Itens Inspecionados'!$E$3:$E$402,$G50))</f>
        <v/>
      </c>
      <c r="G50" s="0" t="str">
        <f aca="false">IFERROR(MATCH(CONCATENATE($B$5,"|",40),'Itens Inspecionados'!$G$3:$G$402,0),"")</f>
        <v/>
      </c>
    </row>
    <row r="51" customFormat="false" ht="18" hidden="false" customHeight="true" outlineLevel="0" collapsed="false">
      <c r="A51" s="46" t="str">
        <f aca="false">IF($G51="","",$B$3)</f>
        <v/>
      </c>
      <c r="B51" s="44" t="str">
        <f aca="false">IF($G51="","",$B$4)</f>
        <v/>
      </c>
      <c r="C51" s="47" t="str">
        <f aca="false">IF($G51="","",$B$5)</f>
        <v/>
      </c>
      <c r="D51" s="47" t="str">
        <f aca="false">IF($G51="","",INDEX('Itens Inspecionados'!$C$3:$C$402,$G51))</f>
        <v/>
      </c>
      <c r="E51" s="47" t="str">
        <f aca="false">IF($G51="","",INDEX('Itens Inspecionados'!$D$3:$D$402,$G51))</f>
        <v/>
      </c>
      <c r="F51" s="45" t="str">
        <f aca="false">IF($G51="","",INDEX('Itens Inspecionados'!$E$3:$E$402,$G51))</f>
        <v/>
      </c>
      <c r="G51" s="0" t="str">
        <f aca="false">IFERROR(MATCH(CONCATENATE($B$5,"|",41),'Itens Inspecionados'!$G$3:$G$402,0),"")</f>
        <v/>
      </c>
    </row>
    <row r="52" customFormat="false" ht="18" hidden="false" customHeight="true" outlineLevel="0" collapsed="false">
      <c r="A52" s="46" t="str">
        <f aca="false">IF($G52="","",$B$3)</f>
        <v/>
      </c>
      <c r="B52" s="44" t="str">
        <f aca="false">IF($G52="","",$B$4)</f>
        <v/>
      </c>
      <c r="C52" s="47" t="str">
        <f aca="false">IF($G52="","",$B$5)</f>
        <v/>
      </c>
      <c r="D52" s="47" t="str">
        <f aca="false">IF($G52="","",INDEX('Itens Inspecionados'!$C$3:$C$402,$G52))</f>
        <v/>
      </c>
      <c r="E52" s="47" t="str">
        <f aca="false">IF($G52="","",INDEX('Itens Inspecionados'!$D$3:$D$402,$G52))</f>
        <v/>
      </c>
      <c r="F52" s="45" t="str">
        <f aca="false">IF($G52="","",INDEX('Itens Inspecionados'!$E$3:$E$402,$G52))</f>
        <v/>
      </c>
      <c r="G52" s="0" t="str">
        <f aca="false">IFERROR(MATCH(CONCATENATE($B$5,"|",42),'Itens Inspecionados'!$G$3:$G$402,0),"")</f>
        <v/>
      </c>
    </row>
    <row r="53" customFormat="false" ht="18" hidden="false" customHeight="true" outlineLevel="0" collapsed="false">
      <c r="A53" s="46" t="str">
        <f aca="false">IF($G53="","",$B$3)</f>
        <v/>
      </c>
      <c r="B53" s="44" t="str">
        <f aca="false">IF($G53="","",$B$4)</f>
        <v/>
      </c>
      <c r="C53" s="47" t="str">
        <f aca="false">IF($G53="","",$B$5)</f>
        <v/>
      </c>
      <c r="D53" s="47" t="str">
        <f aca="false">IF($G53="","",INDEX('Itens Inspecionados'!$C$3:$C$402,$G53))</f>
        <v/>
      </c>
      <c r="E53" s="47" t="str">
        <f aca="false">IF($G53="","",INDEX('Itens Inspecionados'!$D$3:$D$402,$G53))</f>
        <v/>
      </c>
      <c r="F53" s="45" t="str">
        <f aca="false">IF($G53="","",INDEX('Itens Inspecionados'!$E$3:$E$402,$G53))</f>
        <v/>
      </c>
      <c r="G53" s="0" t="str">
        <f aca="false">IFERROR(MATCH(CONCATENATE($B$5,"|",43),'Itens Inspecionados'!$G$3:$G$402,0),"")</f>
        <v/>
      </c>
    </row>
    <row r="54" customFormat="false" ht="18" hidden="false" customHeight="true" outlineLevel="0" collapsed="false">
      <c r="A54" s="46" t="str">
        <f aca="false">IF($G54="","",$B$3)</f>
        <v/>
      </c>
      <c r="B54" s="44" t="str">
        <f aca="false">IF($G54="","",$B$4)</f>
        <v/>
      </c>
      <c r="C54" s="47" t="str">
        <f aca="false">IF($G54="","",$B$5)</f>
        <v/>
      </c>
      <c r="D54" s="47" t="str">
        <f aca="false">IF($G54="","",INDEX('Itens Inspecionados'!$C$3:$C$402,$G54))</f>
        <v/>
      </c>
      <c r="E54" s="47" t="str">
        <f aca="false">IF($G54="","",INDEX('Itens Inspecionados'!$D$3:$D$402,$G54))</f>
        <v/>
      </c>
      <c r="F54" s="45" t="str">
        <f aca="false">IF($G54="","",INDEX('Itens Inspecionados'!$E$3:$E$402,$G54))</f>
        <v/>
      </c>
      <c r="G54" s="0" t="str">
        <f aca="false">IFERROR(MATCH(CONCATENATE($B$5,"|",44),'Itens Inspecionados'!$G$3:$G$402,0),"")</f>
        <v/>
      </c>
    </row>
    <row r="55" customFormat="false" ht="18" hidden="false" customHeight="true" outlineLevel="0" collapsed="false">
      <c r="A55" s="46" t="str">
        <f aca="false">IF($G55="","",$B$3)</f>
        <v/>
      </c>
      <c r="B55" s="44" t="str">
        <f aca="false">IF($G55="","",$B$4)</f>
        <v/>
      </c>
      <c r="C55" s="47" t="str">
        <f aca="false">IF($G55="","",$B$5)</f>
        <v/>
      </c>
      <c r="D55" s="47" t="str">
        <f aca="false">IF($G55="","",INDEX('Itens Inspecionados'!$C$3:$C$402,$G55))</f>
        <v/>
      </c>
      <c r="E55" s="47" t="str">
        <f aca="false">IF($G55="","",INDEX('Itens Inspecionados'!$D$3:$D$402,$G55))</f>
        <v/>
      </c>
      <c r="F55" s="45" t="str">
        <f aca="false">IF($G55="","",INDEX('Itens Inspecionados'!$E$3:$E$402,$G55))</f>
        <v/>
      </c>
      <c r="G55" s="0" t="str">
        <f aca="false">IFERROR(MATCH(CONCATENATE($B$5,"|",45),'Itens Inspecionados'!$G$3:$G$402,0),"")</f>
        <v/>
      </c>
    </row>
    <row r="56" customFormat="false" ht="18" hidden="false" customHeight="true" outlineLevel="0" collapsed="false">
      <c r="A56" s="46" t="str">
        <f aca="false">IF($G56="","",$B$3)</f>
        <v/>
      </c>
      <c r="B56" s="44" t="str">
        <f aca="false">IF($G56="","",$B$4)</f>
        <v/>
      </c>
      <c r="C56" s="47" t="str">
        <f aca="false">IF($G56="","",$B$5)</f>
        <v/>
      </c>
      <c r="D56" s="47" t="str">
        <f aca="false">IF($G56="","",INDEX('Itens Inspecionados'!$C$3:$C$402,$G56))</f>
        <v/>
      </c>
      <c r="E56" s="47" t="str">
        <f aca="false">IF($G56="","",INDEX('Itens Inspecionados'!$D$3:$D$402,$G56))</f>
        <v/>
      </c>
      <c r="F56" s="45" t="str">
        <f aca="false">IF($G56="","",INDEX('Itens Inspecionados'!$E$3:$E$402,$G56))</f>
        <v/>
      </c>
      <c r="G56" s="0" t="str">
        <f aca="false">IFERROR(MATCH(CONCATENATE($B$5,"|",46),'Itens Inspecionados'!$G$3:$G$402,0),"")</f>
        <v/>
      </c>
    </row>
    <row r="57" customFormat="false" ht="18" hidden="false" customHeight="true" outlineLevel="0" collapsed="false">
      <c r="A57" s="46" t="str">
        <f aca="false">IF($G57="","",$B$3)</f>
        <v/>
      </c>
      <c r="B57" s="44" t="str">
        <f aca="false">IF($G57="","",$B$4)</f>
        <v/>
      </c>
      <c r="C57" s="47" t="str">
        <f aca="false">IF($G57="","",$B$5)</f>
        <v/>
      </c>
      <c r="D57" s="47" t="str">
        <f aca="false">IF($G57="","",INDEX('Itens Inspecionados'!$C$3:$C$402,$G57))</f>
        <v/>
      </c>
      <c r="E57" s="47" t="str">
        <f aca="false">IF($G57="","",INDEX('Itens Inspecionados'!$D$3:$D$402,$G57))</f>
        <v/>
      </c>
      <c r="F57" s="45" t="str">
        <f aca="false">IF($G57="","",INDEX('Itens Inspecionados'!$E$3:$E$402,$G57))</f>
        <v/>
      </c>
      <c r="G57" s="0" t="str">
        <f aca="false">IFERROR(MATCH(CONCATENATE($B$5,"|",47),'Itens Inspecionados'!$G$3:$G$402,0),"")</f>
        <v/>
      </c>
    </row>
    <row r="58" customFormat="false" ht="18" hidden="false" customHeight="true" outlineLevel="0" collapsed="false">
      <c r="A58" s="46" t="str">
        <f aca="false">IF($G58="","",$B$3)</f>
        <v/>
      </c>
      <c r="B58" s="44" t="str">
        <f aca="false">IF($G58="","",$B$4)</f>
        <v/>
      </c>
      <c r="C58" s="47" t="str">
        <f aca="false">IF($G58="","",$B$5)</f>
        <v/>
      </c>
      <c r="D58" s="47" t="str">
        <f aca="false">IF($G58="","",INDEX('Itens Inspecionados'!$C$3:$C$402,$G58))</f>
        <v/>
      </c>
      <c r="E58" s="47" t="str">
        <f aca="false">IF($G58="","",INDEX('Itens Inspecionados'!$D$3:$D$402,$G58))</f>
        <v/>
      </c>
      <c r="F58" s="45" t="str">
        <f aca="false">IF($G58="","",INDEX('Itens Inspecionados'!$E$3:$E$402,$G58))</f>
        <v/>
      </c>
      <c r="G58" s="0" t="str">
        <f aca="false">IFERROR(MATCH(CONCATENATE($B$5,"|",48),'Itens Inspecionados'!$G$3:$G$402,0),"")</f>
        <v/>
      </c>
    </row>
    <row r="59" customFormat="false" ht="18" hidden="false" customHeight="true" outlineLevel="0" collapsed="false">
      <c r="A59" s="46" t="str">
        <f aca="false">IF($G59="","",$B$3)</f>
        <v/>
      </c>
      <c r="B59" s="44" t="str">
        <f aca="false">IF($G59="","",$B$4)</f>
        <v/>
      </c>
      <c r="C59" s="47" t="str">
        <f aca="false">IF($G59="","",$B$5)</f>
        <v/>
      </c>
      <c r="D59" s="47" t="str">
        <f aca="false">IF($G59="","",INDEX('Itens Inspecionados'!$C$3:$C$402,$G59))</f>
        <v/>
      </c>
      <c r="E59" s="47" t="str">
        <f aca="false">IF($G59="","",INDEX('Itens Inspecionados'!$D$3:$D$402,$G59))</f>
        <v/>
      </c>
      <c r="F59" s="45" t="str">
        <f aca="false">IF($G59="","",INDEX('Itens Inspecionados'!$E$3:$E$402,$G59))</f>
        <v/>
      </c>
      <c r="G59" s="0" t="str">
        <f aca="false">IFERROR(MATCH(CONCATENATE($B$5,"|",49),'Itens Inspecionados'!$G$3:$G$402,0),"")</f>
        <v/>
      </c>
    </row>
    <row r="60" customFormat="false" ht="18" hidden="false" customHeight="true" outlineLevel="0" collapsed="false">
      <c r="A60" s="46" t="str">
        <f aca="false">IF($G60="","",$B$3)</f>
        <v/>
      </c>
      <c r="B60" s="44" t="str">
        <f aca="false">IF($G60="","",$B$4)</f>
        <v/>
      </c>
      <c r="C60" s="47" t="str">
        <f aca="false">IF($G60="","",$B$5)</f>
        <v/>
      </c>
      <c r="D60" s="47" t="str">
        <f aca="false">IF($G60="","",INDEX('Itens Inspecionados'!$C$3:$C$402,$G60))</f>
        <v/>
      </c>
      <c r="E60" s="47" t="str">
        <f aca="false">IF($G60="","",INDEX('Itens Inspecionados'!$D$3:$D$402,$G60))</f>
        <v/>
      </c>
      <c r="F60" s="45" t="str">
        <f aca="false">IF($G60="","",INDEX('Itens Inspecionados'!$E$3:$E$402,$G60))</f>
        <v/>
      </c>
      <c r="G60" s="0" t="str">
        <f aca="false">IFERROR(MATCH(CONCATENATE($B$5,"|",50),'Itens Inspecionados'!$G$3:$G$402,0),"")</f>
        <v/>
      </c>
    </row>
    <row r="61" customFormat="false" ht="18" hidden="false" customHeight="true" outlineLevel="0" collapsed="false">
      <c r="A61" s="46" t="str">
        <f aca="false">IF($G61="","",$B$3)</f>
        <v/>
      </c>
      <c r="B61" s="44" t="str">
        <f aca="false">IF($G61="","",$B$4)</f>
        <v/>
      </c>
      <c r="C61" s="47" t="str">
        <f aca="false">IF($G61="","",$B$5)</f>
        <v/>
      </c>
      <c r="D61" s="47" t="str">
        <f aca="false">IF($G61="","",INDEX('Itens Inspecionados'!$C$3:$C$402,$G61))</f>
        <v/>
      </c>
      <c r="E61" s="47" t="str">
        <f aca="false">IF($G61="","",INDEX('Itens Inspecionados'!$D$3:$D$402,$G61))</f>
        <v/>
      </c>
      <c r="F61" s="45" t="str">
        <f aca="false">IF($G61="","",INDEX('Itens Inspecionados'!$E$3:$E$402,$G61))</f>
        <v/>
      </c>
      <c r="G61" s="0" t="str">
        <f aca="false">IFERROR(MATCH(CONCATENATE($B$5,"|",51),'Itens Inspecionados'!$G$3:$G$402,0),"")</f>
        <v/>
      </c>
    </row>
    <row r="62" customFormat="false" ht="18" hidden="false" customHeight="true" outlineLevel="0" collapsed="false">
      <c r="A62" s="46" t="str">
        <f aca="false">IF($G62="","",$B$3)</f>
        <v/>
      </c>
      <c r="B62" s="44" t="str">
        <f aca="false">IF($G62="","",$B$4)</f>
        <v/>
      </c>
      <c r="C62" s="47" t="str">
        <f aca="false">IF($G62="","",$B$5)</f>
        <v/>
      </c>
      <c r="D62" s="47" t="str">
        <f aca="false">IF($G62="","",INDEX('Itens Inspecionados'!$C$3:$C$402,$G62))</f>
        <v/>
      </c>
      <c r="E62" s="47" t="str">
        <f aca="false">IF($G62="","",INDEX('Itens Inspecionados'!$D$3:$D$402,$G62))</f>
        <v/>
      </c>
      <c r="F62" s="45" t="str">
        <f aca="false">IF($G62="","",INDEX('Itens Inspecionados'!$E$3:$E$402,$G62))</f>
        <v/>
      </c>
      <c r="G62" s="0" t="str">
        <f aca="false">IFERROR(MATCH(CONCATENATE($B$5,"|",52),'Itens Inspecionados'!$G$3:$G$402,0),"")</f>
        <v/>
      </c>
    </row>
    <row r="63" customFormat="false" ht="18" hidden="false" customHeight="true" outlineLevel="0" collapsed="false">
      <c r="A63" s="46" t="str">
        <f aca="false">IF($G63="","",$B$3)</f>
        <v/>
      </c>
      <c r="B63" s="44" t="str">
        <f aca="false">IF($G63="","",$B$4)</f>
        <v/>
      </c>
      <c r="C63" s="47" t="str">
        <f aca="false">IF($G63="","",$B$5)</f>
        <v/>
      </c>
      <c r="D63" s="47" t="str">
        <f aca="false">IF($G63="","",INDEX('Itens Inspecionados'!$C$3:$C$402,$G63))</f>
        <v/>
      </c>
      <c r="E63" s="47" t="str">
        <f aca="false">IF($G63="","",INDEX('Itens Inspecionados'!$D$3:$D$402,$G63))</f>
        <v/>
      </c>
      <c r="F63" s="45" t="str">
        <f aca="false">IF($G63="","",INDEX('Itens Inspecionados'!$E$3:$E$402,$G63))</f>
        <v/>
      </c>
      <c r="G63" s="0" t="str">
        <f aca="false">IFERROR(MATCH(CONCATENATE($B$5,"|",53),'Itens Inspecionados'!$G$3:$G$402,0),"")</f>
        <v/>
      </c>
    </row>
    <row r="64" customFormat="false" ht="18" hidden="false" customHeight="true" outlineLevel="0" collapsed="false">
      <c r="A64" s="46" t="str">
        <f aca="false">IF($G64="","",$B$3)</f>
        <v/>
      </c>
      <c r="B64" s="44" t="str">
        <f aca="false">IF($G64="","",$B$4)</f>
        <v/>
      </c>
      <c r="C64" s="47" t="str">
        <f aca="false">IF($G64="","",$B$5)</f>
        <v/>
      </c>
      <c r="D64" s="47" t="str">
        <f aca="false">IF($G64="","",INDEX('Itens Inspecionados'!$C$3:$C$402,$G64))</f>
        <v/>
      </c>
      <c r="E64" s="47" t="str">
        <f aca="false">IF($G64="","",INDEX('Itens Inspecionados'!$D$3:$D$402,$G64))</f>
        <v/>
      </c>
      <c r="F64" s="45" t="str">
        <f aca="false">IF($G64="","",INDEX('Itens Inspecionados'!$E$3:$E$402,$G64))</f>
        <v/>
      </c>
      <c r="G64" s="0" t="str">
        <f aca="false">IFERROR(MATCH(CONCATENATE($B$5,"|",54),'Itens Inspecionados'!$G$3:$G$402,0),"")</f>
        <v/>
      </c>
    </row>
    <row r="65" customFormat="false" ht="18" hidden="false" customHeight="true" outlineLevel="0" collapsed="false">
      <c r="A65" s="46" t="str">
        <f aca="false">IF($G65="","",$B$3)</f>
        <v/>
      </c>
      <c r="B65" s="44" t="str">
        <f aca="false">IF($G65="","",$B$4)</f>
        <v/>
      </c>
      <c r="C65" s="47" t="str">
        <f aca="false">IF($G65="","",$B$5)</f>
        <v/>
      </c>
      <c r="D65" s="47" t="str">
        <f aca="false">IF($G65="","",INDEX('Itens Inspecionados'!$C$3:$C$402,$G65))</f>
        <v/>
      </c>
      <c r="E65" s="47" t="str">
        <f aca="false">IF($G65="","",INDEX('Itens Inspecionados'!$D$3:$D$402,$G65))</f>
        <v/>
      </c>
      <c r="F65" s="45" t="str">
        <f aca="false">IF($G65="","",INDEX('Itens Inspecionados'!$E$3:$E$402,$G65))</f>
        <v/>
      </c>
      <c r="G65" s="0" t="str">
        <f aca="false">IFERROR(MATCH(CONCATENATE($B$5,"|",55),'Itens Inspecionados'!$G$3:$G$402,0),"")</f>
        <v/>
      </c>
    </row>
    <row r="66" customFormat="false" ht="18" hidden="false" customHeight="true" outlineLevel="0" collapsed="false">
      <c r="A66" s="46" t="str">
        <f aca="false">IF($G66="","",$B$3)</f>
        <v/>
      </c>
      <c r="B66" s="44" t="str">
        <f aca="false">IF($G66="","",$B$4)</f>
        <v/>
      </c>
      <c r="C66" s="47" t="str">
        <f aca="false">IF($G66="","",$B$5)</f>
        <v/>
      </c>
      <c r="D66" s="47" t="str">
        <f aca="false">IF($G66="","",INDEX('Itens Inspecionados'!$C$3:$C$402,$G66))</f>
        <v/>
      </c>
      <c r="E66" s="47" t="str">
        <f aca="false">IF($G66="","",INDEX('Itens Inspecionados'!$D$3:$D$402,$G66))</f>
        <v/>
      </c>
      <c r="F66" s="45" t="str">
        <f aca="false">IF($G66="","",INDEX('Itens Inspecionados'!$E$3:$E$402,$G66))</f>
        <v/>
      </c>
      <c r="G66" s="0" t="str">
        <f aca="false">IFERROR(MATCH(CONCATENATE($B$5,"|",56),'Itens Inspecionados'!$G$3:$G$402,0),"")</f>
        <v/>
      </c>
    </row>
    <row r="67" customFormat="false" ht="18" hidden="false" customHeight="true" outlineLevel="0" collapsed="false">
      <c r="A67" s="46" t="str">
        <f aca="false">IF($G67="","",$B$3)</f>
        <v/>
      </c>
      <c r="B67" s="44" t="str">
        <f aca="false">IF($G67="","",$B$4)</f>
        <v/>
      </c>
      <c r="C67" s="47" t="str">
        <f aca="false">IF($G67="","",$B$5)</f>
        <v/>
      </c>
      <c r="D67" s="47" t="str">
        <f aca="false">IF($G67="","",INDEX('Itens Inspecionados'!$C$3:$C$402,$G67))</f>
        <v/>
      </c>
      <c r="E67" s="47" t="str">
        <f aca="false">IF($G67="","",INDEX('Itens Inspecionados'!$D$3:$D$402,$G67))</f>
        <v/>
      </c>
      <c r="F67" s="45" t="str">
        <f aca="false">IF($G67="","",INDEX('Itens Inspecionados'!$E$3:$E$402,$G67))</f>
        <v/>
      </c>
      <c r="G67" s="0" t="str">
        <f aca="false">IFERROR(MATCH(CONCATENATE($B$5,"|",57),'Itens Inspecionados'!$G$3:$G$402,0),"")</f>
        <v/>
      </c>
    </row>
    <row r="68" customFormat="false" ht="18" hidden="false" customHeight="true" outlineLevel="0" collapsed="false">
      <c r="A68" s="46" t="str">
        <f aca="false">IF($G68="","",$B$3)</f>
        <v/>
      </c>
      <c r="B68" s="44" t="str">
        <f aca="false">IF($G68="","",$B$4)</f>
        <v/>
      </c>
      <c r="C68" s="47" t="str">
        <f aca="false">IF($G68="","",$B$5)</f>
        <v/>
      </c>
      <c r="D68" s="47" t="str">
        <f aca="false">IF($G68="","",INDEX('Itens Inspecionados'!$C$3:$C$402,$G68))</f>
        <v/>
      </c>
      <c r="E68" s="47" t="str">
        <f aca="false">IF($G68="","",INDEX('Itens Inspecionados'!$D$3:$D$402,$G68))</f>
        <v/>
      </c>
      <c r="F68" s="45" t="str">
        <f aca="false">IF($G68="","",INDEX('Itens Inspecionados'!$E$3:$E$402,$G68))</f>
        <v/>
      </c>
      <c r="G68" s="0" t="str">
        <f aca="false">IFERROR(MATCH(CONCATENATE($B$5,"|",58),'Itens Inspecionados'!$G$3:$G$402,0),"")</f>
        <v/>
      </c>
    </row>
    <row r="69" customFormat="false" ht="18" hidden="false" customHeight="true" outlineLevel="0" collapsed="false">
      <c r="A69" s="46" t="str">
        <f aca="false">IF($G69="","",$B$3)</f>
        <v/>
      </c>
      <c r="B69" s="44" t="str">
        <f aca="false">IF($G69="","",$B$4)</f>
        <v/>
      </c>
      <c r="C69" s="47" t="str">
        <f aca="false">IF($G69="","",$B$5)</f>
        <v/>
      </c>
      <c r="D69" s="47" t="str">
        <f aca="false">IF($G69="","",INDEX('Itens Inspecionados'!$C$3:$C$402,$G69))</f>
        <v/>
      </c>
      <c r="E69" s="47" t="str">
        <f aca="false">IF($G69="","",INDEX('Itens Inspecionados'!$D$3:$D$402,$G69))</f>
        <v/>
      </c>
      <c r="F69" s="45" t="str">
        <f aca="false">IF($G69="","",INDEX('Itens Inspecionados'!$E$3:$E$402,$G69))</f>
        <v/>
      </c>
      <c r="G69" s="0" t="str">
        <f aca="false">IFERROR(MATCH(CONCATENATE($B$5,"|",59),'Itens Inspecionados'!$G$3:$G$402,0),"")</f>
        <v/>
      </c>
    </row>
    <row r="70" customFormat="false" ht="18" hidden="false" customHeight="true" outlineLevel="0" collapsed="false">
      <c r="A70" s="46" t="str">
        <f aca="false">IF($G70="","",$B$3)</f>
        <v/>
      </c>
      <c r="B70" s="44" t="str">
        <f aca="false">IF($G70="","",$B$4)</f>
        <v/>
      </c>
      <c r="C70" s="47" t="str">
        <f aca="false">IF($G70="","",$B$5)</f>
        <v/>
      </c>
      <c r="D70" s="47" t="str">
        <f aca="false">IF($G70="","",INDEX('Itens Inspecionados'!$C$3:$C$402,$G70))</f>
        <v/>
      </c>
      <c r="E70" s="47" t="str">
        <f aca="false">IF($G70="","",INDEX('Itens Inspecionados'!$D$3:$D$402,$G70))</f>
        <v/>
      </c>
      <c r="F70" s="45" t="str">
        <f aca="false">IF($G70="","",INDEX('Itens Inspecionados'!$E$3:$E$402,$G70))</f>
        <v/>
      </c>
      <c r="G70" s="0" t="str">
        <f aca="false">IFERROR(MATCH(CONCATENATE($B$5,"|",60),'Itens Inspecionados'!$G$3:$G$402,0),"")</f>
        <v/>
      </c>
    </row>
  </sheetData>
  <sheetProtection sheet="true"/>
  <mergeCells count="4">
    <mergeCell ref="E3:H6"/>
    <mergeCell ref="B5:C5"/>
    <mergeCell ref="B6:C6"/>
    <mergeCell ref="B7:C7"/>
  </mergeCells>
  <conditionalFormatting sqref="B7:C7">
    <cfRule type="cellIs" priority="2" operator="notEqual" aboveAverage="0" equalAverage="0" bottom="0" percent="0" rank="0" text="" dxfId="4">
      <formula>"encontrada"</formula>
    </cfRule>
  </conditionalFormatting>
  <dataValidations count="1">
    <dataValidation allowBlank="false" error="Cadastre a máquina na aba «Equipamentos» primeiro." errorStyle="stop" errorTitle="Máquina" operator="between" showDropDown="false" showErrorMessage="false" showInputMessage="false" sqref="B3" type="list">
      <formula1>Equipamentos!$A$3:$A$52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R2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2" topLeftCell="E3" activePane="bottomRight" state="frozen"/>
      <selection pane="topLeft" activeCell="A1" activeCellId="0" sqref="A1"/>
      <selection pane="topRight" activeCell="E1" activeCellId="0" sqref="E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2"/>
    <col collapsed="false" customWidth="true" hidden="false" outlineLevel="0" max="4" min="3" style="0" width="22"/>
    <col collapsed="false" customWidth="true" hidden="false" outlineLevel="0" max="5" min="5" style="0" width="46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32"/>
    <col collapsed="false" customWidth="true" hidden="false" outlineLevel="0" max="9" min="9" style="0" width="40"/>
    <col collapsed="false" customWidth="true" hidden="false" outlineLevel="0" max="10" min="10" style="0" width="18"/>
    <col collapsed="false" customWidth="true" hidden="false" outlineLevel="0" max="12" min="11" style="0" width="13"/>
    <col collapsed="false" customWidth="true" hidden="false" outlineLevel="0" max="13" min="13" style="0" width="24"/>
    <col collapsed="false" customWidth="true" hidden="false" outlineLevel="0" max="14" min="14" style="0" width="12"/>
    <col collapsed="false" customWidth="true" hidden="false" outlineLevel="0" max="15" min="15" style="0" width="13"/>
    <col collapsed="false" customWidth="true" hidden="true" outlineLevel="0" max="16" min="16" style="0" width="10"/>
    <col collapsed="false" customWidth="true" hidden="true" outlineLevel="0" max="17" min="17" style="0" width="9"/>
  </cols>
  <sheetData>
    <row r="1" customFormat="false" ht="17.35" hidden="false" customHeight="false" outlineLevel="0" collapsed="false">
      <c r="A1" s="13" t="s">
        <v>289</v>
      </c>
      <c r="E1" s="38" t="s">
        <v>290</v>
      </c>
    </row>
    <row r="2" customFormat="false" ht="33.75" hidden="false" customHeight="true" outlineLevel="0" collapsed="false">
      <c r="A2" s="18" t="s">
        <v>285</v>
      </c>
      <c r="B2" s="18" t="s">
        <v>286</v>
      </c>
      <c r="C2" s="18" t="s">
        <v>287</v>
      </c>
      <c r="D2" s="18" t="s">
        <v>154</v>
      </c>
      <c r="E2" s="18" t="s">
        <v>288</v>
      </c>
      <c r="F2" s="18" t="s">
        <v>83</v>
      </c>
      <c r="G2" s="18" t="s">
        <v>291</v>
      </c>
      <c r="H2" s="18" t="s">
        <v>87</v>
      </c>
      <c r="I2" s="18" t="s">
        <v>292</v>
      </c>
      <c r="J2" s="18" t="s">
        <v>293</v>
      </c>
      <c r="K2" s="18" t="s">
        <v>294</v>
      </c>
      <c r="L2" s="18" t="s">
        <v>111</v>
      </c>
      <c r="M2" s="18" t="s">
        <v>295</v>
      </c>
      <c r="N2" s="18" t="s">
        <v>296</v>
      </c>
      <c r="O2" s="18" t="s">
        <v>297</v>
      </c>
      <c r="P2" s="18" t="s">
        <v>82</v>
      </c>
      <c r="Q2" s="18" t="s">
        <v>157</v>
      </c>
      <c r="R2" s="18" t="s">
        <v>298</v>
      </c>
    </row>
    <row r="3" customFormat="false" ht="18" hidden="false" customHeight="true" outlineLevel="0" collapsed="false">
      <c r="A3" s="39" t="s">
        <v>112</v>
      </c>
      <c r="B3" s="41" t="n">
        <f aca="false">INT(Parâmetros!$C$4)-2</f>
        <v>46232</v>
      </c>
      <c r="C3" s="40" t="s">
        <v>66</v>
      </c>
      <c r="D3" s="40" t="s">
        <v>160</v>
      </c>
      <c r="E3" s="40" t="s">
        <v>161</v>
      </c>
      <c r="F3" s="42" t="n">
        <v>7</v>
      </c>
      <c r="G3" s="39" t="s">
        <v>62</v>
      </c>
      <c r="H3" s="40" t="s">
        <v>299</v>
      </c>
      <c r="I3" s="40"/>
      <c r="J3" s="40"/>
      <c r="K3" s="41"/>
      <c r="L3" s="39"/>
      <c r="M3" s="48" t="str">
        <f aca="false">IF($E3="","",IFERROR(INDEX(Parâmetros!$C$15:$C$20,MATCH($P3,Parâmetros!$B$15:$B$20,0)),""))</f>
        <v>Conforme / N/A</v>
      </c>
      <c r="N3" s="46" t="str">
        <f aca="false">IF($E3="","",IF($P3="","",IF($P3&gt;=8,"Alta",IF($P3&gt;=5,"Média","Baixa"))))</f>
        <v>Baixa</v>
      </c>
      <c r="O3" s="46" t="str">
        <f aca="false">IF($E3="","",IF(AND(Parâmetros!$C$5&gt;0,$P3&lt;&gt;"",$P3&gt;=Parâmetros!$C$5),"Sim","Não"))</f>
        <v>Não</v>
      </c>
      <c r="P3" s="45" t="n">
        <f aca="false">IF($E3="","",IF($G3="","",IF($G3="NOK",$F3,0)))</f>
        <v>0</v>
      </c>
      <c r="Q3" s="46" t="str">
        <f aca="false">IF($E3="","",IF($O3&lt;&gt;"Sim","",COUNTIF($O$3:$O3,"Sim")))</f>
        <v/>
      </c>
      <c r="R3" s="74" t="n">
        <f aca="false">IF($P3="",0,$P3)</f>
        <v>0</v>
      </c>
    </row>
    <row r="4" customFormat="false" ht="18" hidden="false" customHeight="true" outlineLevel="0" collapsed="false">
      <c r="A4" s="39" t="s">
        <v>112</v>
      </c>
      <c r="B4" s="41" t="n">
        <f aca="false">INT(Parâmetros!$C$4)-2</f>
        <v>46232</v>
      </c>
      <c r="C4" s="40" t="s">
        <v>66</v>
      </c>
      <c r="D4" s="40" t="s">
        <v>162</v>
      </c>
      <c r="E4" s="40" t="s">
        <v>163</v>
      </c>
      <c r="F4" s="42" t="n">
        <v>5</v>
      </c>
      <c r="G4" s="39" t="s">
        <v>62</v>
      </c>
      <c r="H4" s="40" t="s">
        <v>300</v>
      </c>
      <c r="I4" s="40"/>
      <c r="J4" s="40"/>
      <c r="K4" s="41"/>
      <c r="L4" s="39"/>
      <c r="M4" s="48" t="str">
        <f aca="false">IF($E4="","",IFERROR(INDEX(Parâmetros!$C$15:$C$20,MATCH($P4,Parâmetros!$B$15:$B$20,0)),""))</f>
        <v>Conforme / N/A</v>
      </c>
      <c r="N4" s="46" t="str">
        <f aca="false">IF($E4="","",IF($P4="","",IF($P4&gt;=8,"Alta",IF($P4&gt;=5,"Média","Baixa"))))</f>
        <v>Baixa</v>
      </c>
      <c r="O4" s="46" t="str">
        <f aca="false">IF($E4="","",IF(AND(Parâmetros!$C$5&gt;0,$P4&lt;&gt;"",$P4&gt;=Parâmetros!$C$5),"Sim","Não"))</f>
        <v>Não</v>
      </c>
      <c r="P4" s="45" t="n">
        <f aca="false">IF($E4="","",IF($G4="","",IF($G4="NOK",$F4,0)))</f>
        <v>0</v>
      </c>
      <c r="Q4" s="46" t="str">
        <f aca="false">IF($E4="","",IF($O4&lt;&gt;"Sim","",COUNTIF($O$3:$O4,"Sim")))</f>
        <v/>
      </c>
      <c r="R4" s="74" t="n">
        <f aca="false">IF($P4="",0,$P4)</f>
        <v>0</v>
      </c>
    </row>
    <row r="5" customFormat="false" ht="18" hidden="false" customHeight="true" outlineLevel="0" collapsed="false">
      <c r="A5" s="39" t="s">
        <v>112</v>
      </c>
      <c r="B5" s="41" t="n">
        <f aca="false">INT(Parâmetros!$C$4)-2</f>
        <v>46232</v>
      </c>
      <c r="C5" s="40" t="s">
        <v>66</v>
      </c>
      <c r="D5" s="40" t="s">
        <v>162</v>
      </c>
      <c r="E5" s="40" t="s">
        <v>164</v>
      </c>
      <c r="F5" s="42" t="n">
        <v>7</v>
      </c>
      <c r="G5" s="39" t="s">
        <v>62</v>
      </c>
      <c r="H5" s="40" t="s">
        <v>301</v>
      </c>
      <c r="I5" s="40"/>
      <c r="J5" s="40"/>
      <c r="K5" s="41"/>
      <c r="L5" s="39"/>
      <c r="M5" s="48" t="str">
        <f aca="false">IF($E5="","",IFERROR(INDEX(Parâmetros!$C$15:$C$20,MATCH($P5,Parâmetros!$B$15:$B$20,0)),""))</f>
        <v>Conforme / N/A</v>
      </c>
      <c r="N5" s="46" t="str">
        <f aca="false">IF($E5="","",IF($P5="","",IF($P5&gt;=8,"Alta",IF($P5&gt;=5,"Média","Baixa"))))</f>
        <v>Baixa</v>
      </c>
      <c r="O5" s="46" t="str">
        <f aca="false">IF($E5="","",IF(AND(Parâmetros!$C$5&gt;0,$P5&lt;&gt;"",$P5&gt;=Parâmetros!$C$5),"Sim","Não"))</f>
        <v>Não</v>
      </c>
      <c r="P5" s="45" t="n">
        <f aca="false">IF($E5="","",IF($G5="","",IF($G5="NOK",$F5,0)))</f>
        <v>0</v>
      </c>
      <c r="Q5" s="46" t="str">
        <f aca="false">IF($E5="","",IF($O5&lt;&gt;"Sim","",COUNTIF($O$3:$O5,"Sim")))</f>
        <v/>
      </c>
      <c r="R5" s="74" t="n">
        <f aca="false">IF($P5="",0,$P5)</f>
        <v>0</v>
      </c>
    </row>
    <row r="6" customFormat="false" ht="18" hidden="false" customHeight="true" outlineLevel="0" collapsed="false">
      <c r="A6" s="39" t="s">
        <v>112</v>
      </c>
      <c r="B6" s="41" t="n">
        <f aca="false">INT(Parâmetros!$C$4)-2</f>
        <v>46232</v>
      </c>
      <c r="C6" s="40" t="s">
        <v>66</v>
      </c>
      <c r="D6" s="40" t="s">
        <v>165</v>
      </c>
      <c r="E6" s="40" t="s">
        <v>166</v>
      </c>
      <c r="F6" s="42" t="n">
        <v>5</v>
      </c>
      <c r="G6" s="39" t="s">
        <v>62</v>
      </c>
      <c r="H6" s="40" t="s">
        <v>302</v>
      </c>
      <c r="I6" s="40"/>
      <c r="J6" s="40"/>
      <c r="K6" s="41"/>
      <c r="L6" s="39"/>
      <c r="M6" s="48" t="str">
        <f aca="false">IF($E6="","",IFERROR(INDEX(Parâmetros!$C$15:$C$20,MATCH($P6,Parâmetros!$B$15:$B$20,0)),""))</f>
        <v>Conforme / N/A</v>
      </c>
      <c r="N6" s="46" t="str">
        <f aca="false">IF($E6="","",IF($P6="","",IF($P6&gt;=8,"Alta",IF($P6&gt;=5,"Média","Baixa"))))</f>
        <v>Baixa</v>
      </c>
      <c r="O6" s="46" t="str">
        <f aca="false">IF($E6="","",IF(AND(Parâmetros!$C$5&gt;0,$P6&lt;&gt;"",$P6&gt;=Parâmetros!$C$5),"Sim","Não"))</f>
        <v>Não</v>
      </c>
      <c r="P6" s="45" t="n">
        <f aca="false">IF($E6="","",IF($G6="","",IF($G6="NOK",$F6,0)))</f>
        <v>0</v>
      </c>
      <c r="Q6" s="46" t="str">
        <f aca="false">IF($E6="","",IF($O6&lt;&gt;"Sim","",COUNTIF($O$3:$O6,"Sim")))</f>
        <v/>
      </c>
      <c r="R6" s="74" t="n">
        <f aca="false">IF($P6="",0,$P6)</f>
        <v>0</v>
      </c>
    </row>
    <row r="7" customFormat="false" ht="18" hidden="false" customHeight="true" outlineLevel="0" collapsed="false">
      <c r="A7" s="39" t="s">
        <v>112</v>
      </c>
      <c r="B7" s="41" t="n">
        <f aca="false">INT(Parâmetros!$C$4)-2</f>
        <v>46232</v>
      </c>
      <c r="C7" s="40" t="s">
        <v>66</v>
      </c>
      <c r="D7" s="40" t="s">
        <v>165</v>
      </c>
      <c r="E7" s="40" t="s">
        <v>167</v>
      </c>
      <c r="F7" s="42" t="n">
        <v>7</v>
      </c>
      <c r="G7" s="39" t="s">
        <v>62</v>
      </c>
      <c r="H7" s="40" t="s">
        <v>299</v>
      </c>
      <c r="I7" s="40"/>
      <c r="J7" s="40"/>
      <c r="K7" s="41"/>
      <c r="L7" s="39"/>
      <c r="M7" s="48" t="str">
        <f aca="false">IF($E7="","",IFERROR(INDEX(Parâmetros!$C$15:$C$20,MATCH($P7,Parâmetros!$B$15:$B$20,0)),""))</f>
        <v>Conforme / N/A</v>
      </c>
      <c r="N7" s="46" t="str">
        <f aca="false">IF($E7="","",IF($P7="","",IF($P7&gt;=8,"Alta",IF($P7&gt;=5,"Média","Baixa"))))</f>
        <v>Baixa</v>
      </c>
      <c r="O7" s="46" t="str">
        <f aca="false">IF($E7="","",IF(AND(Parâmetros!$C$5&gt;0,$P7&lt;&gt;"",$P7&gt;=Parâmetros!$C$5),"Sim","Não"))</f>
        <v>Não</v>
      </c>
      <c r="P7" s="45" t="n">
        <f aca="false">IF($E7="","",IF($G7="","",IF($G7="NOK",$F7,0)))</f>
        <v>0</v>
      </c>
      <c r="Q7" s="46" t="str">
        <f aca="false">IF($E7="","",IF($O7&lt;&gt;"Sim","",COUNTIF($O$3:$O7,"Sim")))</f>
        <v/>
      </c>
      <c r="R7" s="74" t="n">
        <f aca="false">IF($P7="",0,$P7)</f>
        <v>0</v>
      </c>
    </row>
    <row r="8" customFormat="false" ht="18" hidden="false" customHeight="true" outlineLevel="0" collapsed="false">
      <c r="A8" s="39" t="s">
        <v>112</v>
      </c>
      <c r="B8" s="41" t="n">
        <f aca="false">INT(Parâmetros!$C$4)-2</f>
        <v>46232</v>
      </c>
      <c r="C8" s="40" t="s">
        <v>66</v>
      </c>
      <c r="D8" s="40" t="s">
        <v>168</v>
      </c>
      <c r="E8" s="40" t="s">
        <v>169</v>
      </c>
      <c r="F8" s="42" t="n">
        <v>7</v>
      </c>
      <c r="G8" s="39" t="s">
        <v>62</v>
      </c>
      <c r="H8" s="40" t="s">
        <v>299</v>
      </c>
      <c r="I8" s="40"/>
      <c r="J8" s="40"/>
      <c r="K8" s="41"/>
      <c r="L8" s="39"/>
      <c r="M8" s="48" t="str">
        <f aca="false">IF($E8="","",IFERROR(INDEX(Parâmetros!$C$15:$C$20,MATCH($P8,Parâmetros!$B$15:$B$20,0)),""))</f>
        <v>Conforme / N/A</v>
      </c>
      <c r="N8" s="46" t="str">
        <f aca="false">IF($E8="","",IF($P8="","",IF($P8&gt;=8,"Alta",IF($P8&gt;=5,"Média","Baixa"))))</f>
        <v>Baixa</v>
      </c>
      <c r="O8" s="46" t="str">
        <f aca="false">IF($E8="","",IF(AND(Parâmetros!$C$5&gt;0,$P8&lt;&gt;"",$P8&gt;=Parâmetros!$C$5),"Sim","Não"))</f>
        <v>Não</v>
      </c>
      <c r="P8" s="45" t="n">
        <f aca="false">IF($E8="","",IF($G8="","",IF($G8="NOK",$F8,0)))</f>
        <v>0</v>
      </c>
      <c r="Q8" s="46" t="str">
        <f aca="false">IF($E8="","",IF($O8&lt;&gt;"Sim","",COUNTIF($O$3:$O8,"Sim")))</f>
        <v/>
      </c>
      <c r="R8" s="74" t="n">
        <f aca="false">IF($P8="",0,$P8)</f>
        <v>0</v>
      </c>
    </row>
    <row r="9" customFormat="false" ht="18" hidden="false" customHeight="true" outlineLevel="0" collapsed="false">
      <c r="A9" s="39" t="s">
        <v>112</v>
      </c>
      <c r="B9" s="41" t="n">
        <f aca="false">INT(Parâmetros!$C$4)-2</f>
        <v>46232</v>
      </c>
      <c r="C9" s="40" t="s">
        <v>66</v>
      </c>
      <c r="D9" s="40" t="s">
        <v>170</v>
      </c>
      <c r="E9" s="40" t="s">
        <v>171</v>
      </c>
      <c r="F9" s="42" t="n">
        <v>5</v>
      </c>
      <c r="G9" s="39" t="s">
        <v>67</v>
      </c>
      <c r="H9" s="40" t="s">
        <v>303</v>
      </c>
      <c r="I9" s="40" t="s">
        <v>304</v>
      </c>
      <c r="J9" s="40" t="s">
        <v>256</v>
      </c>
      <c r="K9" s="41" t="n">
        <f aca="false">INT(Parâmetros!$C$4)+2</f>
        <v>46236</v>
      </c>
      <c r="L9" s="39" t="s">
        <v>63</v>
      </c>
      <c r="M9" s="48" t="str">
        <f aca="false">IF($E9="","",IFERROR(INDEX(Parâmetros!$C$15:$C$20,MATCH($P9,Parâmetros!$B$15:$B$20,0)),""))</f>
        <v>Programar correção</v>
      </c>
      <c r="N9" s="46" t="str">
        <f aca="false">IF($E9="","",IF($P9="","",IF($P9&gt;=8,"Alta",IF($P9&gt;=5,"Média","Baixa"))))</f>
        <v>Média</v>
      </c>
      <c r="O9" s="46" t="str">
        <f aca="false">IF($E9="","",IF(AND(Parâmetros!$C$5&gt;0,$P9&lt;&gt;"",$P9&gt;=Parâmetros!$C$5),"Sim","Não"))</f>
        <v>Sim</v>
      </c>
      <c r="P9" s="45" t="n">
        <f aca="false">IF($E9="","",IF($G9="","",IF($G9="NOK",$F9,0)))</f>
        <v>5</v>
      </c>
      <c r="Q9" s="46" t="n">
        <f aca="false">IF($E9="","",IF($O9&lt;&gt;"Sim","",COUNTIF($O$3:$O9,"Sim")))</f>
        <v>1</v>
      </c>
      <c r="R9" s="74" t="n">
        <f aca="false">IF($P9="",0,$P9)</f>
        <v>5</v>
      </c>
    </row>
    <row r="10" customFormat="false" ht="18" hidden="false" customHeight="true" outlineLevel="0" collapsed="false">
      <c r="A10" s="39" t="s">
        <v>112</v>
      </c>
      <c r="B10" s="41" t="n">
        <f aca="false">INT(Parâmetros!$C$4)-2</f>
        <v>46232</v>
      </c>
      <c r="C10" s="40" t="s">
        <v>66</v>
      </c>
      <c r="D10" s="40" t="s">
        <v>172</v>
      </c>
      <c r="E10" s="40" t="s">
        <v>173</v>
      </c>
      <c r="F10" s="42" t="n">
        <v>3</v>
      </c>
      <c r="G10" s="39" t="s">
        <v>62</v>
      </c>
      <c r="H10" s="40" t="s">
        <v>299</v>
      </c>
      <c r="I10" s="40"/>
      <c r="J10" s="40"/>
      <c r="K10" s="41"/>
      <c r="L10" s="39"/>
      <c r="M10" s="48" t="str">
        <f aca="false">IF($E10="","",IFERROR(INDEX(Parâmetros!$C$15:$C$20,MATCH($P10,Parâmetros!$B$15:$B$20,0)),""))</f>
        <v>Conforme / N/A</v>
      </c>
      <c r="N10" s="46" t="str">
        <f aca="false">IF($E10="","",IF($P10="","",IF($P10&gt;=8,"Alta",IF($P10&gt;=5,"Média","Baixa"))))</f>
        <v>Baixa</v>
      </c>
      <c r="O10" s="46" t="str">
        <f aca="false">IF($E10="","",IF(AND(Parâmetros!$C$5&gt;0,$P10&lt;&gt;"",$P10&gt;=Parâmetros!$C$5),"Sim","Não"))</f>
        <v>Não</v>
      </c>
      <c r="P10" s="45" t="n">
        <f aca="false">IF($E10="","",IF($G10="","",IF($G10="NOK",$F10,0)))</f>
        <v>0</v>
      </c>
      <c r="Q10" s="46" t="str">
        <f aca="false">IF($E10="","",IF($O10&lt;&gt;"Sim","",COUNTIF($O$3:$O10,"Sim")))</f>
        <v/>
      </c>
      <c r="R10" s="74" t="n">
        <f aca="false">IF($P10="",0,$P10)</f>
        <v>0</v>
      </c>
    </row>
    <row r="11" customFormat="false" ht="18" hidden="false" customHeight="true" outlineLevel="0" collapsed="false">
      <c r="A11" s="39" t="s">
        <v>112</v>
      </c>
      <c r="B11" s="41" t="n">
        <f aca="false">INT(Parâmetros!$C$4)-2</f>
        <v>46232</v>
      </c>
      <c r="C11" s="40" t="s">
        <v>66</v>
      </c>
      <c r="D11" s="40" t="s">
        <v>174</v>
      </c>
      <c r="E11" s="40" t="s">
        <v>175</v>
      </c>
      <c r="F11" s="42" t="n">
        <v>9</v>
      </c>
      <c r="G11" s="39" t="s">
        <v>62</v>
      </c>
      <c r="H11" s="40" t="s">
        <v>299</v>
      </c>
      <c r="I11" s="40"/>
      <c r="J11" s="40"/>
      <c r="K11" s="41"/>
      <c r="L11" s="39"/>
      <c r="M11" s="48" t="str">
        <f aca="false">IF($E11="","",IFERROR(INDEX(Parâmetros!$C$15:$C$20,MATCH($P11,Parâmetros!$B$15:$B$20,0)),""))</f>
        <v>Conforme / N/A</v>
      </c>
      <c r="N11" s="46" t="str">
        <f aca="false">IF($E11="","",IF($P11="","",IF($P11&gt;=8,"Alta",IF($P11&gt;=5,"Média","Baixa"))))</f>
        <v>Baixa</v>
      </c>
      <c r="O11" s="46" t="str">
        <f aca="false">IF($E11="","",IF(AND(Parâmetros!$C$5&gt;0,$P11&lt;&gt;"",$P11&gt;=Parâmetros!$C$5),"Sim","Não"))</f>
        <v>Não</v>
      </c>
      <c r="P11" s="45" t="n">
        <f aca="false">IF($E11="","",IF($G11="","",IF($G11="NOK",$F11,0)))</f>
        <v>0</v>
      </c>
      <c r="Q11" s="46" t="str">
        <f aca="false">IF($E11="","",IF($O11&lt;&gt;"Sim","",COUNTIF($O$3:$O11,"Sim")))</f>
        <v/>
      </c>
      <c r="R11" s="74" t="n">
        <f aca="false">IF($P11="",0,$P11)</f>
        <v>0</v>
      </c>
    </row>
    <row r="12" customFormat="false" ht="18" hidden="false" customHeight="true" outlineLevel="0" collapsed="false">
      <c r="A12" s="39" t="s">
        <v>124</v>
      </c>
      <c r="B12" s="41" t="n">
        <f aca="false">INT(Parâmetros!$C$4)-6</f>
        <v>46228</v>
      </c>
      <c r="C12" s="40" t="s">
        <v>75</v>
      </c>
      <c r="D12" s="40" t="s">
        <v>176</v>
      </c>
      <c r="E12" s="40" t="s">
        <v>177</v>
      </c>
      <c r="F12" s="42" t="n">
        <v>3</v>
      </c>
      <c r="G12" s="39" t="s">
        <v>62</v>
      </c>
      <c r="H12" s="40"/>
      <c r="I12" s="40"/>
      <c r="J12" s="40"/>
      <c r="K12" s="41"/>
      <c r="L12" s="39"/>
      <c r="M12" s="48" t="str">
        <f aca="false">IF($E12="","",IFERROR(INDEX(Parâmetros!$C$15:$C$20,MATCH($P12,Parâmetros!$B$15:$B$20,0)),""))</f>
        <v>Conforme / N/A</v>
      </c>
      <c r="N12" s="46" t="str">
        <f aca="false">IF($E12="","",IF($P12="","",IF($P12&gt;=8,"Alta",IF($P12&gt;=5,"Média","Baixa"))))</f>
        <v>Baixa</v>
      </c>
      <c r="O12" s="46" t="str">
        <f aca="false">IF($E12="","",IF(AND(Parâmetros!$C$5&gt;0,$P12&lt;&gt;"",$P12&gt;=Parâmetros!$C$5),"Sim","Não"))</f>
        <v>Não</v>
      </c>
      <c r="P12" s="45" t="n">
        <f aca="false">IF($E12="","",IF($G12="","",IF($G12="NOK",$F12,0)))</f>
        <v>0</v>
      </c>
      <c r="Q12" s="46" t="str">
        <f aca="false">IF($E12="","",IF($O12&lt;&gt;"Sim","",COUNTIF($O$3:$O12,"Sim")))</f>
        <v/>
      </c>
      <c r="R12" s="74" t="n">
        <f aca="false">IF($P12="",0,$P12)</f>
        <v>0</v>
      </c>
    </row>
    <row r="13" customFormat="false" ht="18" hidden="false" customHeight="true" outlineLevel="0" collapsed="false">
      <c r="A13" s="39" t="s">
        <v>124</v>
      </c>
      <c r="B13" s="41" t="n">
        <f aca="false">INT(Parâmetros!$C$4)-6</f>
        <v>46228</v>
      </c>
      <c r="C13" s="40" t="s">
        <v>75</v>
      </c>
      <c r="D13" s="40" t="s">
        <v>174</v>
      </c>
      <c r="E13" s="40" t="s">
        <v>178</v>
      </c>
      <c r="F13" s="42" t="n">
        <v>10</v>
      </c>
      <c r="G13" s="39" t="s">
        <v>67</v>
      </c>
      <c r="H13" s="40" t="s">
        <v>305</v>
      </c>
      <c r="I13" s="40" t="s">
        <v>306</v>
      </c>
      <c r="J13" s="40" t="s">
        <v>258</v>
      </c>
      <c r="K13" s="41" t="n">
        <f aca="false">INT(Parâmetros!$C$4)-1</f>
        <v>46233</v>
      </c>
      <c r="L13" s="39" t="s">
        <v>63</v>
      </c>
      <c r="M13" s="48" t="str">
        <f aca="false">IF($E13="","",IFERROR(INDEX(Parâmetros!$C$15:$C$20,MATCH($P13,Parâmetros!$B$15:$B$20,0)),""))</f>
        <v>Bloqueio</v>
      </c>
      <c r="N13" s="46" t="str">
        <f aca="false">IF($E13="","",IF($P13="","",IF($P13&gt;=8,"Alta",IF($P13&gt;=5,"Média","Baixa"))))</f>
        <v>Alta</v>
      </c>
      <c r="O13" s="46" t="str">
        <f aca="false">IF($E13="","",IF(AND(Parâmetros!$C$5&gt;0,$P13&lt;&gt;"",$P13&gt;=Parâmetros!$C$5),"Sim","Não"))</f>
        <v>Sim</v>
      </c>
      <c r="P13" s="45" t="n">
        <f aca="false">IF($E13="","",IF($G13="","",IF($G13="NOK",$F13,0)))</f>
        <v>10</v>
      </c>
      <c r="Q13" s="46" t="n">
        <f aca="false">IF($E13="","",IF($O13&lt;&gt;"Sim","",COUNTIF($O$3:$O13,"Sim")))</f>
        <v>2</v>
      </c>
      <c r="R13" s="74" t="n">
        <f aca="false">IF($P13="",0,$P13)</f>
        <v>10</v>
      </c>
    </row>
    <row r="14" customFormat="false" ht="18" hidden="false" customHeight="true" outlineLevel="0" collapsed="false">
      <c r="A14" s="39" t="s">
        <v>124</v>
      </c>
      <c r="B14" s="41" t="n">
        <f aca="false">INT(Parâmetros!$C$4)-6</f>
        <v>46228</v>
      </c>
      <c r="C14" s="40" t="s">
        <v>75</v>
      </c>
      <c r="D14" s="40" t="s">
        <v>179</v>
      </c>
      <c r="E14" s="40" t="s">
        <v>180</v>
      </c>
      <c r="F14" s="42" t="n">
        <v>9</v>
      </c>
      <c r="G14" s="39" t="s">
        <v>67</v>
      </c>
      <c r="H14" s="40" t="s">
        <v>307</v>
      </c>
      <c r="I14" s="40" t="s">
        <v>308</v>
      </c>
      <c r="J14" s="40" t="s">
        <v>258</v>
      </c>
      <c r="K14" s="41" t="n">
        <f aca="false">INT(Parâmetros!$C$4)+3</f>
        <v>46237</v>
      </c>
      <c r="L14" s="39" t="s">
        <v>63</v>
      </c>
      <c r="M14" s="48" t="str">
        <f aca="false">IF($E14="","",IFERROR(INDEX(Parâmetros!$C$15:$C$20,MATCH($P14,Parâmetros!$B$15:$B$20,0)),""))</f>
        <v>Corrigir imediatamente</v>
      </c>
      <c r="N14" s="46" t="str">
        <f aca="false">IF($E14="","",IF($P14="","",IF($P14&gt;=8,"Alta",IF($P14&gt;=5,"Média","Baixa"))))</f>
        <v>Alta</v>
      </c>
      <c r="O14" s="46" t="str">
        <f aca="false">IF($E14="","",IF(AND(Parâmetros!$C$5&gt;0,$P14&lt;&gt;"",$P14&gt;=Parâmetros!$C$5),"Sim","Não"))</f>
        <v>Sim</v>
      </c>
      <c r="P14" s="45" t="n">
        <f aca="false">IF($E14="","",IF($G14="","",IF($G14="NOK",$F14,0)))</f>
        <v>9</v>
      </c>
      <c r="Q14" s="46" t="n">
        <f aca="false">IF($E14="","",IF($O14&lt;&gt;"Sim","",COUNTIF($O$3:$O14,"Sim")))</f>
        <v>3</v>
      </c>
      <c r="R14" s="74" t="n">
        <f aca="false">IF($P14="",0,$P14)</f>
        <v>9</v>
      </c>
    </row>
    <row r="15" customFormat="false" ht="18" hidden="false" customHeight="true" outlineLevel="0" collapsed="false">
      <c r="A15" s="39" t="s">
        <v>124</v>
      </c>
      <c r="B15" s="41" t="n">
        <f aca="false">INT(Parâmetros!$C$4)-6</f>
        <v>46228</v>
      </c>
      <c r="C15" s="40" t="s">
        <v>75</v>
      </c>
      <c r="D15" s="40" t="s">
        <v>160</v>
      </c>
      <c r="E15" s="40" t="s">
        <v>181</v>
      </c>
      <c r="F15" s="42" t="n">
        <v>7</v>
      </c>
      <c r="G15" s="39" t="s">
        <v>62</v>
      </c>
      <c r="H15" s="40"/>
      <c r="I15" s="40"/>
      <c r="J15" s="40"/>
      <c r="K15" s="41"/>
      <c r="L15" s="39"/>
      <c r="M15" s="48" t="str">
        <f aca="false">IF($E15="","",IFERROR(INDEX(Parâmetros!$C$15:$C$20,MATCH($P15,Parâmetros!$B$15:$B$20,0)),""))</f>
        <v>Conforme / N/A</v>
      </c>
      <c r="N15" s="46" t="str">
        <f aca="false">IF($E15="","",IF($P15="","",IF($P15&gt;=8,"Alta",IF($P15&gt;=5,"Média","Baixa"))))</f>
        <v>Baixa</v>
      </c>
      <c r="O15" s="46" t="str">
        <f aca="false">IF($E15="","",IF(AND(Parâmetros!$C$5&gt;0,$P15&lt;&gt;"",$P15&gt;=Parâmetros!$C$5),"Sim","Não"))</f>
        <v>Não</v>
      </c>
      <c r="P15" s="45" t="n">
        <f aca="false">IF($E15="","",IF($G15="","",IF($G15="NOK",$F15,0)))</f>
        <v>0</v>
      </c>
      <c r="Q15" s="46" t="str">
        <f aca="false">IF($E15="","",IF($O15&lt;&gt;"Sim","",COUNTIF($O$3:$O15,"Sim")))</f>
        <v/>
      </c>
      <c r="R15" s="74" t="n">
        <f aca="false">IF($P15="",0,$P15)</f>
        <v>0</v>
      </c>
    </row>
    <row r="16" customFormat="false" ht="18" hidden="false" customHeight="true" outlineLevel="0" collapsed="false">
      <c r="A16" s="39" t="s">
        <v>124</v>
      </c>
      <c r="B16" s="41" t="n">
        <f aca="false">INT(Parâmetros!$C$4)-6</f>
        <v>46228</v>
      </c>
      <c r="C16" s="40" t="s">
        <v>75</v>
      </c>
      <c r="D16" s="40" t="s">
        <v>165</v>
      </c>
      <c r="E16" s="40" t="s">
        <v>182</v>
      </c>
      <c r="F16" s="42" t="n">
        <v>7</v>
      </c>
      <c r="G16" s="39" t="s">
        <v>62</v>
      </c>
      <c r="H16" s="40" t="s">
        <v>309</v>
      </c>
      <c r="I16" s="40"/>
      <c r="J16" s="40"/>
      <c r="K16" s="41"/>
      <c r="L16" s="39"/>
      <c r="M16" s="48" t="str">
        <f aca="false">IF($E16="","",IFERROR(INDEX(Parâmetros!$C$15:$C$20,MATCH($P16,Parâmetros!$B$15:$B$20,0)),""))</f>
        <v>Conforme / N/A</v>
      </c>
      <c r="N16" s="46" t="str">
        <f aca="false">IF($E16="","",IF($P16="","",IF($P16&gt;=8,"Alta",IF($P16&gt;=5,"Média","Baixa"))))</f>
        <v>Baixa</v>
      </c>
      <c r="O16" s="46" t="str">
        <f aca="false">IF($E16="","",IF(AND(Parâmetros!$C$5&gt;0,$P16&lt;&gt;"",$P16&gt;=Parâmetros!$C$5),"Sim","Não"))</f>
        <v>Não</v>
      </c>
      <c r="P16" s="45" t="n">
        <f aca="false">IF($E16="","",IF($G16="","",IF($G16="NOK",$F16,0)))</f>
        <v>0</v>
      </c>
      <c r="Q16" s="46" t="str">
        <f aca="false">IF($E16="","",IF($O16&lt;&gt;"Sim","",COUNTIF($O$3:$O16,"Sim")))</f>
        <v/>
      </c>
      <c r="R16" s="74" t="n">
        <f aca="false">IF($P16="",0,$P16)</f>
        <v>0</v>
      </c>
    </row>
    <row r="17" customFormat="false" ht="18" hidden="false" customHeight="true" outlineLevel="0" collapsed="false">
      <c r="A17" s="39" t="s">
        <v>124</v>
      </c>
      <c r="B17" s="41" t="n">
        <f aca="false">INT(Parâmetros!$C$4)-6</f>
        <v>46228</v>
      </c>
      <c r="C17" s="40" t="s">
        <v>75</v>
      </c>
      <c r="D17" s="40" t="s">
        <v>165</v>
      </c>
      <c r="E17" s="40" t="s">
        <v>183</v>
      </c>
      <c r="F17" s="42" t="n">
        <v>9</v>
      </c>
      <c r="G17" s="39" t="s">
        <v>62</v>
      </c>
      <c r="H17" s="40"/>
      <c r="I17" s="40"/>
      <c r="J17" s="40"/>
      <c r="K17" s="41"/>
      <c r="L17" s="39"/>
      <c r="M17" s="48" t="str">
        <f aca="false">IF($E17="","",IFERROR(INDEX(Parâmetros!$C$15:$C$20,MATCH($P17,Parâmetros!$B$15:$B$20,0)),""))</f>
        <v>Conforme / N/A</v>
      </c>
      <c r="N17" s="46" t="str">
        <f aca="false">IF($E17="","",IF($P17="","",IF($P17&gt;=8,"Alta",IF($P17&gt;=5,"Média","Baixa"))))</f>
        <v>Baixa</v>
      </c>
      <c r="O17" s="46" t="str">
        <f aca="false">IF($E17="","",IF(AND(Parâmetros!$C$5&gt;0,$P17&lt;&gt;"",$P17&gt;=Parâmetros!$C$5),"Sim","Não"))</f>
        <v>Não</v>
      </c>
      <c r="P17" s="45" t="n">
        <f aca="false">IF($E17="","",IF($G17="","",IF($G17="NOK",$F17,0)))</f>
        <v>0</v>
      </c>
      <c r="Q17" s="46" t="str">
        <f aca="false">IF($E17="","",IF($O17&lt;&gt;"Sim","",COUNTIF($O$3:$O17,"Sim")))</f>
        <v/>
      </c>
      <c r="R17" s="74" t="n">
        <f aca="false">IF($P17="",0,$P17)</f>
        <v>0</v>
      </c>
    </row>
    <row r="18" customFormat="false" ht="18" hidden="false" customHeight="true" outlineLevel="0" collapsed="false">
      <c r="A18" s="39" t="s">
        <v>124</v>
      </c>
      <c r="B18" s="41" t="n">
        <f aca="false">INT(Parâmetros!$C$4)-6</f>
        <v>46228</v>
      </c>
      <c r="C18" s="40" t="s">
        <v>75</v>
      </c>
      <c r="D18" s="40" t="s">
        <v>184</v>
      </c>
      <c r="E18" s="40" t="s">
        <v>185</v>
      </c>
      <c r="F18" s="42" t="n">
        <v>5</v>
      </c>
      <c r="G18" s="39" t="s">
        <v>67</v>
      </c>
      <c r="H18" s="40" t="s">
        <v>310</v>
      </c>
      <c r="I18" s="40" t="s">
        <v>311</v>
      </c>
      <c r="J18" s="40" t="s">
        <v>258</v>
      </c>
      <c r="K18" s="41" t="n">
        <f aca="false">INT(Parâmetros!$C$4)+10</f>
        <v>46244</v>
      </c>
      <c r="L18" s="39" t="s">
        <v>63</v>
      </c>
      <c r="M18" s="48" t="str">
        <f aca="false">IF($E18="","",IFERROR(INDEX(Parâmetros!$C$15:$C$20,MATCH($P18,Parâmetros!$B$15:$B$20,0)),""))</f>
        <v>Programar correção</v>
      </c>
      <c r="N18" s="46" t="str">
        <f aca="false">IF($E18="","",IF($P18="","",IF($P18&gt;=8,"Alta",IF($P18&gt;=5,"Média","Baixa"))))</f>
        <v>Média</v>
      </c>
      <c r="O18" s="46" t="str">
        <f aca="false">IF($E18="","",IF(AND(Parâmetros!$C$5&gt;0,$P18&lt;&gt;"",$P18&gt;=Parâmetros!$C$5),"Sim","Não"))</f>
        <v>Sim</v>
      </c>
      <c r="P18" s="45" t="n">
        <f aca="false">IF($E18="","",IF($G18="","",IF($G18="NOK",$F18,0)))</f>
        <v>5</v>
      </c>
      <c r="Q18" s="46" t="n">
        <f aca="false">IF($E18="","",IF($O18&lt;&gt;"Sim","",COUNTIF($O$3:$O18,"Sim")))</f>
        <v>4</v>
      </c>
      <c r="R18" s="74" t="n">
        <f aca="false">IF($P18="",0,$P18)</f>
        <v>5</v>
      </c>
    </row>
    <row r="19" customFormat="false" ht="18" hidden="false" customHeight="true" outlineLevel="0" collapsed="false">
      <c r="A19" s="39" t="s">
        <v>124</v>
      </c>
      <c r="B19" s="41" t="n">
        <f aca="false">INT(Parâmetros!$C$4)-6</f>
        <v>46228</v>
      </c>
      <c r="C19" s="40" t="s">
        <v>75</v>
      </c>
      <c r="D19" s="40" t="s">
        <v>172</v>
      </c>
      <c r="E19" s="40" t="s">
        <v>186</v>
      </c>
      <c r="F19" s="42" t="n">
        <v>3</v>
      </c>
      <c r="G19" s="39" t="s">
        <v>67</v>
      </c>
      <c r="H19" s="40" t="s">
        <v>312</v>
      </c>
      <c r="I19" s="40" t="s">
        <v>313</v>
      </c>
      <c r="J19" s="40" t="s">
        <v>258</v>
      </c>
      <c r="K19" s="41" t="n">
        <f aca="false">INT(Parâmetros!$C$4)+5</f>
        <v>46239</v>
      </c>
      <c r="L19" s="39" t="s">
        <v>68</v>
      </c>
      <c r="M19" s="48" t="str">
        <f aca="false">IF($E19="","",IFERROR(INDEX(Parâmetros!$C$15:$C$20,MATCH($P19,Parâmetros!$B$15:$B$20,0)),""))</f>
        <v>Observação</v>
      </c>
      <c r="N19" s="46" t="str">
        <f aca="false">IF($E19="","",IF($P19="","",IF($P19&gt;=8,"Alta",IF($P19&gt;=5,"Média","Baixa"))))</f>
        <v>Baixa</v>
      </c>
      <c r="O19" s="46" t="str">
        <f aca="false">IF($E19="","",IF(AND(Parâmetros!$C$5&gt;0,$P19&lt;&gt;"",$P19&gt;=Parâmetros!$C$5),"Sim","Não"))</f>
        <v>Não</v>
      </c>
      <c r="P19" s="45" t="n">
        <f aca="false">IF($E19="","",IF($G19="","",IF($G19="NOK",$F19,0)))</f>
        <v>3</v>
      </c>
      <c r="Q19" s="46" t="str">
        <f aca="false">IF($E19="","",IF($O19&lt;&gt;"Sim","",COUNTIF($O$3:$O19,"Sim")))</f>
        <v/>
      </c>
      <c r="R19" s="74" t="n">
        <f aca="false">IF($P19="",0,$P19)</f>
        <v>3</v>
      </c>
    </row>
    <row r="20" customFormat="false" ht="18" hidden="false" customHeight="true" outlineLevel="0" collapsed="false">
      <c r="A20" s="39" t="s">
        <v>124</v>
      </c>
      <c r="B20" s="41" t="n">
        <f aca="false">INT(Parâmetros!$C$4)-6</f>
        <v>46228</v>
      </c>
      <c r="C20" s="40" t="s">
        <v>75</v>
      </c>
      <c r="D20" s="40" t="s">
        <v>174</v>
      </c>
      <c r="E20" s="40" t="s">
        <v>187</v>
      </c>
      <c r="F20" s="42" t="n">
        <v>9</v>
      </c>
      <c r="G20" s="39" t="s">
        <v>62</v>
      </c>
      <c r="H20" s="40"/>
      <c r="I20" s="40"/>
      <c r="J20" s="40"/>
      <c r="K20" s="41"/>
      <c r="L20" s="39"/>
      <c r="M20" s="48" t="str">
        <f aca="false">IF($E20="","",IFERROR(INDEX(Parâmetros!$C$15:$C$20,MATCH($P20,Parâmetros!$B$15:$B$20,0)),""))</f>
        <v>Conforme / N/A</v>
      </c>
      <c r="N20" s="46" t="str">
        <f aca="false">IF($E20="","",IF($P20="","",IF($P20&gt;=8,"Alta",IF($P20&gt;=5,"Média","Baixa"))))</f>
        <v>Baixa</v>
      </c>
      <c r="O20" s="46" t="str">
        <f aca="false">IF($E20="","",IF(AND(Parâmetros!$C$5&gt;0,$P20&lt;&gt;"",$P20&gt;=Parâmetros!$C$5),"Sim","Não"))</f>
        <v>Não</v>
      </c>
      <c r="P20" s="45" t="n">
        <f aca="false">IF($E20="","",IF($G20="","",IF($G20="NOK",$F20,0)))</f>
        <v>0</v>
      </c>
      <c r="Q20" s="46" t="str">
        <f aca="false">IF($E20="","",IF($O20&lt;&gt;"Sim","",COUNTIF($O$3:$O20,"Sim")))</f>
        <v/>
      </c>
      <c r="R20" s="74" t="n">
        <f aca="false">IF($P20="",0,$P20)</f>
        <v>0</v>
      </c>
    </row>
    <row r="21" customFormat="false" ht="18" hidden="false" customHeight="true" outlineLevel="0" collapsed="false">
      <c r="A21" s="39" t="s">
        <v>139</v>
      </c>
      <c r="B21" s="41" t="n">
        <f aca="false">INT(Parâmetros!$C$4)-11</f>
        <v>46223</v>
      </c>
      <c r="C21" s="40" t="s">
        <v>61</v>
      </c>
      <c r="D21" s="40" t="s">
        <v>188</v>
      </c>
      <c r="E21" s="40" t="s">
        <v>189</v>
      </c>
      <c r="F21" s="42" t="n">
        <v>9</v>
      </c>
      <c r="G21" s="39" t="s">
        <v>67</v>
      </c>
      <c r="H21" s="40" t="s">
        <v>314</v>
      </c>
      <c r="I21" s="40" t="s">
        <v>315</v>
      </c>
      <c r="J21" s="40" t="s">
        <v>260</v>
      </c>
      <c r="K21" s="41" t="n">
        <f aca="false">INT(Parâmetros!$C$4)-4</f>
        <v>46230</v>
      </c>
      <c r="L21" s="39" t="s">
        <v>63</v>
      </c>
      <c r="M21" s="48" t="str">
        <f aca="false">IF($E21="","",IFERROR(INDEX(Parâmetros!$C$15:$C$20,MATCH($P21,Parâmetros!$B$15:$B$20,0)),""))</f>
        <v>Corrigir imediatamente</v>
      </c>
      <c r="N21" s="46" t="str">
        <f aca="false">IF($E21="","",IF($P21="","",IF($P21&gt;=8,"Alta",IF($P21&gt;=5,"Média","Baixa"))))</f>
        <v>Alta</v>
      </c>
      <c r="O21" s="46" t="str">
        <f aca="false">IF($E21="","",IF(AND(Parâmetros!$C$5&gt;0,$P21&lt;&gt;"",$P21&gt;=Parâmetros!$C$5),"Sim","Não"))</f>
        <v>Sim</v>
      </c>
      <c r="P21" s="45" t="n">
        <f aca="false">IF($E21="","",IF($G21="","",IF($G21="NOK",$F21,0)))</f>
        <v>9</v>
      </c>
      <c r="Q21" s="46" t="n">
        <f aca="false">IF($E21="","",IF($O21&lt;&gt;"Sim","",COUNTIF($O$3:$O21,"Sim")))</f>
        <v>5</v>
      </c>
      <c r="R21" s="74" t="n">
        <f aca="false">IF($P21="",0,$P21)</f>
        <v>9</v>
      </c>
    </row>
    <row r="22" customFormat="false" ht="18" hidden="false" customHeight="true" outlineLevel="0" collapsed="false">
      <c r="A22" s="39" t="s">
        <v>139</v>
      </c>
      <c r="B22" s="41" t="n">
        <f aca="false">INT(Parâmetros!$C$4)-11</f>
        <v>46223</v>
      </c>
      <c r="C22" s="40" t="s">
        <v>61</v>
      </c>
      <c r="D22" s="40" t="s">
        <v>190</v>
      </c>
      <c r="E22" s="40" t="s">
        <v>191</v>
      </c>
      <c r="F22" s="42" t="n">
        <v>9</v>
      </c>
      <c r="G22" s="39" t="s">
        <v>62</v>
      </c>
      <c r="H22" s="40"/>
      <c r="I22" s="40"/>
      <c r="J22" s="40"/>
      <c r="K22" s="41"/>
      <c r="L22" s="39"/>
      <c r="M22" s="48" t="str">
        <f aca="false">IF($E22="","",IFERROR(INDEX(Parâmetros!$C$15:$C$20,MATCH($P22,Parâmetros!$B$15:$B$20,0)),""))</f>
        <v>Conforme / N/A</v>
      </c>
      <c r="N22" s="46" t="str">
        <f aca="false">IF($E22="","",IF($P22="","",IF($P22&gt;=8,"Alta",IF($P22&gt;=5,"Média","Baixa"))))</f>
        <v>Baixa</v>
      </c>
      <c r="O22" s="46" t="str">
        <f aca="false">IF($E22="","",IF(AND(Parâmetros!$C$5&gt;0,$P22&lt;&gt;"",$P22&gt;=Parâmetros!$C$5),"Sim","Não"))</f>
        <v>Não</v>
      </c>
      <c r="P22" s="45" t="n">
        <f aca="false">IF($E22="","",IF($G22="","",IF($G22="NOK",$F22,0)))</f>
        <v>0</v>
      </c>
      <c r="Q22" s="46" t="str">
        <f aca="false">IF($E22="","",IF($O22&lt;&gt;"Sim","",COUNTIF($O$3:$O22,"Sim")))</f>
        <v/>
      </c>
      <c r="R22" s="74" t="n">
        <f aca="false">IF($P22="",0,$P22)</f>
        <v>0</v>
      </c>
    </row>
    <row r="23" customFormat="false" ht="18" hidden="false" customHeight="true" outlineLevel="0" collapsed="false">
      <c r="A23" s="39" t="s">
        <v>139</v>
      </c>
      <c r="B23" s="41" t="n">
        <f aca="false">INT(Parâmetros!$C$4)-11</f>
        <v>46223</v>
      </c>
      <c r="C23" s="40" t="s">
        <v>61</v>
      </c>
      <c r="D23" s="40" t="s">
        <v>190</v>
      </c>
      <c r="E23" s="40" t="s">
        <v>192</v>
      </c>
      <c r="F23" s="42" t="n">
        <v>7</v>
      </c>
      <c r="G23" s="39" t="s">
        <v>67</v>
      </c>
      <c r="H23" s="40" t="s">
        <v>316</v>
      </c>
      <c r="I23" s="40" t="s">
        <v>317</v>
      </c>
      <c r="J23" s="40" t="s">
        <v>260</v>
      </c>
      <c r="K23" s="41" t="n">
        <f aca="false">INT(Parâmetros!$C$4)+6</f>
        <v>46240</v>
      </c>
      <c r="L23" s="39" t="s">
        <v>63</v>
      </c>
      <c r="M23" s="48" t="str">
        <f aca="false">IF($E23="","",IFERROR(INDEX(Parâmetros!$C$15:$C$20,MATCH($P23,Parâmetros!$B$15:$B$20,0)),""))</f>
        <v>Corrigir na próxima parada</v>
      </c>
      <c r="N23" s="46" t="str">
        <f aca="false">IF($E23="","",IF($P23="","",IF($P23&gt;=8,"Alta",IF($P23&gt;=5,"Média","Baixa"))))</f>
        <v>Média</v>
      </c>
      <c r="O23" s="46" t="str">
        <f aca="false">IF($E23="","",IF(AND(Parâmetros!$C$5&gt;0,$P23&lt;&gt;"",$P23&gt;=Parâmetros!$C$5),"Sim","Não"))</f>
        <v>Sim</v>
      </c>
      <c r="P23" s="45" t="n">
        <f aca="false">IF($E23="","",IF($G23="","",IF($G23="NOK",$F23,0)))</f>
        <v>7</v>
      </c>
      <c r="Q23" s="46" t="n">
        <f aca="false">IF($E23="","",IF($O23&lt;&gt;"Sim","",COUNTIF($O$3:$O23,"Sim")))</f>
        <v>6</v>
      </c>
      <c r="R23" s="74" t="n">
        <f aca="false">IF($P23="",0,$P23)</f>
        <v>7</v>
      </c>
    </row>
    <row r="24" customFormat="false" ht="18" hidden="false" customHeight="true" outlineLevel="0" collapsed="false">
      <c r="A24" s="39" t="s">
        <v>139</v>
      </c>
      <c r="B24" s="41" t="n">
        <f aca="false">INT(Parâmetros!$C$4)-11</f>
        <v>46223</v>
      </c>
      <c r="C24" s="40" t="s">
        <v>61</v>
      </c>
      <c r="D24" s="40" t="s">
        <v>190</v>
      </c>
      <c r="E24" s="40" t="s">
        <v>193</v>
      </c>
      <c r="F24" s="42" t="n">
        <v>7</v>
      </c>
      <c r="G24" s="39" t="s">
        <v>67</v>
      </c>
      <c r="H24" s="40" t="s">
        <v>318</v>
      </c>
      <c r="I24" s="40" t="s">
        <v>319</v>
      </c>
      <c r="J24" s="40" t="s">
        <v>260</v>
      </c>
      <c r="K24" s="41" t="n">
        <f aca="false">INT(Parâmetros!$C$4)+14</f>
        <v>46248</v>
      </c>
      <c r="L24" s="39" t="s">
        <v>63</v>
      </c>
      <c r="M24" s="48" t="str">
        <f aca="false">IF($E24="","",IFERROR(INDEX(Parâmetros!$C$15:$C$20,MATCH($P24,Parâmetros!$B$15:$B$20,0)),""))</f>
        <v>Corrigir na próxima parada</v>
      </c>
      <c r="N24" s="46" t="str">
        <f aca="false">IF($E24="","",IF($P24="","",IF($P24&gt;=8,"Alta",IF($P24&gt;=5,"Média","Baixa"))))</f>
        <v>Média</v>
      </c>
      <c r="O24" s="46" t="str">
        <f aca="false">IF($E24="","",IF(AND(Parâmetros!$C$5&gt;0,$P24&lt;&gt;"",$P24&gt;=Parâmetros!$C$5),"Sim","Não"))</f>
        <v>Sim</v>
      </c>
      <c r="P24" s="45" t="n">
        <f aca="false">IF($E24="","",IF($G24="","",IF($G24="NOK",$F24,0)))</f>
        <v>7</v>
      </c>
      <c r="Q24" s="46" t="n">
        <f aca="false">IF($E24="","",IF($O24&lt;&gt;"Sim","",COUNTIF($O$3:$O24,"Sim")))</f>
        <v>7</v>
      </c>
      <c r="R24" s="74" t="n">
        <f aca="false">IF($P24="",0,$P24)</f>
        <v>7</v>
      </c>
    </row>
    <row r="25" customFormat="false" ht="18" hidden="false" customHeight="true" outlineLevel="0" collapsed="false">
      <c r="A25" s="39" t="s">
        <v>139</v>
      </c>
      <c r="B25" s="41" t="n">
        <f aca="false">INT(Parâmetros!$C$4)-11</f>
        <v>46223</v>
      </c>
      <c r="C25" s="40" t="s">
        <v>61</v>
      </c>
      <c r="D25" s="40" t="s">
        <v>194</v>
      </c>
      <c r="E25" s="40" t="s">
        <v>195</v>
      </c>
      <c r="F25" s="42" t="n">
        <v>10</v>
      </c>
      <c r="G25" s="39" t="s">
        <v>62</v>
      </c>
      <c r="H25" s="40"/>
      <c r="I25" s="40"/>
      <c r="J25" s="40"/>
      <c r="K25" s="41"/>
      <c r="L25" s="39"/>
      <c r="M25" s="48" t="str">
        <f aca="false">IF($E25="","",IFERROR(INDEX(Parâmetros!$C$15:$C$20,MATCH($P25,Parâmetros!$B$15:$B$20,0)),""))</f>
        <v>Conforme / N/A</v>
      </c>
      <c r="N25" s="46" t="str">
        <f aca="false">IF($E25="","",IF($P25="","",IF($P25&gt;=8,"Alta",IF($P25&gt;=5,"Média","Baixa"))))</f>
        <v>Baixa</v>
      </c>
      <c r="O25" s="46" t="str">
        <f aca="false">IF($E25="","",IF(AND(Parâmetros!$C$5&gt;0,$P25&lt;&gt;"",$P25&gt;=Parâmetros!$C$5),"Sim","Não"))</f>
        <v>Não</v>
      </c>
      <c r="P25" s="45" t="n">
        <f aca="false">IF($E25="","",IF($G25="","",IF($G25="NOK",$F25,0)))</f>
        <v>0</v>
      </c>
      <c r="Q25" s="46" t="str">
        <f aca="false">IF($E25="","",IF($O25&lt;&gt;"Sim","",COUNTIF($O$3:$O25,"Sim")))</f>
        <v/>
      </c>
      <c r="R25" s="74" t="n">
        <f aca="false">IF($P25="",0,$P25)</f>
        <v>0</v>
      </c>
    </row>
    <row r="26" customFormat="false" ht="18" hidden="false" customHeight="true" outlineLevel="0" collapsed="false">
      <c r="A26" s="39" t="s">
        <v>139</v>
      </c>
      <c r="B26" s="41" t="n">
        <f aca="false">INT(Parâmetros!$C$4)-11</f>
        <v>46223</v>
      </c>
      <c r="C26" s="40" t="s">
        <v>61</v>
      </c>
      <c r="D26" s="40" t="s">
        <v>194</v>
      </c>
      <c r="E26" s="40" t="s">
        <v>196</v>
      </c>
      <c r="F26" s="42" t="n">
        <v>7</v>
      </c>
      <c r="G26" s="39" t="s">
        <v>67</v>
      </c>
      <c r="H26" s="40" t="s">
        <v>320</v>
      </c>
      <c r="I26" s="40" t="s">
        <v>321</v>
      </c>
      <c r="J26" s="40" t="s">
        <v>260</v>
      </c>
      <c r="K26" s="41" t="n">
        <f aca="false">INT(Parâmetros!$C$4)+4</f>
        <v>46238</v>
      </c>
      <c r="L26" s="39" t="s">
        <v>63</v>
      </c>
      <c r="M26" s="48" t="str">
        <f aca="false">IF($E26="","",IFERROR(INDEX(Parâmetros!$C$15:$C$20,MATCH($P26,Parâmetros!$B$15:$B$20,0)),""))</f>
        <v>Corrigir na próxima parada</v>
      </c>
      <c r="N26" s="46" t="str">
        <f aca="false">IF($E26="","",IF($P26="","",IF($P26&gt;=8,"Alta",IF($P26&gt;=5,"Média","Baixa"))))</f>
        <v>Média</v>
      </c>
      <c r="O26" s="46" t="str">
        <f aca="false">IF($E26="","",IF(AND(Parâmetros!$C$5&gt;0,$P26&lt;&gt;"",$P26&gt;=Parâmetros!$C$5),"Sim","Não"))</f>
        <v>Sim</v>
      </c>
      <c r="P26" s="45" t="n">
        <f aca="false">IF($E26="","",IF($G26="","",IF($G26="NOK",$F26,0)))</f>
        <v>7</v>
      </c>
      <c r="Q26" s="46" t="n">
        <f aca="false">IF($E26="","",IF($O26&lt;&gt;"Sim","",COUNTIF($O$3:$O26,"Sim")))</f>
        <v>8</v>
      </c>
      <c r="R26" s="74" t="n">
        <f aca="false">IF($P26="",0,$P26)</f>
        <v>7</v>
      </c>
    </row>
    <row r="27" customFormat="false" ht="18" hidden="false" customHeight="true" outlineLevel="0" collapsed="false">
      <c r="A27" s="39" t="s">
        <v>139</v>
      </c>
      <c r="B27" s="41" t="n">
        <f aca="false">INT(Parâmetros!$C$4)-11</f>
        <v>46223</v>
      </c>
      <c r="C27" s="40" t="s">
        <v>61</v>
      </c>
      <c r="D27" s="40" t="s">
        <v>197</v>
      </c>
      <c r="E27" s="40" t="s">
        <v>198</v>
      </c>
      <c r="F27" s="42" t="n">
        <v>5</v>
      </c>
      <c r="G27" s="39" t="s">
        <v>62</v>
      </c>
      <c r="H27" s="40"/>
      <c r="I27" s="40"/>
      <c r="J27" s="40"/>
      <c r="K27" s="41"/>
      <c r="L27" s="39"/>
      <c r="M27" s="48" t="str">
        <f aca="false">IF($E27="","",IFERROR(INDEX(Parâmetros!$C$15:$C$20,MATCH($P27,Parâmetros!$B$15:$B$20,0)),""))</f>
        <v>Conforme / N/A</v>
      </c>
      <c r="N27" s="46" t="str">
        <f aca="false">IF($E27="","",IF($P27="","",IF($P27&gt;=8,"Alta",IF($P27&gt;=5,"Média","Baixa"))))</f>
        <v>Baixa</v>
      </c>
      <c r="O27" s="46" t="str">
        <f aca="false">IF($E27="","",IF(AND(Parâmetros!$C$5&gt;0,$P27&lt;&gt;"",$P27&gt;=Parâmetros!$C$5),"Sim","Não"))</f>
        <v>Não</v>
      </c>
      <c r="P27" s="45" t="n">
        <f aca="false">IF($E27="","",IF($G27="","",IF($G27="NOK",$F27,0)))</f>
        <v>0</v>
      </c>
      <c r="Q27" s="46" t="str">
        <f aca="false">IF($E27="","",IF($O27&lt;&gt;"Sim","",COUNTIF($O$3:$O27,"Sim")))</f>
        <v/>
      </c>
      <c r="R27" s="74" t="n">
        <f aca="false">IF($P27="",0,$P27)</f>
        <v>0</v>
      </c>
    </row>
    <row r="28" customFormat="false" ht="18" hidden="false" customHeight="true" outlineLevel="0" collapsed="false">
      <c r="A28" s="39" t="s">
        <v>139</v>
      </c>
      <c r="B28" s="41" t="n">
        <f aca="false">INT(Parâmetros!$C$4)-11</f>
        <v>46223</v>
      </c>
      <c r="C28" s="40" t="s">
        <v>61</v>
      </c>
      <c r="D28" s="40" t="s">
        <v>199</v>
      </c>
      <c r="E28" s="40" t="s">
        <v>200</v>
      </c>
      <c r="F28" s="42" t="n">
        <v>10</v>
      </c>
      <c r="G28" s="39" t="s">
        <v>62</v>
      </c>
      <c r="H28" s="40"/>
      <c r="I28" s="40"/>
      <c r="J28" s="40"/>
      <c r="K28" s="41"/>
      <c r="L28" s="39"/>
      <c r="M28" s="48" t="str">
        <f aca="false">IF($E28="","",IFERROR(INDEX(Parâmetros!$C$15:$C$20,MATCH($P28,Parâmetros!$B$15:$B$20,0)),""))</f>
        <v>Conforme / N/A</v>
      </c>
      <c r="N28" s="46" t="str">
        <f aca="false">IF($E28="","",IF($P28="","",IF($P28&gt;=8,"Alta",IF($P28&gt;=5,"Média","Baixa"))))</f>
        <v>Baixa</v>
      </c>
      <c r="O28" s="46" t="str">
        <f aca="false">IF($E28="","",IF(AND(Parâmetros!$C$5&gt;0,$P28&lt;&gt;"",$P28&gt;=Parâmetros!$C$5),"Sim","Não"))</f>
        <v>Não</v>
      </c>
      <c r="P28" s="45" t="n">
        <f aca="false">IF($E28="","",IF($G28="","",IF($G28="NOK",$F28,0)))</f>
        <v>0</v>
      </c>
      <c r="Q28" s="46" t="str">
        <f aca="false">IF($E28="","",IF($O28&lt;&gt;"Sim","",COUNTIF($O$3:$O28,"Sim")))</f>
        <v/>
      </c>
      <c r="R28" s="74" t="n">
        <f aca="false">IF($P28="",0,$P28)</f>
        <v>0</v>
      </c>
    </row>
    <row r="29" customFormat="false" ht="18" hidden="false" customHeight="true" outlineLevel="0" collapsed="false">
      <c r="A29" s="39" t="s">
        <v>139</v>
      </c>
      <c r="B29" s="41" t="n">
        <f aca="false">INT(Parâmetros!$C$4)-11</f>
        <v>46223</v>
      </c>
      <c r="C29" s="40" t="s">
        <v>61</v>
      </c>
      <c r="D29" s="40" t="s">
        <v>201</v>
      </c>
      <c r="E29" s="40" t="s">
        <v>202</v>
      </c>
      <c r="F29" s="42" t="n">
        <v>9</v>
      </c>
      <c r="G29" s="39" t="s">
        <v>62</v>
      </c>
      <c r="H29" s="40"/>
      <c r="I29" s="40"/>
      <c r="J29" s="40"/>
      <c r="K29" s="41"/>
      <c r="L29" s="39"/>
      <c r="M29" s="48" t="str">
        <f aca="false">IF($E29="","",IFERROR(INDEX(Parâmetros!$C$15:$C$20,MATCH($P29,Parâmetros!$B$15:$B$20,0)),""))</f>
        <v>Conforme / N/A</v>
      </c>
      <c r="N29" s="46" t="str">
        <f aca="false">IF($E29="","",IF($P29="","",IF($P29&gt;=8,"Alta",IF($P29&gt;=5,"Média","Baixa"))))</f>
        <v>Baixa</v>
      </c>
      <c r="O29" s="46" t="str">
        <f aca="false">IF($E29="","",IF(AND(Parâmetros!$C$5&gt;0,$P29&lt;&gt;"",$P29&gt;=Parâmetros!$C$5),"Sim","Não"))</f>
        <v>Não</v>
      </c>
      <c r="P29" s="45" t="n">
        <f aca="false">IF($E29="","",IF($G29="","",IF($G29="NOK",$F29,0)))</f>
        <v>0</v>
      </c>
      <c r="Q29" s="46" t="str">
        <f aca="false">IF($E29="","",IF($O29&lt;&gt;"Sim","",COUNTIF($O$3:$O29,"Sim")))</f>
        <v/>
      </c>
      <c r="R29" s="74" t="n">
        <f aca="false">IF($P29="",0,$P29)</f>
        <v>0</v>
      </c>
    </row>
    <row r="30" customFormat="false" ht="18" hidden="false" customHeight="true" outlineLevel="0" collapsed="false">
      <c r="A30" s="39" t="s">
        <v>135</v>
      </c>
      <c r="B30" s="41" t="n">
        <f aca="false">INT(Parâmetros!$C$4)-25</f>
        <v>46209</v>
      </c>
      <c r="C30" s="40" t="s">
        <v>71</v>
      </c>
      <c r="D30" s="40" t="s">
        <v>179</v>
      </c>
      <c r="E30" s="40" t="s">
        <v>203</v>
      </c>
      <c r="F30" s="42" t="n">
        <v>9</v>
      </c>
      <c r="G30" s="39" t="s">
        <v>62</v>
      </c>
      <c r="H30" s="40"/>
      <c r="I30" s="40"/>
      <c r="J30" s="40"/>
      <c r="K30" s="41"/>
      <c r="L30" s="39"/>
      <c r="M30" s="48" t="str">
        <f aca="false">IF($E30="","",IFERROR(INDEX(Parâmetros!$C$15:$C$20,MATCH($P30,Parâmetros!$B$15:$B$20,0)),""))</f>
        <v>Conforme / N/A</v>
      </c>
      <c r="N30" s="46" t="str">
        <f aca="false">IF($E30="","",IF($P30="","",IF($P30&gt;=8,"Alta",IF($P30&gt;=5,"Média","Baixa"))))</f>
        <v>Baixa</v>
      </c>
      <c r="O30" s="46" t="str">
        <f aca="false">IF($E30="","",IF(AND(Parâmetros!$C$5&gt;0,$P30&lt;&gt;"",$P30&gt;=Parâmetros!$C$5),"Sim","Não"))</f>
        <v>Não</v>
      </c>
      <c r="P30" s="45" t="n">
        <f aca="false">IF($E30="","",IF($G30="","",IF($G30="NOK",$F30,0)))</f>
        <v>0</v>
      </c>
      <c r="Q30" s="46" t="str">
        <f aca="false">IF($E30="","",IF($O30&lt;&gt;"Sim","",COUNTIF($O$3:$O30,"Sim")))</f>
        <v/>
      </c>
      <c r="R30" s="74" t="n">
        <f aca="false">IF($P30="",0,$P30)</f>
        <v>0</v>
      </c>
    </row>
    <row r="31" customFormat="false" ht="18" hidden="false" customHeight="true" outlineLevel="0" collapsed="false">
      <c r="A31" s="39" t="s">
        <v>135</v>
      </c>
      <c r="B31" s="41" t="n">
        <f aca="false">INT(Parâmetros!$C$4)-25</f>
        <v>46209</v>
      </c>
      <c r="C31" s="40" t="s">
        <v>71</v>
      </c>
      <c r="D31" s="40" t="s">
        <v>179</v>
      </c>
      <c r="E31" s="40" t="s">
        <v>204</v>
      </c>
      <c r="F31" s="42" t="n">
        <v>10</v>
      </c>
      <c r="G31" s="39" t="s">
        <v>62</v>
      </c>
      <c r="H31" s="40" t="s">
        <v>322</v>
      </c>
      <c r="I31" s="40"/>
      <c r="J31" s="40"/>
      <c r="K31" s="41"/>
      <c r="L31" s="39"/>
      <c r="M31" s="48" t="str">
        <f aca="false">IF($E31="","",IFERROR(INDEX(Parâmetros!$C$15:$C$20,MATCH($P31,Parâmetros!$B$15:$B$20,0)),""))</f>
        <v>Conforme / N/A</v>
      </c>
      <c r="N31" s="46" t="str">
        <f aca="false">IF($E31="","",IF($P31="","",IF($P31&gt;=8,"Alta",IF($P31&gt;=5,"Média","Baixa"))))</f>
        <v>Baixa</v>
      </c>
      <c r="O31" s="46" t="str">
        <f aca="false">IF($E31="","",IF(AND(Parâmetros!$C$5&gt;0,$P31&lt;&gt;"",$P31&gt;=Parâmetros!$C$5),"Sim","Não"))</f>
        <v>Não</v>
      </c>
      <c r="P31" s="45" t="n">
        <f aca="false">IF($E31="","",IF($G31="","",IF($G31="NOK",$F31,0)))</f>
        <v>0</v>
      </c>
      <c r="Q31" s="46" t="str">
        <f aca="false">IF($E31="","",IF($O31&lt;&gt;"Sim","",COUNTIF($O$3:$O31,"Sim")))</f>
        <v/>
      </c>
      <c r="R31" s="74" t="n">
        <f aca="false">IF($P31="",0,$P31)</f>
        <v>0</v>
      </c>
    </row>
    <row r="32" customFormat="false" ht="18" hidden="false" customHeight="true" outlineLevel="0" collapsed="false">
      <c r="A32" s="39" t="s">
        <v>135</v>
      </c>
      <c r="B32" s="41" t="n">
        <f aca="false">INT(Parâmetros!$C$4)-25</f>
        <v>46209</v>
      </c>
      <c r="C32" s="40" t="s">
        <v>71</v>
      </c>
      <c r="D32" s="40" t="s">
        <v>205</v>
      </c>
      <c r="E32" s="40" t="s">
        <v>206</v>
      </c>
      <c r="F32" s="42" t="n">
        <v>5</v>
      </c>
      <c r="G32" s="39" t="s">
        <v>62</v>
      </c>
      <c r="H32" s="40"/>
      <c r="I32" s="40"/>
      <c r="J32" s="40"/>
      <c r="K32" s="41"/>
      <c r="L32" s="39"/>
      <c r="M32" s="48" t="str">
        <f aca="false">IF($E32="","",IFERROR(INDEX(Parâmetros!$C$15:$C$20,MATCH($P32,Parâmetros!$B$15:$B$20,0)),""))</f>
        <v>Conforme / N/A</v>
      </c>
      <c r="N32" s="46" t="str">
        <f aca="false">IF($E32="","",IF($P32="","",IF($P32&gt;=8,"Alta",IF($P32&gt;=5,"Média","Baixa"))))</f>
        <v>Baixa</v>
      </c>
      <c r="O32" s="46" t="str">
        <f aca="false">IF($E32="","",IF(AND(Parâmetros!$C$5&gt;0,$P32&lt;&gt;"",$P32&gt;=Parâmetros!$C$5),"Sim","Não"))</f>
        <v>Não</v>
      </c>
      <c r="P32" s="45" t="n">
        <f aca="false">IF($E32="","",IF($G32="","",IF($G32="NOK",$F32,0)))</f>
        <v>0</v>
      </c>
      <c r="Q32" s="46" t="str">
        <f aca="false">IF($E32="","",IF($O32&lt;&gt;"Sim","",COUNTIF($O$3:$O32,"Sim")))</f>
        <v/>
      </c>
      <c r="R32" s="74" t="n">
        <f aca="false">IF($P32="",0,$P32)</f>
        <v>0</v>
      </c>
    </row>
    <row r="33" customFormat="false" ht="18" hidden="false" customHeight="true" outlineLevel="0" collapsed="false">
      <c r="A33" s="39" t="s">
        <v>135</v>
      </c>
      <c r="B33" s="41" t="n">
        <f aca="false">INT(Parâmetros!$C$4)-25</f>
        <v>46209</v>
      </c>
      <c r="C33" s="40" t="s">
        <v>71</v>
      </c>
      <c r="D33" s="40" t="s">
        <v>205</v>
      </c>
      <c r="E33" s="40" t="s">
        <v>207</v>
      </c>
      <c r="F33" s="42" t="n">
        <v>7</v>
      </c>
      <c r="G33" s="39" t="s">
        <v>67</v>
      </c>
      <c r="H33" s="40" t="s">
        <v>323</v>
      </c>
      <c r="I33" s="40" t="s">
        <v>324</v>
      </c>
      <c r="J33" s="40" t="s">
        <v>256</v>
      </c>
      <c r="K33" s="41" t="n">
        <f aca="false">INT(Parâmetros!$C$4)-2</f>
        <v>46232</v>
      </c>
      <c r="L33" s="39" t="s">
        <v>63</v>
      </c>
      <c r="M33" s="48" t="str">
        <f aca="false">IF($E33="","",IFERROR(INDEX(Parâmetros!$C$15:$C$20,MATCH($P33,Parâmetros!$B$15:$B$20,0)),""))</f>
        <v>Corrigir na próxima parada</v>
      </c>
      <c r="N33" s="46" t="str">
        <f aca="false">IF($E33="","",IF($P33="","",IF($P33&gt;=8,"Alta",IF($P33&gt;=5,"Média","Baixa"))))</f>
        <v>Média</v>
      </c>
      <c r="O33" s="46" t="str">
        <f aca="false">IF($E33="","",IF(AND(Parâmetros!$C$5&gt;0,$P33&lt;&gt;"",$P33&gt;=Parâmetros!$C$5),"Sim","Não"))</f>
        <v>Sim</v>
      </c>
      <c r="P33" s="45" t="n">
        <f aca="false">IF($E33="","",IF($G33="","",IF($G33="NOK",$F33,0)))</f>
        <v>7</v>
      </c>
      <c r="Q33" s="46" t="n">
        <f aca="false">IF($E33="","",IF($O33&lt;&gt;"Sim","",COUNTIF($O$3:$O33,"Sim")))</f>
        <v>9</v>
      </c>
      <c r="R33" s="74" t="n">
        <f aca="false">IF($P33="",0,$P33)</f>
        <v>7</v>
      </c>
    </row>
    <row r="34" customFormat="false" ht="18" hidden="false" customHeight="true" outlineLevel="0" collapsed="false">
      <c r="A34" s="39" t="s">
        <v>135</v>
      </c>
      <c r="B34" s="41" t="n">
        <f aca="false">INT(Parâmetros!$C$4)-25</f>
        <v>46209</v>
      </c>
      <c r="C34" s="40" t="s">
        <v>71</v>
      </c>
      <c r="D34" s="40" t="s">
        <v>208</v>
      </c>
      <c r="E34" s="40" t="s">
        <v>209</v>
      </c>
      <c r="F34" s="42" t="n">
        <v>5</v>
      </c>
      <c r="G34" s="39" t="s">
        <v>67</v>
      </c>
      <c r="H34" s="40" t="s">
        <v>325</v>
      </c>
      <c r="I34" s="40" t="s">
        <v>326</v>
      </c>
      <c r="J34" s="40" t="s">
        <v>256</v>
      </c>
      <c r="K34" s="41" t="n">
        <f aca="false">INT(Parâmetros!$C$4)+9</f>
        <v>46243</v>
      </c>
      <c r="L34" s="39" t="s">
        <v>63</v>
      </c>
      <c r="M34" s="48" t="str">
        <f aca="false">IF($E34="","",IFERROR(INDEX(Parâmetros!$C$15:$C$20,MATCH($P34,Parâmetros!$B$15:$B$20,0)),""))</f>
        <v>Programar correção</v>
      </c>
      <c r="N34" s="46" t="str">
        <f aca="false">IF($E34="","",IF($P34="","",IF($P34&gt;=8,"Alta",IF($P34&gt;=5,"Média","Baixa"))))</f>
        <v>Média</v>
      </c>
      <c r="O34" s="46" t="str">
        <f aca="false">IF($E34="","",IF(AND(Parâmetros!$C$5&gt;0,$P34&lt;&gt;"",$P34&gt;=Parâmetros!$C$5),"Sim","Não"))</f>
        <v>Sim</v>
      </c>
      <c r="P34" s="45" t="n">
        <f aca="false">IF($E34="","",IF($G34="","",IF($G34="NOK",$F34,0)))</f>
        <v>5</v>
      </c>
      <c r="Q34" s="46" t="n">
        <f aca="false">IF($E34="","",IF($O34&lt;&gt;"Sim","",COUNTIF($O$3:$O34,"Sim")))</f>
        <v>10</v>
      </c>
      <c r="R34" s="74" t="n">
        <f aca="false">IF($P34="",0,$P34)</f>
        <v>5</v>
      </c>
    </row>
    <row r="35" customFormat="false" ht="18" hidden="false" customHeight="true" outlineLevel="0" collapsed="false">
      <c r="A35" s="39" t="s">
        <v>135</v>
      </c>
      <c r="B35" s="41" t="n">
        <f aca="false">INT(Parâmetros!$C$4)-25</f>
        <v>46209</v>
      </c>
      <c r="C35" s="40" t="s">
        <v>71</v>
      </c>
      <c r="D35" s="40" t="s">
        <v>210</v>
      </c>
      <c r="E35" s="40" t="s">
        <v>211</v>
      </c>
      <c r="F35" s="42" t="n">
        <v>7</v>
      </c>
      <c r="G35" s="39" t="s">
        <v>62</v>
      </c>
      <c r="H35" s="40"/>
      <c r="I35" s="40"/>
      <c r="J35" s="40"/>
      <c r="K35" s="41"/>
      <c r="L35" s="39"/>
      <c r="M35" s="48" t="str">
        <f aca="false">IF($E35="","",IFERROR(INDEX(Parâmetros!$C$15:$C$20,MATCH($P35,Parâmetros!$B$15:$B$20,0)),""))</f>
        <v>Conforme / N/A</v>
      </c>
      <c r="N35" s="46" t="str">
        <f aca="false">IF($E35="","",IF($P35="","",IF($P35&gt;=8,"Alta",IF($P35&gt;=5,"Média","Baixa"))))</f>
        <v>Baixa</v>
      </c>
      <c r="O35" s="46" t="str">
        <f aca="false">IF($E35="","",IF(AND(Parâmetros!$C$5&gt;0,$P35&lt;&gt;"",$P35&gt;=Parâmetros!$C$5),"Sim","Não"))</f>
        <v>Não</v>
      </c>
      <c r="P35" s="45" t="n">
        <f aca="false">IF($E35="","",IF($G35="","",IF($G35="NOK",$F35,0)))</f>
        <v>0</v>
      </c>
      <c r="Q35" s="46" t="str">
        <f aca="false">IF($E35="","",IF($O35&lt;&gt;"Sim","",COUNTIF($O$3:$O35,"Sim")))</f>
        <v/>
      </c>
      <c r="R35" s="74" t="n">
        <f aca="false">IF($P35="",0,$P35)</f>
        <v>0</v>
      </c>
    </row>
    <row r="36" customFormat="false" ht="18" hidden="false" customHeight="true" outlineLevel="0" collapsed="false">
      <c r="A36" s="39" t="s">
        <v>135</v>
      </c>
      <c r="B36" s="41" t="n">
        <f aca="false">INT(Parâmetros!$C$4)-25</f>
        <v>46209</v>
      </c>
      <c r="C36" s="40" t="s">
        <v>71</v>
      </c>
      <c r="D36" s="40" t="s">
        <v>174</v>
      </c>
      <c r="E36" s="40" t="s">
        <v>212</v>
      </c>
      <c r="F36" s="42" t="n">
        <v>7</v>
      </c>
      <c r="G36" s="39" t="s">
        <v>72</v>
      </c>
      <c r="H36" s="40" t="s">
        <v>327</v>
      </c>
      <c r="I36" s="40"/>
      <c r="J36" s="40"/>
      <c r="K36" s="41"/>
      <c r="L36" s="39"/>
      <c r="M36" s="48" t="str">
        <f aca="false">IF($E36="","",IFERROR(INDEX(Parâmetros!$C$15:$C$20,MATCH($P36,Parâmetros!$B$15:$B$20,0)),""))</f>
        <v>Conforme / N/A</v>
      </c>
      <c r="N36" s="46" t="str">
        <f aca="false">IF($E36="","",IF($P36="","",IF($P36&gt;=8,"Alta",IF($P36&gt;=5,"Média","Baixa"))))</f>
        <v>Baixa</v>
      </c>
      <c r="O36" s="46" t="str">
        <f aca="false">IF($E36="","",IF(AND(Parâmetros!$C$5&gt;0,$P36&lt;&gt;"",$P36&gt;=Parâmetros!$C$5),"Sim","Não"))</f>
        <v>Não</v>
      </c>
      <c r="P36" s="45" t="n">
        <f aca="false">IF($E36="","",IF($G36="","",IF($G36="NOK",$F36,0)))</f>
        <v>0</v>
      </c>
      <c r="Q36" s="46" t="str">
        <f aca="false">IF($E36="","",IF($O36&lt;&gt;"Sim","",COUNTIF($O$3:$O36,"Sim")))</f>
        <v/>
      </c>
      <c r="R36" s="74" t="n">
        <f aca="false">IF($P36="",0,$P36)</f>
        <v>0</v>
      </c>
    </row>
    <row r="37" customFormat="false" ht="18" hidden="false" customHeight="true" outlineLevel="0" collapsed="false">
      <c r="A37" s="39" t="s">
        <v>135</v>
      </c>
      <c r="B37" s="41" t="n">
        <f aca="false">INT(Parâmetros!$C$4)-25</f>
        <v>46209</v>
      </c>
      <c r="C37" s="40" t="s">
        <v>71</v>
      </c>
      <c r="D37" s="40" t="s">
        <v>172</v>
      </c>
      <c r="E37" s="40" t="s">
        <v>213</v>
      </c>
      <c r="F37" s="42" t="n">
        <v>3</v>
      </c>
      <c r="G37" s="39" t="s">
        <v>67</v>
      </c>
      <c r="H37" s="40" t="s">
        <v>328</v>
      </c>
      <c r="I37" s="40" t="s">
        <v>329</v>
      </c>
      <c r="J37" s="40" t="s">
        <v>256</v>
      </c>
      <c r="K37" s="41" t="n">
        <f aca="false">INT(Parâmetros!$C$4)+7</f>
        <v>46241</v>
      </c>
      <c r="L37" s="39" t="s">
        <v>63</v>
      </c>
      <c r="M37" s="48" t="str">
        <f aca="false">IF($E37="","",IFERROR(INDEX(Parâmetros!$C$15:$C$20,MATCH($P37,Parâmetros!$B$15:$B$20,0)),""))</f>
        <v>Observação</v>
      </c>
      <c r="N37" s="46" t="str">
        <f aca="false">IF($E37="","",IF($P37="","",IF($P37&gt;=8,"Alta",IF($P37&gt;=5,"Média","Baixa"))))</f>
        <v>Baixa</v>
      </c>
      <c r="O37" s="46" t="str">
        <f aca="false">IF($E37="","",IF(AND(Parâmetros!$C$5&gt;0,$P37&lt;&gt;"",$P37&gt;=Parâmetros!$C$5),"Sim","Não"))</f>
        <v>Não</v>
      </c>
      <c r="P37" s="45" t="n">
        <f aca="false">IF($E37="","",IF($G37="","",IF($G37="NOK",$F37,0)))</f>
        <v>3</v>
      </c>
      <c r="Q37" s="46" t="str">
        <f aca="false">IF($E37="","",IF($O37&lt;&gt;"Sim","",COUNTIF($O$3:$O37,"Sim")))</f>
        <v/>
      </c>
      <c r="R37" s="74" t="n">
        <f aca="false">IF($P37="",0,$P37)</f>
        <v>3</v>
      </c>
    </row>
    <row r="38" customFormat="false" ht="18" hidden="false" customHeight="true" outlineLevel="0" collapsed="false">
      <c r="A38" s="39" t="s">
        <v>131</v>
      </c>
      <c r="B38" s="41" t="n">
        <f aca="false">INT(Parâmetros!$C$4)-40</f>
        <v>46194</v>
      </c>
      <c r="C38" s="40" t="s">
        <v>77</v>
      </c>
      <c r="D38" s="40" t="s">
        <v>194</v>
      </c>
      <c r="E38" s="40" t="s">
        <v>220</v>
      </c>
      <c r="F38" s="42" t="n">
        <v>10</v>
      </c>
      <c r="G38" s="39" t="s">
        <v>62</v>
      </c>
      <c r="H38" s="40" t="s">
        <v>330</v>
      </c>
      <c r="I38" s="40"/>
      <c r="J38" s="40"/>
      <c r="K38" s="41"/>
      <c r="L38" s="39"/>
      <c r="M38" s="48" t="str">
        <f aca="false">IF($E38="","",IFERROR(INDEX(Parâmetros!$C$15:$C$20,MATCH($P38,Parâmetros!$B$15:$B$20,0)),""))</f>
        <v>Conforme / N/A</v>
      </c>
      <c r="N38" s="46" t="str">
        <f aca="false">IF($E38="","",IF($P38="","",IF($P38&gt;=8,"Alta",IF($P38&gt;=5,"Média","Baixa"))))</f>
        <v>Baixa</v>
      </c>
      <c r="O38" s="46" t="str">
        <f aca="false">IF($E38="","",IF(AND(Parâmetros!$C$5&gt;0,$P38&lt;&gt;"",$P38&gt;=Parâmetros!$C$5),"Sim","Não"))</f>
        <v>Não</v>
      </c>
      <c r="P38" s="45" t="n">
        <f aca="false">IF($E38="","",IF($G38="","",IF($G38="NOK",$F38,0)))</f>
        <v>0</v>
      </c>
      <c r="Q38" s="46" t="str">
        <f aca="false">IF($E38="","",IF($O38&lt;&gt;"Sim","",COUNTIF($O$3:$O38,"Sim")))</f>
        <v/>
      </c>
      <c r="R38" s="74" t="n">
        <f aca="false">IF($P38="",0,$P38)</f>
        <v>0</v>
      </c>
    </row>
    <row r="39" customFormat="false" ht="18" hidden="false" customHeight="true" outlineLevel="0" collapsed="false">
      <c r="A39" s="39" t="s">
        <v>131</v>
      </c>
      <c r="B39" s="41" t="n">
        <f aca="false">INT(Parâmetros!$C$4)-40</f>
        <v>46194</v>
      </c>
      <c r="C39" s="40" t="s">
        <v>77</v>
      </c>
      <c r="D39" s="40" t="s">
        <v>194</v>
      </c>
      <c r="E39" s="40" t="s">
        <v>221</v>
      </c>
      <c r="F39" s="42" t="n">
        <v>10</v>
      </c>
      <c r="G39" s="39" t="s">
        <v>67</v>
      </c>
      <c r="H39" s="40" t="s">
        <v>331</v>
      </c>
      <c r="I39" s="40" t="s">
        <v>332</v>
      </c>
      <c r="J39" s="40" t="s">
        <v>258</v>
      </c>
      <c r="K39" s="41" t="n">
        <f aca="false">INT(Parâmetros!$C$4)-8</f>
        <v>46226</v>
      </c>
      <c r="L39" s="39" t="s">
        <v>63</v>
      </c>
      <c r="M39" s="48" t="str">
        <f aca="false">IF($E39="","",IFERROR(INDEX(Parâmetros!$C$15:$C$20,MATCH($P39,Parâmetros!$B$15:$B$20,0)),""))</f>
        <v>Bloqueio</v>
      </c>
      <c r="N39" s="46" t="str">
        <f aca="false">IF($E39="","",IF($P39="","",IF($P39&gt;=8,"Alta",IF($P39&gt;=5,"Média","Baixa"))))</f>
        <v>Alta</v>
      </c>
      <c r="O39" s="46" t="str">
        <f aca="false">IF($E39="","",IF(AND(Parâmetros!$C$5&gt;0,$P39&lt;&gt;"",$P39&gt;=Parâmetros!$C$5),"Sim","Não"))</f>
        <v>Sim</v>
      </c>
      <c r="P39" s="45" t="n">
        <f aca="false">IF($E39="","",IF($G39="","",IF($G39="NOK",$F39,0)))</f>
        <v>10</v>
      </c>
      <c r="Q39" s="46" t="n">
        <f aca="false">IF($E39="","",IF($O39&lt;&gt;"Sim","",COUNTIF($O$3:$O39,"Sim")))</f>
        <v>11</v>
      </c>
      <c r="R39" s="74" t="n">
        <f aca="false">IF($P39="",0,$P39)</f>
        <v>10</v>
      </c>
    </row>
    <row r="40" customFormat="false" ht="18" hidden="false" customHeight="true" outlineLevel="0" collapsed="false">
      <c r="A40" s="39" t="s">
        <v>131</v>
      </c>
      <c r="B40" s="41" t="n">
        <f aca="false">INT(Parâmetros!$C$4)-40</f>
        <v>46194</v>
      </c>
      <c r="C40" s="40" t="s">
        <v>77</v>
      </c>
      <c r="D40" s="40" t="s">
        <v>222</v>
      </c>
      <c r="E40" s="40" t="s">
        <v>223</v>
      </c>
      <c r="F40" s="42" t="n">
        <v>7</v>
      </c>
      <c r="G40" s="39" t="s">
        <v>67</v>
      </c>
      <c r="H40" s="40" t="s">
        <v>333</v>
      </c>
      <c r="I40" s="40" t="s">
        <v>334</v>
      </c>
      <c r="J40" s="40" t="s">
        <v>258</v>
      </c>
      <c r="K40" s="41" t="n">
        <f aca="false">INT(Parâmetros!$C$4)+12</f>
        <v>46246</v>
      </c>
      <c r="L40" s="39" t="s">
        <v>63</v>
      </c>
      <c r="M40" s="48" t="str">
        <f aca="false">IF($E40="","",IFERROR(INDEX(Parâmetros!$C$15:$C$20,MATCH($P40,Parâmetros!$B$15:$B$20,0)),""))</f>
        <v>Corrigir na próxima parada</v>
      </c>
      <c r="N40" s="46" t="str">
        <f aca="false">IF($E40="","",IF($P40="","",IF($P40&gt;=8,"Alta",IF($P40&gt;=5,"Média","Baixa"))))</f>
        <v>Média</v>
      </c>
      <c r="O40" s="46" t="str">
        <f aca="false">IF($E40="","",IF(AND(Parâmetros!$C$5&gt;0,$P40&lt;&gt;"",$P40&gt;=Parâmetros!$C$5),"Sim","Não"))</f>
        <v>Sim</v>
      </c>
      <c r="P40" s="45" t="n">
        <f aca="false">IF($E40="","",IF($G40="","",IF($G40="NOK",$F40,0)))</f>
        <v>7</v>
      </c>
      <c r="Q40" s="46" t="n">
        <f aca="false">IF($E40="","",IF($O40&lt;&gt;"Sim","",COUNTIF($O$3:$O40,"Sim")))</f>
        <v>12</v>
      </c>
      <c r="R40" s="74" t="n">
        <f aca="false">IF($P40="",0,$P40)</f>
        <v>7</v>
      </c>
    </row>
    <row r="41" customFormat="false" ht="18" hidden="false" customHeight="true" outlineLevel="0" collapsed="false">
      <c r="A41" s="39" t="s">
        <v>131</v>
      </c>
      <c r="B41" s="41" t="n">
        <f aca="false">INT(Parâmetros!$C$4)-40</f>
        <v>46194</v>
      </c>
      <c r="C41" s="40" t="s">
        <v>77</v>
      </c>
      <c r="D41" s="40" t="s">
        <v>222</v>
      </c>
      <c r="E41" s="40" t="s">
        <v>224</v>
      </c>
      <c r="F41" s="42" t="n">
        <v>7</v>
      </c>
      <c r="G41" s="39" t="s">
        <v>62</v>
      </c>
      <c r="H41" s="40"/>
      <c r="I41" s="40"/>
      <c r="J41" s="40"/>
      <c r="K41" s="41"/>
      <c r="L41" s="39"/>
      <c r="M41" s="48" t="str">
        <f aca="false">IF($E41="","",IFERROR(INDEX(Parâmetros!$C$15:$C$20,MATCH($P41,Parâmetros!$B$15:$B$20,0)),""))</f>
        <v>Conforme / N/A</v>
      </c>
      <c r="N41" s="46" t="str">
        <f aca="false">IF($E41="","",IF($P41="","",IF($P41&gt;=8,"Alta",IF($P41&gt;=5,"Média","Baixa"))))</f>
        <v>Baixa</v>
      </c>
      <c r="O41" s="46" t="str">
        <f aca="false">IF($E41="","",IF(AND(Parâmetros!$C$5&gt;0,$P41&lt;&gt;"",$P41&gt;=Parâmetros!$C$5),"Sim","Não"))</f>
        <v>Não</v>
      </c>
      <c r="P41" s="45" t="n">
        <f aca="false">IF($E41="","",IF($G41="","",IF($G41="NOK",$F41,0)))</f>
        <v>0</v>
      </c>
      <c r="Q41" s="46" t="str">
        <f aca="false">IF($E41="","",IF($O41&lt;&gt;"Sim","",COUNTIF($O$3:$O41,"Sim")))</f>
        <v/>
      </c>
      <c r="R41" s="74" t="n">
        <f aca="false">IF($P41="",0,$P41)</f>
        <v>0</v>
      </c>
    </row>
    <row r="42" customFormat="false" ht="18" hidden="false" customHeight="true" outlineLevel="0" collapsed="false">
      <c r="A42" s="39" t="s">
        <v>131</v>
      </c>
      <c r="B42" s="41" t="n">
        <f aca="false">INT(Parâmetros!$C$4)-40</f>
        <v>46194</v>
      </c>
      <c r="C42" s="40" t="s">
        <v>77</v>
      </c>
      <c r="D42" s="40" t="s">
        <v>225</v>
      </c>
      <c r="E42" s="40" t="s">
        <v>226</v>
      </c>
      <c r="F42" s="42" t="n">
        <v>9</v>
      </c>
      <c r="G42" s="39" t="s">
        <v>62</v>
      </c>
      <c r="H42" s="40"/>
      <c r="I42" s="40"/>
      <c r="J42" s="40"/>
      <c r="K42" s="41"/>
      <c r="L42" s="39"/>
      <c r="M42" s="48" t="str">
        <f aca="false">IF($E42="","",IFERROR(INDEX(Parâmetros!$C$15:$C$20,MATCH($P42,Parâmetros!$B$15:$B$20,0)),""))</f>
        <v>Conforme / N/A</v>
      </c>
      <c r="N42" s="46" t="str">
        <f aca="false">IF($E42="","",IF($P42="","",IF($P42&gt;=8,"Alta",IF($P42&gt;=5,"Média","Baixa"))))</f>
        <v>Baixa</v>
      </c>
      <c r="O42" s="46" t="str">
        <f aca="false">IF($E42="","",IF(AND(Parâmetros!$C$5&gt;0,$P42&lt;&gt;"",$P42&gt;=Parâmetros!$C$5),"Sim","Não"))</f>
        <v>Não</v>
      </c>
      <c r="P42" s="45" t="n">
        <f aca="false">IF($E42="","",IF($G42="","",IF($G42="NOK",$F42,0)))</f>
        <v>0</v>
      </c>
      <c r="Q42" s="46" t="str">
        <f aca="false">IF($E42="","",IF($O42&lt;&gt;"Sim","",COUNTIF($O$3:$O42,"Sim")))</f>
        <v/>
      </c>
      <c r="R42" s="74" t="n">
        <f aca="false">IF($P42="",0,$P42)</f>
        <v>0</v>
      </c>
    </row>
    <row r="43" customFormat="false" ht="18" hidden="false" customHeight="true" outlineLevel="0" collapsed="false">
      <c r="A43" s="39" t="s">
        <v>131</v>
      </c>
      <c r="B43" s="41" t="n">
        <f aca="false">INT(Parâmetros!$C$4)-40</f>
        <v>46194</v>
      </c>
      <c r="C43" s="40" t="s">
        <v>77</v>
      </c>
      <c r="D43" s="40" t="s">
        <v>174</v>
      </c>
      <c r="E43" s="40" t="s">
        <v>227</v>
      </c>
      <c r="F43" s="42" t="n">
        <v>10</v>
      </c>
      <c r="G43" s="39" t="s">
        <v>62</v>
      </c>
      <c r="H43" s="40"/>
      <c r="I43" s="40"/>
      <c r="J43" s="40"/>
      <c r="K43" s="41"/>
      <c r="L43" s="39"/>
      <c r="M43" s="48" t="str">
        <f aca="false">IF($E43="","",IFERROR(INDEX(Parâmetros!$C$15:$C$20,MATCH($P43,Parâmetros!$B$15:$B$20,0)),""))</f>
        <v>Conforme / N/A</v>
      </c>
      <c r="N43" s="46" t="str">
        <f aca="false">IF($E43="","",IF($P43="","",IF($P43&gt;=8,"Alta",IF($P43&gt;=5,"Média","Baixa"))))</f>
        <v>Baixa</v>
      </c>
      <c r="O43" s="46" t="str">
        <f aca="false">IF($E43="","",IF(AND(Parâmetros!$C$5&gt;0,$P43&lt;&gt;"",$P43&gt;=Parâmetros!$C$5),"Sim","Não"))</f>
        <v>Não</v>
      </c>
      <c r="P43" s="45" t="n">
        <f aca="false">IF($E43="","",IF($G43="","",IF($G43="NOK",$F43,0)))</f>
        <v>0</v>
      </c>
      <c r="Q43" s="46" t="str">
        <f aca="false">IF($E43="","",IF($O43&lt;&gt;"Sim","",COUNTIF($O$3:$O43,"Sim")))</f>
        <v/>
      </c>
      <c r="R43" s="74" t="n">
        <f aca="false">IF($P43="",0,$P43)</f>
        <v>0</v>
      </c>
    </row>
    <row r="44" customFormat="false" ht="18" hidden="false" customHeight="true" outlineLevel="0" collapsed="false">
      <c r="A44" s="39" t="s">
        <v>131</v>
      </c>
      <c r="B44" s="41" t="n">
        <f aca="false">INT(Parâmetros!$C$4)-40</f>
        <v>46194</v>
      </c>
      <c r="C44" s="40" t="s">
        <v>77</v>
      </c>
      <c r="D44" s="40" t="s">
        <v>165</v>
      </c>
      <c r="E44" s="40" t="s">
        <v>228</v>
      </c>
      <c r="F44" s="42" t="n">
        <v>9</v>
      </c>
      <c r="G44" s="39" t="s">
        <v>62</v>
      </c>
      <c r="H44" s="40"/>
      <c r="I44" s="40"/>
      <c r="J44" s="40"/>
      <c r="K44" s="41"/>
      <c r="L44" s="39"/>
      <c r="M44" s="48" t="str">
        <f aca="false">IF($E44="","",IFERROR(INDEX(Parâmetros!$C$15:$C$20,MATCH($P44,Parâmetros!$B$15:$B$20,0)),""))</f>
        <v>Conforme / N/A</v>
      </c>
      <c r="N44" s="46" t="str">
        <f aca="false">IF($E44="","",IF($P44="","",IF($P44&gt;=8,"Alta",IF($P44&gt;=5,"Média","Baixa"))))</f>
        <v>Baixa</v>
      </c>
      <c r="O44" s="46" t="str">
        <f aca="false">IF($E44="","",IF(AND(Parâmetros!$C$5&gt;0,$P44&lt;&gt;"",$P44&gt;=Parâmetros!$C$5),"Sim","Não"))</f>
        <v>Não</v>
      </c>
      <c r="P44" s="45" t="n">
        <f aca="false">IF($E44="","",IF($G44="","",IF($G44="NOK",$F44,0)))</f>
        <v>0</v>
      </c>
      <c r="Q44" s="46" t="str">
        <f aca="false">IF($E44="","",IF($O44&lt;&gt;"Sim","",COUNTIF($O$3:$O44,"Sim")))</f>
        <v/>
      </c>
      <c r="R44" s="74" t="n">
        <f aca="false">IF($P44="",0,$P44)</f>
        <v>0</v>
      </c>
    </row>
    <row r="45" customFormat="false" ht="18" hidden="false" customHeight="true" outlineLevel="0" collapsed="false">
      <c r="A45" s="39" t="s">
        <v>131</v>
      </c>
      <c r="B45" s="41" t="n">
        <f aca="false">INT(Parâmetros!$C$4)-40</f>
        <v>46194</v>
      </c>
      <c r="C45" s="40" t="s">
        <v>77</v>
      </c>
      <c r="D45" s="40" t="s">
        <v>172</v>
      </c>
      <c r="E45" s="40" t="s">
        <v>229</v>
      </c>
      <c r="F45" s="42" t="n">
        <v>3</v>
      </c>
      <c r="G45" s="39" t="s">
        <v>67</v>
      </c>
      <c r="H45" s="40" t="s">
        <v>335</v>
      </c>
      <c r="I45" s="40" t="s">
        <v>336</v>
      </c>
      <c r="J45" s="40" t="s">
        <v>258</v>
      </c>
      <c r="K45" s="41" t="n">
        <f aca="false">INT(Parâmetros!$C$4)+25</f>
        <v>46259</v>
      </c>
      <c r="L45" s="39" t="s">
        <v>63</v>
      </c>
      <c r="M45" s="48" t="str">
        <f aca="false">IF($E45="","",IFERROR(INDEX(Parâmetros!$C$15:$C$20,MATCH($P45,Parâmetros!$B$15:$B$20,0)),""))</f>
        <v>Observação</v>
      </c>
      <c r="N45" s="46" t="str">
        <f aca="false">IF($E45="","",IF($P45="","",IF($P45&gt;=8,"Alta",IF($P45&gt;=5,"Média","Baixa"))))</f>
        <v>Baixa</v>
      </c>
      <c r="O45" s="46" t="str">
        <f aca="false">IF($E45="","",IF(AND(Parâmetros!$C$5&gt;0,$P45&lt;&gt;"",$P45&gt;=Parâmetros!$C$5),"Sim","Não"))</f>
        <v>Não</v>
      </c>
      <c r="P45" s="45" t="n">
        <f aca="false">IF($E45="","",IF($G45="","",IF($G45="NOK",$F45,0)))</f>
        <v>3</v>
      </c>
      <c r="Q45" s="46" t="str">
        <f aca="false">IF($E45="","",IF($O45&lt;&gt;"Sim","",COUNTIF($O$3:$O45,"Sim")))</f>
        <v/>
      </c>
      <c r="R45" s="74" t="n">
        <f aca="false">IF($P45="",0,$P45)</f>
        <v>3</v>
      </c>
    </row>
    <row r="46" customFormat="false" ht="18" hidden="false" customHeight="true" outlineLevel="0" collapsed="false">
      <c r="A46" s="39"/>
      <c r="B46" s="41"/>
      <c r="C46" s="40"/>
      <c r="D46" s="40"/>
      <c r="E46" s="40"/>
      <c r="F46" s="42"/>
      <c r="G46" s="39"/>
      <c r="H46" s="40"/>
      <c r="I46" s="40"/>
      <c r="J46" s="40"/>
      <c r="K46" s="41"/>
      <c r="L46" s="39"/>
      <c r="M46" s="48" t="str">
        <f aca="false">IF($E46="","",IFERROR(INDEX(Parâmetros!$C$15:$C$20,MATCH($P46,Parâmetros!$B$15:$B$20,0)),""))</f>
        <v/>
      </c>
      <c r="N46" s="46" t="str">
        <f aca="false">IF($E46="","",IF($P46="","",IF($P46&gt;=8,"Alta",IF($P46&gt;=5,"Média","Baixa"))))</f>
        <v/>
      </c>
      <c r="O46" s="46" t="str">
        <f aca="false">IF($E46="","",IF(AND(Parâmetros!$C$5&gt;0,$P46&lt;&gt;"",$P46&gt;=Parâmetros!$C$5),"Sim","Não"))</f>
        <v/>
      </c>
      <c r="P46" s="45" t="str">
        <f aca="false">IF($E46="","",IF($G46="","",IF($G46="NOK",$F46,0)))</f>
        <v/>
      </c>
      <c r="Q46" s="46" t="str">
        <f aca="false">IF($E46="","",IF($O46&lt;&gt;"Sim","",COUNTIF($O$3:$O46,"Sim")))</f>
        <v/>
      </c>
      <c r="R46" s="47" t="n">
        <f aca="false">IF($P46="",0,$P46)</f>
        <v>0</v>
      </c>
    </row>
    <row r="47" customFormat="false" ht="18" hidden="false" customHeight="true" outlineLevel="0" collapsed="false">
      <c r="A47" s="39"/>
      <c r="B47" s="41"/>
      <c r="C47" s="40"/>
      <c r="D47" s="40"/>
      <c r="E47" s="40"/>
      <c r="F47" s="42"/>
      <c r="G47" s="39"/>
      <c r="H47" s="40"/>
      <c r="I47" s="40"/>
      <c r="J47" s="40"/>
      <c r="K47" s="41"/>
      <c r="L47" s="39"/>
      <c r="M47" s="48" t="str">
        <f aca="false">IF($E47="","",IFERROR(INDEX(Parâmetros!$C$15:$C$20,MATCH($P47,Parâmetros!$B$15:$B$20,0)),""))</f>
        <v/>
      </c>
      <c r="N47" s="46" t="str">
        <f aca="false">IF($E47="","",IF($P47="","",IF($P47&gt;=8,"Alta",IF($P47&gt;=5,"Média","Baixa"))))</f>
        <v/>
      </c>
      <c r="O47" s="46" t="str">
        <f aca="false">IF($E47="","",IF(AND(Parâmetros!$C$5&gt;0,$P47&lt;&gt;"",$P47&gt;=Parâmetros!$C$5),"Sim","Não"))</f>
        <v/>
      </c>
      <c r="P47" s="45" t="str">
        <f aca="false">IF($E47="","",IF($G47="","",IF($G47="NOK",$F47,0)))</f>
        <v/>
      </c>
      <c r="Q47" s="46" t="str">
        <f aca="false">IF($E47="","",IF($O47&lt;&gt;"Sim","",COUNTIF($O$3:$O47,"Sim")))</f>
        <v/>
      </c>
      <c r="R47" s="47" t="n">
        <f aca="false">IF($P47="",0,$P47)</f>
        <v>0</v>
      </c>
    </row>
    <row r="48" customFormat="false" ht="18" hidden="false" customHeight="true" outlineLevel="0" collapsed="false">
      <c r="A48" s="39"/>
      <c r="B48" s="41"/>
      <c r="C48" s="40"/>
      <c r="D48" s="40"/>
      <c r="E48" s="40"/>
      <c r="F48" s="42"/>
      <c r="G48" s="39"/>
      <c r="H48" s="40"/>
      <c r="I48" s="40"/>
      <c r="J48" s="40"/>
      <c r="K48" s="41"/>
      <c r="L48" s="39"/>
      <c r="M48" s="48" t="str">
        <f aca="false">IF($E48="","",IFERROR(INDEX(Parâmetros!$C$15:$C$20,MATCH($P48,Parâmetros!$B$15:$B$20,0)),""))</f>
        <v/>
      </c>
      <c r="N48" s="46" t="str">
        <f aca="false">IF($E48="","",IF($P48="","",IF($P48&gt;=8,"Alta",IF($P48&gt;=5,"Média","Baixa"))))</f>
        <v/>
      </c>
      <c r="O48" s="46" t="str">
        <f aca="false">IF($E48="","",IF(AND(Parâmetros!$C$5&gt;0,$P48&lt;&gt;"",$P48&gt;=Parâmetros!$C$5),"Sim","Não"))</f>
        <v/>
      </c>
      <c r="P48" s="45" t="str">
        <f aca="false">IF($E48="","",IF($G48="","",IF($G48="NOK",$F48,0)))</f>
        <v/>
      </c>
      <c r="Q48" s="46" t="str">
        <f aca="false">IF($E48="","",IF($O48&lt;&gt;"Sim","",COUNTIF($O$3:$O48,"Sim")))</f>
        <v/>
      </c>
      <c r="R48" s="47" t="n">
        <f aca="false">IF($P48="",0,$P48)</f>
        <v>0</v>
      </c>
    </row>
    <row r="49" customFormat="false" ht="18" hidden="false" customHeight="true" outlineLevel="0" collapsed="false">
      <c r="A49" s="39"/>
      <c r="B49" s="41"/>
      <c r="C49" s="40"/>
      <c r="D49" s="40"/>
      <c r="E49" s="40"/>
      <c r="F49" s="42"/>
      <c r="G49" s="39"/>
      <c r="H49" s="40"/>
      <c r="I49" s="40"/>
      <c r="J49" s="40"/>
      <c r="K49" s="41"/>
      <c r="L49" s="39"/>
      <c r="M49" s="48" t="str">
        <f aca="false">IF($E49="","",IFERROR(INDEX(Parâmetros!$C$15:$C$20,MATCH($P49,Parâmetros!$B$15:$B$20,0)),""))</f>
        <v/>
      </c>
      <c r="N49" s="46" t="str">
        <f aca="false">IF($E49="","",IF($P49="","",IF($P49&gt;=8,"Alta",IF($P49&gt;=5,"Média","Baixa"))))</f>
        <v/>
      </c>
      <c r="O49" s="46" t="str">
        <f aca="false">IF($E49="","",IF(AND(Parâmetros!$C$5&gt;0,$P49&lt;&gt;"",$P49&gt;=Parâmetros!$C$5),"Sim","Não"))</f>
        <v/>
      </c>
      <c r="P49" s="45" t="str">
        <f aca="false">IF($E49="","",IF($G49="","",IF($G49="NOK",$F49,0)))</f>
        <v/>
      </c>
      <c r="Q49" s="46" t="str">
        <f aca="false">IF($E49="","",IF($O49&lt;&gt;"Sim","",COUNTIF($O$3:$O49,"Sim")))</f>
        <v/>
      </c>
      <c r="R49" s="47" t="n">
        <f aca="false">IF($P49="",0,$P49)</f>
        <v>0</v>
      </c>
    </row>
    <row r="50" customFormat="false" ht="18" hidden="false" customHeight="true" outlineLevel="0" collapsed="false">
      <c r="A50" s="39"/>
      <c r="B50" s="41"/>
      <c r="C50" s="40"/>
      <c r="D50" s="40"/>
      <c r="E50" s="40"/>
      <c r="F50" s="42"/>
      <c r="G50" s="39"/>
      <c r="H50" s="40"/>
      <c r="I50" s="40"/>
      <c r="J50" s="40"/>
      <c r="K50" s="41"/>
      <c r="L50" s="39"/>
      <c r="M50" s="48" t="str">
        <f aca="false">IF($E50="","",IFERROR(INDEX(Parâmetros!$C$15:$C$20,MATCH($P50,Parâmetros!$B$15:$B$20,0)),""))</f>
        <v/>
      </c>
      <c r="N50" s="46" t="str">
        <f aca="false">IF($E50="","",IF($P50="","",IF($P50&gt;=8,"Alta",IF($P50&gt;=5,"Média","Baixa"))))</f>
        <v/>
      </c>
      <c r="O50" s="46" t="str">
        <f aca="false">IF($E50="","",IF(AND(Parâmetros!$C$5&gt;0,$P50&lt;&gt;"",$P50&gt;=Parâmetros!$C$5),"Sim","Não"))</f>
        <v/>
      </c>
      <c r="P50" s="45" t="str">
        <f aca="false">IF($E50="","",IF($G50="","",IF($G50="NOK",$F50,0)))</f>
        <v/>
      </c>
      <c r="Q50" s="46" t="str">
        <f aca="false">IF($E50="","",IF($O50&lt;&gt;"Sim","",COUNTIF($O$3:$O50,"Sim")))</f>
        <v/>
      </c>
      <c r="R50" s="47" t="n">
        <f aca="false">IF($P50="",0,$P50)</f>
        <v>0</v>
      </c>
    </row>
    <row r="51" customFormat="false" ht="18" hidden="false" customHeight="true" outlineLevel="0" collapsed="false">
      <c r="A51" s="39"/>
      <c r="B51" s="41"/>
      <c r="C51" s="40"/>
      <c r="D51" s="40"/>
      <c r="E51" s="40"/>
      <c r="F51" s="42"/>
      <c r="G51" s="39"/>
      <c r="H51" s="40"/>
      <c r="I51" s="40"/>
      <c r="J51" s="40"/>
      <c r="K51" s="41"/>
      <c r="L51" s="39"/>
      <c r="M51" s="48" t="str">
        <f aca="false">IF($E51="","",IFERROR(INDEX(Parâmetros!$C$15:$C$20,MATCH($P51,Parâmetros!$B$15:$B$20,0)),""))</f>
        <v/>
      </c>
      <c r="N51" s="46" t="str">
        <f aca="false">IF($E51="","",IF($P51="","",IF($P51&gt;=8,"Alta",IF($P51&gt;=5,"Média","Baixa"))))</f>
        <v/>
      </c>
      <c r="O51" s="46" t="str">
        <f aca="false">IF($E51="","",IF(AND(Parâmetros!$C$5&gt;0,$P51&lt;&gt;"",$P51&gt;=Parâmetros!$C$5),"Sim","Não"))</f>
        <v/>
      </c>
      <c r="P51" s="45" t="str">
        <f aca="false">IF($E51="","",IF($G51="","",IF($G51="NOK",$F51,0)))</f>
        <v/>
      </c>
      <c r="Q51" s="46" t="str">
        <f aca="false">IF($E51="","",IF($O51&lt;&gt;"Sim","",COUNTIF($O$3:$O51,"Sim")))</f>
        <v/>
      </c>
      <c r="R51" s="47" t="n">
        <f aca="false">IF($P51="",0,$P51)</f>
        <v>0</v>
      </c>
    </row>
    <row r="52" customFormat="false" ht="18" hidden="false" customHeight="true" outlineLevel="0" collapsed="false">
      <c r="A52" s="39"/>
      <c r="B52" s="41"/>
      <c r="C52" s="40"/>
      <c r="D52" s="40"/>
      <c r="E52" s="40"/>
      <c r="F52" s="42"/>
      <c r="G52" s="39"/>
      <c r="H52" s="40"/>
      <c r="I52" s="40"/>
      <c r="J52" s="40"/>
      <c r="K52" s="41"/>
      <c r="L52" s="39"/>
      <c r="M52" s="48" t="str">
        <f aca="false">IF($E52="","",IFERROR(INDEX(Parâmetros!$C$15:$C$20,MATCH($P52,Parâmetros!$B$15:$B$20,0)),""))</f>
        <v/>
      </c>
      <c r="N52" s="46" t="str">
        <f aca="false">IF($E52="","",IF($P52="","",IF($P52&gt;=8,"Alta",IF($P52&gt;=5,"Média","Baixa"))))</f>
        <v/>
      </c>
      <c r="O52" s="46" t="str">
        <f aca="false">IF($E52="","",IF(AND(Parâmetros!$C$5&gt;0,$P52&lt;&gt;"",$P52&gt;=Parâmetros!$C$5),"Sim","Não"))</f>
        <v/>
      </c>
      <c r="P52" s="45" t="str">
        <f aca="false">IF($E52="","",IF($G52="","",IF($G52="NOK",$F52,0)))</f>
        <v/>
      </c>
      <c r="Q52" s="46" t="str">
        <f aca="false">IF($E52="","",IF($O52&lt;&gt;"Sim","",COUNTIF($O$3:$O52,"Sim")))</f>
        <v/>
      </c>
      <c r="R52" s="47" t="n">
        <f aca="false">IF($P52="",0,$P52)</f>
        <v>0</v>
      </c>
    </row>
    <row r="53" customFormat="false" ht="18" hidden="false" customHeight="true" outlineLevel="0" collapsed="false">
      <c r="A53" s="39"/>
      <c r="B53" s="41"/>
      <c r="C53" s="40"/>
      <c r="D53" s="40"/>
      <c r="E53" s="40"/>
      <c r="F53" s="42"/>
      <c r="G53" s="39"/>
      <c r="H53" s="40"/>
      <c r="I53" s="40"/>
      <c r="J53" s="40"/>
      <c r="K53" s="41"/>
      <c r="L53" s="39"/>
      <c r="M53" s="48" t="str">
        <f aca="false">IF($E53="","",IFERROR(INDEX(Parâmetros!$C$15:$C$20,MATCH($P53,Parâmetros!$B$15:$B$20,0)),""))</f>
        <v/>
      </c>
      <c r="N53" s="46" t="str">
        <f aca="false">IF($E53="","",IF($P53="","",IF($P53&gt;=8,"Alta",IF($P53&gt;=5,"Média","Baixa"))))</f>
        <v/>
      </c>
      <c r="O53" s="46" t="str">
        <f aca="false">IF($E53="","",IF(AND(Parâmetros!$C$5&gt;0,$P53&lt;&gt;"",$P53&gt;=Parâmetros!$C$5),"Sim","Não"))</f>
        <v/>
      </c>
      <c r="P53" s="45" t="str">
        <f aca="false">IF($E53="","",IF($G53="","",IF($G53="NOK",$F53,0)))</f>
        <v/>
      </c>
      <c r="Q53" s="46" t="str">
        <f aca="false">IF($E53="","",IF($O53&lt;&gt;"Sim","",COUNTIF($O$3:$O53,"Sim")))</f>
        <v/>
      </c>
      <c r="R53" s="47" t="n">
        <f aca="false">IF($P53="",0,$P53)</f>
        <v>0</v>
      </c>
    </row>
    <row r="54" customFormat="false" ht="18" hidden="false" customHeight="true" outlineLevel="0" collapsed="false">
      <c r="A54" s="39"/>
      <c r="B54" s="41"/>
      <c r="C54" s="40"/>
      <c r="D54" s="40"/>
      <c r="E54" s="40"/>
      <c r="F54" s="42"/>
      <c r="G54" s="39"/>
      <c r="H54" s="40"/>
      <c r="I54" s="40"/>
      <c r="J54" s="40"/>
      <c r="K54" s="41"/>
      <c r="L54" s="39"/>
      <c r="M54" s="48" t="str">
        <f aca="false">IF($E54="","",IFERROR(INDEX(Parâmetros!$C$15:$C$20,MATCH($P54,Parâmetros!$B$15:$B$20,0)),""))</f>
        <v/>
      </c>
      <c r="N54" s="46" t="str">
        <f aca="false">IF($E54="","",IF($P54="","",IF($P54&gt;=8,"Alta",IF($P54&gt;=5,"Média","Baixa"))))</f>
        <v/>
      </c>
      <c r="O54" s="46" t="str">
        <f aca="false">IF($E54="","",IF(AND(Parâmetros!$C$5&gt;0,$P54&lt;&gt;"",$P54&gt;=Parâmetros!$C$5),"Sim","Não"))</f>
        <v/>
      </c>
      <c r="P54" s="45" t="str">
        <f aca="false">IF($E54="","",IF($G54="","",IF($G54="NOK",$F54,0)))</f>
        <v/>
      </c>
      <c r="Q54" s="46" t="str">
        <f aca="false">IF($E54="","",IF($O54&lt;&gt;"Sim","",COUNTIF($O$3:$O54,"Sim")))</f>
        <v/>
      </c>
      <c r="R54" s="47" t="n">
        <f aca="false">IF($P54="",0,$P54)</f>
        <v>0</v>
      </c>
    </row>
    <row r="55" customFormat="false" ht="18" hidden="false" customHeight="true" outlineLevel="0" collapsed="false">
      <c r="A55" s="39"/>
      <c r="B55" s="41"/>
      <c r="C55" s="40"/>
      <c r="D55" s="40"/>
      <c r="E55" s="40"/>
      <c r="F55" s="42"/>
      <c r="G55" s="39"/>
      <c r="H55" s="40"/>
      <c r="I55" s="40"/>
      <c r="J55" s="40"/>
      <c r="K55" s="41"/>
      <c r="L55" s="39"/>
      <c r="M55" s="48" t="str">
        <f aca="false">IF($E55="","",IFERROR(INDEX(Parâmetros!$C$15:$C$20,MATCH($P55,Parâmetros!$B$15:$B$20,0)),""))</f>
        <v/>
      </c>
      <c r="N55" s="46" t="str">
        <f aca="false">IF($E55="","",IF($P55="","",IF($P55&gt;=8,"Alta",IF($P55&gt;=5,"Média","Baixa"))))</f>
        <v/>
      </c>
      <c r="O55" s="46" t="str">
        <f aca="false">IF($E55="","",IF(AND(Parâmetros!$C$5&gt;0,$P55&lt;&gt;"",$P55&gt;=Parâmetros!$C$5),"Sim","Não"))</f>
        <v/>
      </c>
      <c r="P55" s="45" t="str">
        <f aca="false">IF($E55="","",IF($G55="","",IF($G55="NOK",$F55,0)))</f>
        <v/>
      </c>
      <c r="Q55" s="46" t="str">
        <f aca="false">IF($E55="","",IF($O55&lt;&gt;"Sim","",COUNTIF($O$3:$O55,"Sim")))</f>
        <v/>
      </c>
      <c r="R55" s="47" t="n">
        <f aca="false">IF($P55="",0,$P55)</f>
        <v>0</v>
      </c>
    </row>
    <row r="56" customFormat="false" ht="18" hidden="false" customHeight="true" outlineLevel="0" collapsed="false">
      <c r="A56" s="39"/>
      <c r="B56" s="41"/>
      <c r="C56" s="40"/>
      <c r="D56" s="40"/>
      <c r="E56" s="40"/>
      <c r="F56" s="42"/>
      <c r="G56" s="39"/>
      <c r="H56" s="40"/>
      <c r="I56" s="40"/>
      <c r="J56" s="40"/>
      <c r="K56" s="41"/>
      <c r="L56" s="39"/>
      <c r="M56" s="48" t="str">
        <f aca="false">IF($E56="","",IFERROR(INDEX(Parâmetros!$C$15:$C$20,MATCH($P56,Parâmetros!$B$15:$B$20,0)),""))</f>
        <v/>
      </c>
      <c r="N56" s="46" t="str">
        <f aca="false">IF($E56="","",IF($P56="","",IF($P56&gt;=8,"Alta",IF($P56&gt;=5,"Média","Baixa"))))</f>
        <v/>
      </c>
      <c r="O56" s="46" t="str">
        <f aca="false">IF($E56="","",IF(AND(Parâmetros!$C$5&gt;0,$P56&lt;&gt;"",$P56&gt;=Parâmetros!$C$5),"Sim","Não"))</f>
        <v/>
      </c>
      <c r="P56" s="45" t="str">
        <f aca="false">IF($E56="","",IF($G56="","",IF($G56="NOK",$F56,0)))</f>
        <v/>
      </c>
      <c r="Q56" s="46" t="str">
        <f aca="false">IF($E56="","",IF($O56&lt;&gt;"Sim","",COUNTIF($O$3:$O56,"Sim")))</f>
        <v/>
      </c>
      <c r="R56" s="47" t="n">
        <f aca="false">IF($P56="",0,$P56)</f>
        <v>0</v>
      </c>
    </row>
    <row r="57" customFormat="false" ht="18" hidden="false" customHeight="true" outlineLevel="0" collapsed="false">
      <c r="A57" s="39"/>
      <c r="B57" s="41"/>
      <c r="C57" s="40"/>
      <c r="D57" s="40"/>
      <c r="E57" s="40"/>
      <c r="F57" s="42"/>
      <c r="G57" s="39"/>
      <c r="H57" s="40"/>
      <c r="I57" s="40"/>
      <c r="J57" s="40"/>
      <c r="K57" s="41"/>
      <c r="L57" s="39"/>
      <c r="M57" s="48" t="str">
        <f aca="false">IF($E57="","",IFERROR(INDEX(Parâmetros!$C$15:$C$20,MATCH($P57,Parâmetros!$B$15:$B$20,0)),""))</f>
        <v/>
      </c>
      <c r="N57" s="46" t="str">
        <f aca="false">IF($E57="","",IF($P57="","",IF($P57&gt;=8,"Alta",IF($P57&gt;=5,"Média","Baixa"))))</f>
        <v/>
      </c>
      <c r="O57" s="46" t="str">
        <f aca="false">IF($E57="","",IF(AND(Parâmetros!$C$5&gt;0,$P57&lt;&gt;"",$P57&gt;=Parâmetros!$C$5),"Sim","Não"))</f>
        <v/>
      </c>
      <c r="P57" s="45" t="str">
        <f aca="false">IF($E57="","",IF($G57="","",IF($G57="NOK",$F57,0)))</f>
        <v/>
      </c>
      <c r="Q57" s="46" t="str">
        <f aca="false">IF($E57="","",IF($O57&lt;&gt;"Sim","",COUNTIF($O$3:$O57,"Sim")))</f>
        <v/>
      </c>
      <c r="R57" s="47" t="n">
        <f aca="false">IF($P57="",0,$P57)</f>
        <v>0</v>
      </c>
    </row>
    <row r="58" customFormat="false" ht="18" hidden="false" customHeight="true" outlineLevel="0" collapsed="false">
      <c r="A58" s="39"/>
      <c r="B58" s="41"/>
      <c r="C58" s="40"/>
      <c r="D58" s="40"/>
      <c r="E58" s="40"/>
      <c r="F58" s="42"/>
      <c r="G58" s="39"/>
      <c r="H58" s="40"/>
      <c r="I58" s="40"/>
      <c r="J58" s="40"/>
      <c r="K58" s="41"/>
      <c r="L58" s="39"/>
      <c r="M58" s="48" t="str">
        <f aca="false">IF($E58="","",IFERROR(INDEX(Parâmetros!$C$15:$C$20,MATCH($P58,Parâmetros!$B$15:$B$20,0)),""))</f>
        <v/>
      </c>
      <c r="N58" s="46" t="str">
        <f aca="false">IF($E58="","",IF($P58="","",IF($P58&gt;=8,"Alta",IF($P58&gt;=5,"Média","Baixa"))))</f>
        <v/>
      </c>
      <c r="O58" s="46" t="str">
        <f aca="false">IF($E58="","",IF(AND(Parâmetros!$C$5&gt;0,$P58&lt;&gt;"",$P58&gt;=Parâmetros!$C$5),"Sim","Não"))</f>
        <v/>
      </c>
      <c r="P58" s="45" t="str">
        <f aca="false">IF($E58="","",IF($G58="","",IF($G58="NOK",$F58,0)))</f>
        <v/>
      </c>
      <c r="Q58" s="46" t="str">
        <f aca="false">IF($E58="","",IF($O58&lt;&gt;"Sim","",COUNTIF($O$3:$O58,"Sim")))</f>
        <v/>
      </c>
      <c r="R58" s="47" t="n">
        <f aca="false">IF($P58="",0,$P58)</f>
        <v>0</v>
      </c>
    </row>
    <row r="59" customFormat="false" ht="18" hidden="false" customHeight="true" outlineLevel="0" collapsed="false">
      <c r="A59" s="39"/>
      <c r="B59" s="41"/>
      <c r="C59" s="40"/>
      <c r="D59" s="40"/>
      <c r="E59" s="40"/>
      <c r="F59" s="42"/>
      <c r="G59" s="39"/>
      <c r="H59" s="40"/>
      <c r="I59" s="40"/>
      <c r="J59" s="40"/>
      <c r="K59" s="41"/>
      <c r="L59" s="39"/>
      <c r="M59" s="48" t="str">
        <f aca="false">IF($E59="","",IFERROR(INDEX(Parâmetros!$C$15:$C$20,MATCH($P59,Parâmetros!$B$15:$B$20,0)),""))</f>
        <v/>
      </c>
      <c r="N59" s="46" t="str">
        <f aca="false">IF($E59="","",IF($P59="","",IF($P59&gt;=8,"Alta",IF($P59&gt;=5,"Média","Baixa"))))</f>
        <v/>
      </c>
      <c r="O59" s="46" t="str">
        <f aca="false">IF($E59="","",IF(AND(Parâmetros!$C$5&gt;0,$P59&lt;&gt;"",$P59&gt;=Parâmetros!$C$5),"Sim","Não"))</f>
        <v/>
      </c>
      <c r="P59" s="45" t="str">
        <f aca="false">IF($E59="","",IF($G59="","",IF($G59="NOK",$F59,0)))</f>
        <v/>
      </c>
      <c r="Q59" s="46" t="str">
        <f aca="false">IF($E59="","",IF($O59&lt;&gt;"Sim","",COUNTIF($O$3:$O59,"Sim")))</f>
        <v/>
      </c>
      <c r="R59" s="47" t="n">
        <f aca="false">IF($P59="",0,$P59)</f>
        <v>0</v>
      </c>
    </row>
    <row r="60" customFormat="false" ht="18" hidden="false" customHeight="true" outlineLevel="0" collapsed="false">
      <c r="A60" s="39"/>
      <c r="B60" s="41"/>
      <c r="C60" s="40"/>
      <c r="D60" s="40"/>
      <c r="E60" s="40"/>
      <c r="F60" s="42"/>
      <c r="G60" s="39"/>
      <c r="H60" s="40"/>
      <c r="I60" s="40"/>
      <c r="J60" s="40"/>
      <c r="K60" s="41"/>
      <c r="L60" s="39"/>
      <c r="M60" s="48" t="str">
        <f aca="false">IF($E60="","",IFERROR(INDEX(Parâmetros!$C$15:$C$20,MATCH($P60,Parâmetros!$B$15:$B$20,0)),""))</f>
        <v/>
      </c>
      <c r="N60" s="46" t="str">
        <f aca="false">IF($E60="","",IF($P60="","",IF($P60&gt;=8,"Alta",IF($P60&gt;=5,"Média","Baixa"))))</f>
        <v/>
      </c>
      <c r="O60" s="46" t="str">
        <f aca="false">IF($E60="","",IF(AND(Parâmetros!$C$5&gt;0,$P60&lt;&gt;"",$P60&gt;=Parâmetros!$C$5),"Sim","Não"))</f>
        <v/>
      </c>
      <c r="P60" s="45" t="str">
        <f aca="false">IF($E60="","",IF($G60="","",IF($G60="NOK",$F60,0)))</f>
        <v/>
      </c>
      <c r="Q60" s="46" t="str">
        <f aca="false">IF($E60="","",IF($O60&lt;&gt;"Sim","",COUNTIF($O$3:$O60,"Sim")))</f>
        <v/>
      </c>
      <c r="R60" s="47" t="n">
        <f aca="false">IF($P60="",0,$P60)</f>
        <v>0</v>
      </c>
    </row>
    <row r="61" customFormat="false" ht="18" hidden="false" customHeight="true" outlineLevel="0" collapsed="false">
      <c r="A61" s="39"/>
      <c r="B61" s="41"/>
      <c r="C61" s="40"/>
      <c r="D61" s="40"/>
      <c r="E61" s="40"/>
      <c r="F61" s="42"/>
      <c r="G61" s="39"/>
      <c r="H61" s="40"/>
      <c r="I61" s="40"/>
      <c r="J61" s="40"/>
      <c r="K61" s="41"/>
      <c r="L61" s="39"/>
      <c r="M61" s="48" t="str">
        <f aca="false">IF($E61="","",IFERROR(INDEX(Parâmetros!$C$15:$C$20,MATCH($P61,Parâmetros!$B$15:$B$20,0)),""))</f>
        <v/>
      </c>
      <c r="N61" s="46" t="str">
        <f aca="false">IF($E61="","",IF($P61="","",IF($P61&gt;=8,"Alta",IF($P61&gt;=5,"Média","Baixa"))))</f>
        <v/>
      </c>
      <c r="O61" s="46" t="str">
        <f aca="false">IF($E61="","",IF(AND(Parâmetros!$C$5&gt;0,$P61&lt;&gt;"",$P61&gt;=Parâmetros!$C$5),"Sim","Não"))</f>
        <v/>
      </c>
      <c r="P61" s="45" t="str">
        <f aca="false">IF($E61="","",IF($G61="","",IF($G61="NOK",$F61,0)))</f>
        <v/>
      </c>
      <c r="Q61" s="46" t="str">
        <f aca="false">IF($E61="","",IF($O61&lt;&gt;"Sim","",COUNTIF($O$3:$O61,"Sim")))</f>
        <v/>
      </c>
      <c r="R61" s="47" t="n">
        <f aca="false">IF($P61="",0,$P61)</f>
        <v>0</v>
      </c>
    </row>
    <row r="62" customFormat="false" ht="18" hidden="false" customHeight="true" outlineLevel="0" collapsed="false">
      <c r="A62" s="39"/>
      <c r="B62" s="41"/>
      <c r="C62" s="40"/>
      <c r="D62" s="40"/>
      <c r="E62" s="40"/>
      <c r="F62" s="42"/>
      <c r="G62" s="39"/>
      <c r="H62" s="40"/>
      <c r="I62" s="40"/>
      <c r="J62" s="40"/>
      <c r="K62" s="41"/>
      <c r="L62" s="39"/>
      <c r="M62" s="48" t="str">
        <f aca="false">IF($E62="","",IFERROR(INDEX(Parâmetros!$C$15:$C$20,MATCH($P62,Parâmetros!$B$15:$B$20,0)),""))</f>
        <v/>
      </c>
      <c r="N62" s="46" t="str">
        <f aca="false">IF($E62="","",IF($P62="","",IF($P62&gt;=8,"Alta",IF($P62&gt;=5,"Média","Baixa"))))</f>
        <v/>
      </c>
      <c r="O62" s="46" t="str">
        <f aca="false">IF($E62="","",IF(AND(Parâmetros!$C$5&gt;0,$P62&lt;&gt;"",$P62&gt;=Parâmetros!$C$5),"Sim","Não"))</f>
        <v/>
      </c>
      <c r="P62" s="45" t="str">
        <f aca="false">IF($E62="","",IF($G62="","",IF($G62="NOK",$F62,0)))</f>
        <v/>
      </c>
      <c r="Q62" s="46" t="str">
        <f aca="false">IF($E62="","",IF($O62&lt;&gt;"Sim","",COUNTIF($O$3:$O62,"Sim")))</f>
        <v/>
      </c>
      <c r="R62" s="47" t="n">
        <f aca="false">IF($P62="",0,$P62)</f>
        <v>0</v>
      </c>
    </row>
    <row r="63" customFormat="false" ht="18" hidden="false" customHeight="true" outlineLevel="0" collapsed="false">
      <c r="A63" s="39"/>
      <c r="B63" s="41"/>
      <c r="C63" s="40"/>
      <c r="D63" s="40"/>
      <c r="E63" s="40"/>
      <c r="F63" s="42"/>
      <c r="G63" s="39"/>
      <c r="H63" s="40"/>
      <c r="I63" s="40"/>
      <c r="J63" s="40"/>
      <c r="K63" s="41"/>
      <c r="L63" s="39"/>
      <c r="M63" s="48" t="str">
        <f aca="false">IF($E63="","",IFERROR(INDEX(Parâmetros!$C$15:$C$20,MATCH($P63,Parâmetros!$B$15:$B$20,0)),""))</f>
        <v/>
      </c>
      <c r="N63" s="46" t="str">
        <f aca="false">IF($E63="","",IF($P63="","",IF($P63&gt;=8,"Alta",IF($P63&gt;=5,"Média","Baixa"))))</f>
        <v/>
      </c>
      <c r="O63" s="46" t="str">
        <f aca="false">IF($E63="","",IF(AND(Parâmetros!$C$5&gt;0,$P63&lt;&gt;"",$P63&gt;=Parâmetros!$C$5),"Sim","Não"))</f>
        <v/>
      </c>
      <c r="P63" s="45" t="str">
        <f aca="false">IF($E63="","",IF($G63="","",IF($G63="NOK",$F63,0)))</f>
        <v/>
      </c>
      <c r="Q63" s="46" t="str">
        <f aca="false">IF($E63="","",IF($O63&lt;&gt;"Sim","",COUNTIF($O$3:$O63,"Sim")))</f>
        <v/>
      </c>
      <c r="R63" s="47" t="n">
        <f aca="false">IF($P63="",0,$P63)</f>
        <v>0</v>
      </c>
    </row>
    <row r="64" customFormat="false" ht="18" hidden="false" customHeight="true" outlineLevel="0" collapsed="false">
      <c r="A64" s="39"/>
      <c r="B64" s="41"/>
      <c r="C64" s="40"/>
      <c r="D64" s="40"/>
      <c r="E64" s="40"/>
      <c r="F64" s="42"/>
      <c r="G64" s="39"/>
      <c r="H64" s="40"/>
      <c r="I64" s="40"/>
      <c r="J64" s="40"/>
      <c r="K64" s="41"/>
      <c r="L64" s="39"/>
      <c r="M64" s="48" t="str">
        <f aca="false">IF($E64="","",IFERROR(INDEX(Parâmetros!$C$15:$C$20,MATCH($P64,Parâmetros!$B$15:$B$20,0)),""))</f>
        <v/>
      </c>
      <c r="N64" s="46" t="str">
        <f aca="false">IF($E64="","",IF($P64="","",IF($P64&gt;=8,"Alta",IF($P64&gt;=5,"Média","Baixa"))))</f>
        <v/>
      </c>
      <c r="O64" s="46" t="str">
        <f aca="false">IF($E64="","",IF(AND(Parâmetros!$C$5&gt;0,$P64&lt;&gt;"",$P64&gt;=Parâmetros!$C$5),"Sim","Não"))</f>
        <v/>
      </c>
      <c r="P64" s="45" t="str">
        <f aca="false">IF($E64="","",IF($G64="","",IF($G64="NOK",$F64,0)))</f>
        <v/>
      </c>
      <c r="Q64" s="46" t="str">
        <f aca="false">IF($E64="","",IF($O64&lt;&gt;"Sim","",COUNTIF($O$3:$O64,"Sim")))</f>
        <v/>
      </c>
      <c r="R64" s="47" t="n">
        <f aca="false">IF($P64="",0,$P64)</f>
        <v>0</v>
      </c>
    </row>
    <row r="65" customFormat="false" ht="18" hidden="false" customHeight="true" outlineLevel="0" collapsed="false">
      <c r="A65" s="39"/>
      <c r="B65" s="41"/>
      <c r="C65" s="40"/>
      <c r="D65" s="40"/>
      <c r="E65" s="40"/>
      <c r="F65" s="42"/>
      <c r="G65" s="39"/>
      <c r="H65" s="40"/>
      <c r="I65" s="40"/>
      <c r="J65" s="40"/>
      <c r="K65" s="41"/>
      <c r="L65" s="39"/>
      <c r="M65" s="48" t="str">
        <f aca="false">IF($E65="","",IFERROR(INDEX(Parâmetros!$C$15:$C$20,MATCH($P65,Parâmetros!$B$15:$B$20,0)),""))</f>
        <v/>
      </c>
      <c r="N65" s="46" t="str">
        <f aca="false">IF($E65="","",IF($P65="","",IF($P65&gt;=8,"Alta",IF($P65&gt;=5,"Média","Baixa"))))</f>
        <v/>
      </c>
      <c r="O65" s="46" t="str">
        <f aca="false">IF($E65="","",IF(AND(Parâmetros!$C$5&gt;0,$P65&lt;&gt;"",$P65&gt;=Parâmetros!$C$5),"Sim","Não"))</f>
        <v/>
      </c>
      <c r="P65" s="45" t="str">
        <f aca="false">IF($E65="","",IF($G65="","",IF($G65="NOK",$F65,0)))</f>
        <v/>
      </c>
      <c r="Q65" s="46" t="str">
        <f aca="false">IF($E65="","",IF($O65&lt;&gt;"Sim","",COUNTIF($O$3:$O65,"Sim")))</f>
        <v/>
      </c>
      <c r="R65" s="47" t="n">
        <f aca="false">IF($P65="",0,$P65)</f>
        <v>0</v>
      </c>
    </row>
    <row r="66" customFormat="false" ht="18" hidden="false" customHeight="true" outlineLevel="0" collapsed="false">
      <c r="A66" s="39"/>
      <c r="B66" s="41"/>
      <c r="C66" s="40"/>
      <c r="D66" s="40"/>
      <c r="E66" s="40"/>
      <c r="F66" s="42"/>
      <c r="G66" s="39"/>
      <c r="H66" s="40"/>
      <c r="I66" s="40"/>
      <c r="J66" s="40"/>
      <c r="K66" s="41"/>
      <c r="L66" s="39"/>
      <c r="M66" s="48" t="str">
        <f aca="false">IF($E66="","",IFERROR(INDEX(Parâmetros!$C$15:$C$20,MATCH($P66,Parâmetros!$B$15:$B$20,0)),""))</f>
        <v/>
      </c>
      <c r="N66" s="46" t="str">
        <f aca="false">IF($E66="","",IF($P66="","",IF($P66&gt;=8,"Alta",IF($P66&gt;=5,"Média","Baixa"))))</f>
        <v/>
      </c>
      <c r="O66" s="46" t="str">
        <f aca="false">IF($E66="","",IF(AND(Parâmetros!$C$5&gt;0,$P66&lt;&gt;"",$P66&gt;=Parâmetros!$C$5),"Sim","Não"))</f>
        <v/>
      </c>
      <c r="P66" s="45" t="str">
        <f aca="false">IF($E66="","",IF($G66="","",IF($G66="NOK",$F66,0)))</f>
        <v/>
      </c>
      <c r="Q66" s="46" t="str">
        <f aca="false">IF($E66="","",IF($O66&lt;&gt;"Sim","",COUNTIF($O$3:$O66,"Sim")))</f>
        <v/>
      </c>
      <c r="R66" s="47" t="n">
        <f aca="false">IF($P66="",0,$P66)</f>
        <v>0</v>
      </c>
    </row>
    <row r="67" customFormat="false" ht="18" hidden="false" customHeight="true" outlineLevel="0" collapsed="false">
      <c r="A67" s="39"/>
      <c r="B67" s="41"/>
      <c r="C67" s="40"/>
      <c r="D67" s="40"/>
      <c r="E67" s="40"/>
      <c r="F67" s="42"/>
      <c r="G67" s="39"/>
      <c r="H67" s="40"/>
      <c r="I67" s="40"/>
      <c r="J67" s="40"/>
      <c r="K67" s="41"/>
      <c r="L67" s="39"/>
      <c r="M67" s="48" t="str">
        <f aca="false">IF($E67="","",IFERROR(INDEX(Parâmetros!$C$15:$C$20,MATCH($P67,Parâmetros!$B$15:$B$20,0)),""))</f>
        <v/>
      </c>
      <c r="N67" s="46" t="str">
        <f aca="false">IF($E67="","",IF($P67="","",IF($P67&gt;=8,"Alta",IF($P67&gt;=5,"Média","Baixa"))))</f>
        <v/>
      </c>
      <c r="O67" s="46" t="str">
        <f aca="false">IF($E67="","",IF(AND(Parâmetros!$C$5&gt;0,$P67&lt;&gt;"",$P67&gt;=Parâmetros!$C$5),"Sim","Não"))</f>
        <v/>
      </c>
      <c r="P67" s="45" t="str">
        <f aca="false">IF($E67="","",IF($G67="","",IF($G67="NOK",$F67,0)))</f>
        <v/>
      </c>
      <c r="Q67" s="46" t="str">
        <f aca="false">IF($E67="","",IF($O67&lt;&gt;"Sim","",COUNTIF($O$3:$O67,"Sim")))</f>
        <v/>
      </c>
      <c r="R67" s="47" t="n">
        <f aca="false">IF($P67="",0,$P67)</f>
        <v>0</v>
      </c>
    </row>
    <row r="68" customFormat="false" ht="18" hidden="false" customHeight="true" outlineLevel="0" collapsed="false">
      <c r="A68" s="39"/>
      <c r="B68" s="41"/>
      <c r="C68" s="40"/>
      <c r="D68" s="40"/>
      <c r="E68" s="40"/>
      <c r="F68" s="42"/>
      <c r="G68" s="39"/>
      <c r="H68" s="40"/>
      <c r="I68" s="40"/>
      <c r="J68" s="40"/>
      <c r="K68" s="41"/>
      <c r="L68" s="39"/>
      <c r="M68" s="48" t="str">
        <f aca="false">IF($E68="","",IFERROR(INDEX(Parâmetros!$C$15:$C$20,MATCH($P68,Parâmetros!$B$15:$B$20,0)),""))</f>
        <v/>
      </c>
      <c r="N68" s="46" t="str">
        <f aca="false">IF($E68="","",IF($P68="","",IF($P68&gt;=8,"Alta",IF($P68&gt;=5,"Média","Baixa"))))</f>
        <v/>
      </c>
      <c r="O68" s="46" t="str">
        <f aca="false">IF($E68="","",IF(AND(Parâmetros!$C$5&gt;0,$P68&lt;&gt;"",$P68&gt;=Parâmetros!$C$5),"Sim","Não"))</f>
        <v/>
      </c>
      <c r="P68" s="45" t="str">
        <f aca="false">IF($E68="","",IF($G68="","",IF($G68="NOK",$F68,0)))</f>
        <v/>
      </c>
      <c r="Q68" s="46" t="str">
        <f aca="false">IF($E68="","",IF($O68&lt;&gt;"Sim","",COUNTIF($O$3:$O68,"Sim")))</f>
        <v/>
      </c>
      <c r="R68" s="47" t="n">
        <f aca="false">IF($P68="",0,$P68)</f>
        <v>0</v>
      </c>
    </row>
    <row r="69" customFormat="false" ht="18" hidden="false" customHeight="true" outlineLevel="0" collapsed="false">
      <c r="A69" s="39"/>
      <c r="B69" s="41"/>
      <c r="C69" s="40"/>
      <c r="D69" s="40"/>
      <c r="E69" s="40"/>
      <c r="F69" s="42"/>
      <c r="G69" s="39"/>
      <c r="H69" s="40"/>
      <c r="I69" s="40"/>
      <c r="J69" s="40"/>
      <c r="K69" s="41"/>
      <c r="L69" s="39"/>
      <c r="M69" s="48" t="str">
        <f aca="false">IF($E69="","",IFERROR(INDEX(Parâmetros!$C$15:$C$20,MATCH($P69,Parâmetros!$B$15:$B$20,0)),""))</f>
        <v/>
      </c>
      <c r="N69" s="46" t="str">
        <f aca="false">IF($E69="","",IF($P69="","",IF($P69&gt;=8,"Alta",IF($P69&gt;=5,"Média","Baixa"))))</f>
        <v/>
      </c>
      <c r="O69" s="46" t="str">
        <f aca="false">IF($E69="","",IF(AND(Parâmetros!$C$5&gt;0,$P69&lt;&gt;"",$P69&gt;=Parâmetros!$C$5),"Sim","Não"))</f>
        <v/>
      </c>
      <c r="P69" s="45" t="str">
        <f aca="false">IF($E69="","",IF($G69="","",IF($G69="NOK",$F69,0)))</f>
        <v/>
      </c>
      <c r="Q69" s="46" t="str">
        <f aca="false">IF($E69="","",IF($O69&lt;&gt;"Sim","",COUNTIF($O$3:$O69,"Sim")))</f>
        <v/>
      </c>
      <c r="R69" s="47" t="n">
        <f aca="false">IF($P69="",0,$P69)</f>
        <v>0</v>
      </c>
    </row>
    <row r="70" customFormat="false" ht="18" hidden="false" customHeight="true" outlineLevel="0" collapsed="false">
      <c r="A70" s="39"/>
      <c r="B70" s="41"/>
      <c r="C70" s="40"/>
      <c r="D70" s="40"/>
      <c r="E70" s="40"/>
      <c r="F70" s="42"/>
      <c r="G70" s="39"/>
      <c r="H70" s="40"/>
      <c r="I70" s="40"/>
      <c r="J70" s="40"/>
      <c r="K70" s="41"/>
      <c r="L70" s="39"/>
      <c r="M70" s="48" t="str">
        <f aca="false">IF($E70="","",IFERROR(INDEX(Parâmetros!$C$15:$C$20,MATCH($P70,Parâmetros!$B$15:$B$20,0)),""))</f>
        <v/>
      </c>
      <c r="N70" s="46" t="str">
        <f aca="false">IF($E70="","",IF($P70="","",IF($P70&gt;=8,"Alta",IF($P70&gt;=5,"Média","Baixa"))))</f>
        <v/>
      </c>
      <c r="O70" s="46" t="str">
        <f aca="false">IF($E70="","",IF(AND(Parâmetros!$C$5&gt;0,$P70&lt;&gt;"",$P70&gt;=Parâmetros!$C$5),"Sim","Não"))</f>
        <v/>
      </c>
      <c r="P70" s="45" t="str">
        <f aca="false">IF($E70="","",IF($G70="","",IF($G70="NOK",$F70,0)))</f>
        <v/>
      </c>
      <c r="Q70" s="46" t="str">
        <f aca="false">IF($E70="","",IF($O70&lt;&gt;"Sim","",COUNTIF($O$3:$O70,"Sim")))</f>
        <v/>
      </c>
      <c r="R70" s="47" t="n">
        <f aca="false">IF($P70="",0,$P70)</f>
        <v>0</v>
      </c>
    </row>
    <row r="71" customFormat="false" ht="18" hidden="false" customHeight="true" outlineLevel="0" collapsed="false">
      <c r="A71" s="39"/>
      <c r="B71" s="41"/>
      <c r="C71" s="40"/>
      <c r="D71" s="40"/>
      <c r="E71" s="40"/>
      <c r="F71" s="42"/>
      <c r="G71" s="39"/>
      <c r="H71" s="40"/>
      <c r="I71" s="40"/>
      <c r="J71" s="40"/>
      <c r="K71" s="41"/>
      <c r="L71" s="39"/>
      <c r="M71" s="48" t="str">
        <f aca="false">IF($E71="","",IFERROR(INDEX(Parâmetros!$C$15:$C$20,MATCH($P71,Parâmetros!$B$15:$B$20,0)),""))</f>
        <v/>
      </c>
      <c r="N71" s="46" t="str">
        <f aca="false">IF($E71="","",IF($P71="","",IF($P71&gt;=8,"Alta",IF($P71&gt;=5,"Média","Baixa"))))</f>
        <v/>
      </c>
      <c r="O71" s="46" t="str">
        <f aca="false">IF($E71="","",IF(AND(Parâmetros!$C$5&gt;0,$P71&lt;&gt;"",$P71&gt;=Parâmetros!$C$5),"Sim","Não"))</f>
        <v/>
      </c>
      <c r="P71" s="45" t="str">
        <f aca="false">IF($E71="","",IF($G71="","",IF($G71="NOK",$F71,0)))</f>
        <v/>
      </c>
      <c r="Q71" s="46" t="str">
        <f aca="false">IF($E71="","",IF($O71&lt;&gt;"Sim","",COUNTIF($O$3:$O71,"Sim")))</f>
        <v/>
      </c>
      <c r="R71" s="47" t="n">
        <f aca="false">IF($P71="",0,$P71)</f>
        <v>0</v>
      </c>
    </row>
    <row r="72" customFormat="false" ht="18" hidden="false" customHeight="true" outlineLevel="0" collapsed="false">
      <c r="A72" s="39"/>
      <c r="B72" s="41"/>
      <c r="C72" s="40"/>
      <c r="D72" s="40"/>
      <c r="E72" s="40"/>
      <c r="F72" s="42"/>
      <c r="G72" s="39"/>
      <c r="H72" s="40"/>
      <c r="I72" s="40"/>
      <c r="J72" s="40"/>
      <c r="K72" s="41"/>
      <c r="L72" s="39"/>
      <c r="M72" s="48" t="str">
        <f aca="false">IF($E72="","",IFERROR(INDEX(Parâmetros!$C$15:$C$20,MATCH($P72,Parâmetros!$B$15:$B$20,0)),""))</f>
        <v/>
      </c>
      <c r="N72" s="46" t="str">
        <f aca="false">IF($E72="","",IF($P72="","",IF($P72&gt;=8,"Alta",IF($P72&gt;=5,"Média","Baixa"))))</f>
        <v/>
      </c>
      <c r="O72" s="46" t="str">
        <f aca="false">IF($E72="","",IF(AND(Parâmetros!$C$5&gt;0,$P72&lt;&gt;"",$P72&gt;=Parâmetros!$C$5),"Sim","Não"))</f>
        <v/>
      </c>
      <c r="P72" s="45" t="str">
        <f aca="false">IF($E72="","",IF($G72="","",IF($G72="NOK",$F72,0)))</f>
        <v/>
      </c>
      <c r="Q72" s="46" t="str">
        <f aca="false">IF($E72="","",IF($O72&lt;&gt;"Sim","",COUNTIF($O$3:$O72,"Sim")))</f>
        <v/>
      </c>
      <c r="R72" s="47" t="n">
        <f aca="false">IF($P72="",0,$P72)</f>
        <v>0</v>
      </c>
    </row>
    <row r="73" customFormat="false" ht="18" hidden="false" customHeight="true" outlineLevel="0" collapsed="false">
      <c r="A73" s="39"/>
      <c r="B73" s="41"/>
      <c r="C73" s="40"/>
      <c r="D73" s="40"/>
      <c r="E73" s="40"/>
      <c r="F73" s="42"/>
      <c r="G73" s="39"/>
      <c r="H73" s="40"/>
      <c r="I73" s="40"/>
      <c r="J73" s="40"/>
      <c r="K73" s="41"/>
      <c r="L73" s="39"/>
      <c r="M73" s="48" t="str">
        <f aca="false">IF($E73="","",IFERROR(INDEX(Parâmetros!$C$15:$C$20,MATCH($P73,Parâmetros!$B$15:$B$20,0)),""))</f>
        <v/>
      </c>
      <c r="N73" s="46" t="str">
        <f aca="false">IF($E73="","",IF($P73="","",IF($P73&gt;=8,"Alta",IF($P73&gt;=5,"Média","Baixa"))))</f>
        <v/>
      </c>
      <c r="O73" s="46" t="str">
        <f aca="false">IF($E73="","",IF(AND(Parâmetros!$C$5&gt;0,$P73&lt;&gt;"",$P73&gt;=Parâmetros!$C$5),"Sim","Não"))</f>
        <v/>
      </c>
      <c r="P73" s="45" t="str">
        <f aca="false">IF($E73="","",IF($G73="","",IF($G73="NOK",$F73,0)))</f>
        <v/>
      </c>
      <c r="Q73" s="46" t="str">
        <f aca="false">IF($E73="","",IF($O73&lt;&gt;"Sim","",COUNTIF($O$3:$O73,"Sim")))</f>
        <v/>
      </c>
      <c r="R73" s="47" t="n">
        <f aca="false">IF($P73="",0,$P73)</f>
        <v>0</v>
      </c>
    </row>
    <row r="74" customFormat="false" ht="18" hidden="false" customHeight="true" outlineLevel="0" collapsed="false">
      <c r="A74" s="39"/>
      <c r="B74" s="41"/>
      <c r="C74" s="40"/>
      <c r="D74" s="40"/>
      <c r="E74" s="40"/>
      <c r="F74" s="42"/>
      <c r="G74" s="39"/>
      <c r="H74" s="40"/>
      <c r="I74" s="40"/>
      <c r="J74" s="40"/>
      <c r="K74" s="41"/>
      <c r="L74" s="39"/>
      <c r="M74" s="48" t="str">
        <f aca="false">IF($E74="","",IFERROR(INDEX(Parâmetros!$C$15:$C$20,MATCH($P74,Parâmetros!$B$15:$B$20,0)),""))</f>
        <v/>
      </c>
      <c r="N74" s="46" t="str">
        <f aca="false">IF($E74="","",IF($P74="","",IF($P74&gt;=8,"Alta",IF($P74&gt;=5,"Média","Baixa"))))</f>
        <v/>
      </c>
      <c r="O74" s="46" t="str">
        <f aca="false">IF($E74="","",IF(AND(Parâmetros!$C$5&gt;0,$P74&lt;&gt;"",$P74&gt;=Parâmetros!$C$5),"Sim","Não"))</f>
        <v/>
      </c>
      <c r="P74" s="45" t="str">
        <f aca="false">IF($E74="","",IF($G74="","",IF($G74="NOK",$F74,0)))</f>
        <v/>
      </c>
      <c r="Q74" s="46" t="str">
        <f aca="false">IF($E74="","",IF($O74&lt;&gt;"Sim","",COUNTIF($O$3:$O74,"Sim")))</f>
        <v/>
      </c>
      <c r="R74" s="47" t="n">
        <f aca="false">IF($P74="",0,$P74)</f>
        <v>0</v>
      </c>
    </row>
    <row r="75" customFormat="false" ht="18" hidden="false" customHeight="true" outlineLevel="0" collapsed="false">
      <c r="A75" s="39"/>
      <c r="B75" s="41"/>
      <c r="C75" s="40"/>
      <c r="D75" s="40"/>
      <c r="E75" s="40"/>
      <c r="F75" s="42"/>
      <c r="G75" s="39"/>
      <c r="H75" s="40"/>
      <c r="I75" s="40"/>
      <c r="J75" s="40"/>
      <c r="K75" s="41"/>
      <c r="L75" s="39"/>
      <c r="M75" s="48" t="str">
        <f aca="false">IF($E75="","",IFERROR(INDEX(Parâmetros!$C$15:$C$20,MATCH($P75,Parâmetros!$B$15:$B$20,0)),""))</f>
        <v/>
      </c>
      <c r="N75" s="46" t="str">
        <f aca="false">IF($E75="","",IF($P75="","",IF($P75&gt;=8,"Alta",IF($P75&gt;=5,"Média","Baixa"))))</f>
        <v/>
      </c>
      <c r="O75" s="46" t="str">
        <f aca="false">IF($E75="","",IF(AND(Parâmetros!$C$5&gt;0,$P75&lt;&gt;"",$P75&gt;=Parâmetros!$C$5),"Sim","Não"))</f>
        <v/>
      </c>
      <c r="P75" s="45" t="str">
        <f aca="false">IF($E75="","",IF($G75="","",IF($G75="NOK",$F75,0)))</f>
        <v/>
      </c>
      <c r="Q75" s="46" t="str">
        <f aca="false">IF($E75="","",IF($O75&lt;&gt;"Sim","",COUNTIF($O$3:$O75,"Sim")))</f>
        <v/>
      </c>
      <c r="R75" s="47" t="n">
        <f aca="false">IF($P75="",0,$P75)</f>
        <v>0</v>
      </c>
    </row>
    <row r="76" customFormat="false" ht="18" hidden="false" customHeight="true" outlineLevel="0" collapsed="false">
      <c r="A76" s="39"/>
      <c r="B76" s="41"/>
      <c r="C76" s="40"/>
      <c r="D76" s="40"/>
      <c r="E76" s="40"/>
      <c r="F76" s="42"/>
      <c r="G76" s="39"/>
      <c r="H76" s="40"/>
      <c r="I76" s="40"/>
      <c r="J76" s="40"/>
      <c r="K76" s="41"/>
      <c r="L76" s="39"/>
      <c r="M76" s="48" t="str">
        <f aca="false">IF($E76="","",IFERROR(INDEX(Parâmetros!$C$15:$C$20,MATCH($P76,Parâmetros!$B$15:$B$20,0)),""))</f>
        <v/>
      </c>
      <c r="N76" s="46" t="str">
        <f aca="false">IF($E76="","",IF($P76="","",IF($P76&gt;=8,"Alta",IF($P76&gt;=5,"Média","Baixa"))))</f>
        <v/>
      </c>
      <c r="O76" s="46" t="str">
        <f aca="false">IF($E76="","",IF(AND(Parâmetros!$C$5&gt;0,$P76&lt;&gt;"",$P76&gt;=Parâmetros!$C$5),"Sim","Não"))</f>
        <v/>
      </c>
      <c r="P76" s="45" t="str">
        <f aca="false">IF($E76="","",IF($G76="","",IF($G76="NOK",$F76,0)))</f>
        <v/>
      </c>
      <c r="Q76" s="46" t="str">
        <f aca="false">IF($E76="","",IF($O76&lt;&gt;"Sim","",COUNTIF($O$3:$O76,"Sim")))</f>
        <v/>
      </c>
      <c r="R76" s="47" t="n">
        <f aca="false">IF($P76="",0,$P76)</f>
        <v>0</v>
      </c>
    </row>
    <row r="77" customFormat="false" ht="18" hidden="false" customHeight="true" outlineLevel="0" collapsed="false">
      <c r="A77" s="39"/>
      <c r="B77" s="41"/>
      <c r="C77" s="40"/>
      <c r="D77" s="40"/>
      <c r="E77" s="40"/>
      <c r="F77" s="42"/>
      <c r="G77" s="39"/>
      <c r="H77" s="40"/>
      <c r="I77" s="40"/>
      <c r="J77" s="40"/>
      <c r="K77" s="41"/>
      <c r="L77" s="39"/>
      <c r="M77" s="48" t="str">
        <f aca="false">IF($E77="","",IFERROR(INDEX(Parâmetros!$C$15:$C$20,MATCH($P77,Parâmetros!$B$15:$B$20,0)),""))</f>
        <v/>
      </c>
      <c r="N77" s="46" t="str">
        <f aca="false">IF($E77="","",IF($P77="","",IF($P77&gt;=8,"Alta",IF($P77&gt;=5,"Média","Baixa"))))</f>
        <v/>
      </c>
      <c r="O77" s="46" t="str">
        <f aca="false">IF($E77="","",IF(AND(Parâmetros!$C$5&gt;0,$P77&lt;&gt;"",$P77&gt;=Parâmetros!$C$5),"Sim","Não"))</f>
        <v/>
      </c>
      <c r="P77" s="45" t="str">
        <f aca="false">IF($E77="","",IF($G77="","",IF($G77="NOK",$F77,0)))</f>
        <v/>
      </c>
      <c r="Q77" s="46" t="str">
        <f aca="false">IF($E77="","",IF($O77&lt;&gt;"Sim","",COUNTIF($O$3:$O77,"Sim")))</f>
        <v/>
      </c>
      <c r="R77" s="47" t="n">
        <f aca="false">IF($P77="",0,$P77)</f>
        <v>0</v>
      </c>
    </row>
    <row r="78" customFormat="false" ht="18" hidden="false" customHeight="true" outlineLevel="0" collapsed="false">
      <c r="A78" s="39"/>
      <c r="B78" s="41"/>
      <c r="C78" s="40"/>
      <c r="D78" s="40"/>
      <c r="E78" s="40"/>
      <c r="F78" s="42"/>
      <c r="G78" s="39"/>
      <c r="H78" s="40"/>
      <c r="I78" s="40"/>
      <c r="J78" s="40"/>
      <c r="K78" s="41"/>
      <c r="L78" s="39"/>
      <c r="M78" s="48" t="str">
        <f aca="false">IF($E78="","",IFERROR(INDEX(Parâmetros!$C$15:$C$20,MATCH($P78,Parâmetros!$B$15:$B$20,0)),""))</f>
        <v/>
      </c>
      <c r="N78" s="46" t="str">
        <f aca="false">IF($E78="","",IF($P78="","",IF($P78&gt;=8,"Alta",IF($P78&gt;=5,"Média","Baixa"))))</f>
        <v/>
      </c>
      <c r="O78" s="46" t="str">
        <f aca="false">IF($E78="","",IF(AND(Parâmetros!$C$5&gt;0,$P78&lt;&gt;"",$P78&gt;=Parâmetros!$C$5),"Sim","Não"))</f>
        <v/>
      </c>
      <c r="P78" s="45" t="str">
        <f aca="false">IF($E78="","",IF($G78="","",IF($G78="NOK",$F78,0)))</f>
        <v/>
      </c>
      <c r="Q78" s="46" t="str">
        <f aca="false">IF($E78="","",IF($O78&lt;&gt;"Sim","",COUNTIF($O$3:$O78,"Sim")))</f>
        <v/>
      </c>
      <c r="R78" s="47" t="n">
        <f aca="false">IF($P78="",0,$P78)</f>
        <v>0</v>
      </c>
    </row>
    <row r="79" customFormat="false" ht="18" hidden="false" customHeight="true" outlineLevel="0" collapsed="false">
      <c r="A79" s="39"/>
      <c r="B79" s="41"/>
      <c r="C79" s="40"/>
      <c r="D79" s="40"/>
      <c r="E79" s="40"/>
      <c r="F79" s="42"/>
      <c r="G79" s="39"/>
      <c r="H79" s="40"/>
      <c r="I79" s="40"/>
      <c r="J79" s="40"/>
      <c r="K79" s="41"/>
      <c r="L79" s="39"/>
      <c r="M79" s="48" t="str">
        <f aca="false">IF($E79="","",IFERROR(INDEX(Parâmetros!$C$15:$C$20,MATCH($P79,Parâmetros!$B$15:$B$20,0)),""))</f>
        <v/>
      </c>
      <c r="N79" s="46" t="str">
        <f aca="false">IF($E79="","",IF($P79="","",IF($P79&gt;=8,"Alta",IF($P79&gt;=5,"Média","Baixa"))))</f>
        <v/>
      </c>
      <c r="O79" s="46" t="str">
        <f aca="false">IF($E79="","",IF(AND(Parâmetros!$C$5&gt;0,$P79&lt;&gt;"",$P79&gt;=Parâmetros!$C$5),"Sim","Não"))</f>
        <v/>
      </c>
      <c r="P79" s="45" t="str">
        <f aca="false">IF($E79="","",IF($G79="","",IF($G79="NOK",$F79,0)))</f>
        <v/>
      </c>
      <c r="Q79" s="46" t="str">
        <f aca="false">IF($E79="","",IF($O79&lt;&gt;"Sim","",COUNTIF($O$3:$O79,"Sim")))</f>
        <v/>
      </c>
      <c r="R79" s="47" t="n">
        <f aca="false">IF($P79="",0,$P79)</f>
        <v>0</v>
      </c>
    </row>
    <row r="80" customFormat="false" ht="18" hidden="false" customHeight="true" outlineLevel="0" collapsed="false">
      <c r="A80" s="39"/>
      <c r="B80" s="41"/>
      <c r="C80" s="40"/>
      <c r="D80" s="40"/>
      <c r="E80" s="40"/>
      <c r="F80" s="42"/>
      <c r="G80" s="39"/>
      <c r="H80" s="40"/>
      <c r="I80" s="40"/>
      <c r="J80" s="40"/>
      <c r="K80" s="41"/>
      <c r="L80" s="39"/>
      <c r="M80" s="48" t="str">
        <f aca="false">IF($E80="","",IFERROR(INDEX(Parâmetros!$C$15:$C$20,MATCH($P80,Parâmetros!$B$15:$B$20,0)),""))</f>
        <v/>
      </c>
      <c r="N80" s="46" t="str">
        <f aca="false">IF($E80="","",IF($P80="","",IF($P80&gt;=8,"Alta",IF($P80&gt;=5,"Média","Baixa"))))</f>
        <v/>
      </c>
      <c r="O80" s="46" t="str">
        <f aca="false">IF($E80="","",IF(AND(Parâmetros!$C$5&gt;0,$P80&lt;&gt;"",$P80&gt;=Parâmetros!$C$5),"Sim","Não"))</f>
        <v/>
      </c>
      <c r="P80" s="45" t="str">
        <f aca="false">IF($E80="","",IF($G80="","",IF($G80="NOK",$F80,0)))</f>
        <v/>
      </c>
      <c r="Q80" s="46" t="str">
        <f aca="false">IF($E80="","",IF($O80&lt;&gt;"Sim","",COUNTIF($O$3:$O80,"Sim")))</f>
        <v/>
      </c>
      <c r="R80" s="47" t="n">
        <f aca="false">IF($P80="",0,$P80)</f>
        <v>0</v>
      </c>
    </row>
    <row r="81" customFormat="false" ht="18" hidden="false" customHeight="true" outlineLevel="0" collapsed="false">
      <c r="A81" s="39"/>
      <c r="B81" s="41"/>
      <c r="C81" s="40"/>
      <c r="D81" s="40"/>
      <c r="E81" s="40"/>
      <c r="F81" s="42"/>
      <c r="G81" s="39"/>
      <c r="H81" s="40"/>
      <c r="I81" s="40"/>
      <c r="J81" s="40"/>
      <c r="K81" s="41"/>
      <c r="L81" s="39"/>
      <c r="M81" s="48" t="str">
        <f aca="false">IF($E81="","",IFERROR(INDEX(Parâmetros!$C$15:$C$20,MATCH($P81,Parâmetros!$B$15:$B$20,0)),""))</f>
        <v/>
      </c>
      <c r="N81" s="46" t="str">
        <f aca="false">IF($E81="","",IF($P81="","",IF($P81&gt;=8,"Alta",IF($P81&gt;=5,"Média","Baixa"))))</f>
        <v/>
      </c>
      <c r="O81" s="46" t="str">
        <f aca="false">IF($E81="","",IF(AND(Parâmetros!$C$5&gt;0,$P81&lt;&gt;"",$P81&gt;=Parâmetros!$C$5),"Sim","Não"))</f>
        <v/>
      </c>
      <c r="P81" s="45" t="str">
        <f aca="false">IF($E81="","",IF($G81="","",IF($G81="NOK",$F81,0)))</f>
        <v/>
      </c>
      <c r="Q81" s="46" t="str">
        <f aca="false">IF($E81="","",IF($O81&lt;&gt;"Sim","",COUNTIF($O$3:$O81,"Sim")))</f>
        <v/>
      </c>
      <c r="R81" s="47" t="n">
        <f aca="false">IF($P81="",0,$P81)</f>
        <v>0</v>
      </c>
    </row>
    <row r="82" customFormat="false" ht="18" hidden="false" customHeight="true" outlineLevel="0" collapsed="false">
      <c r="A82" s="39"/>
      <c r="B82" s="41"/>
      <c r="C82" s="40"/>
      <c r="D82" s="40"/>
      <c r="E82" s="40"/>
      <c r="F82" s="42"/>
      <c r="G82" s="39"/>
      <c r="H82" s="40"/>
      <c r="I82" s="40"/>
      <c r="J82" s="40"/>
      <c r="K82" s="41"/>
      <c r="L82" s="39"/>
      <c r="M82" s="48" t="str">
        <f aca="false">IF($E82="","",IFERROR(INDEX(Parâmetros!$C$15:$C$20,MATCH($P82,Parâmetros!$B$15:$B$20,0)),""))</f>
        <v/>
      </c>
      <c r="N82" s="46" t="str">
        <f aca="false">IF($E82="","",IF($P82="","",IF($P82&gt;=8,"Alta",IF($P82&gt;=5,"Média","Baixa"))))</f>
        <v/>
      </c>
      <c r="O82" s="46" t="str">
        <f aca="false">IF($E82="","",IF(AND(Parâmetros!$C$5&gt;0,$P82&lt;&gt;"",$P82&gt;=Parâmetros!$C$5),"Sim","Não"))</f>
        <v/>
      </c>
      <c r="P82" s="45" t="str">
        <f aca="false">IF($E82="","",IF($G82="","",IF($G82="NOK",$F82,0)))</f>
        <v/>
      </c>
      <c r="Q82" s="46" t="str">
        <f aca="false">IF($E82="","",IF($O82&lt;&gt;"Sim","",COUNTIF($O$3:$O82,"Sim")))</f>
        <v/>
      </c>
      <c r="R82" s="47" t="n">
        <f aca="false">IF($P82="",0,$P82)</f>
        <v>0</v>
      </c>
    </row>
    <row r="83" customFormat="false" ht="18" hidden="false" customHeight="true" outlineLevel="0" collapsed="false">
      <c r="A83" s="39"/>
      <c r="B83" s="41"/>
      <c r="C83" s="40"/>
      <c r="D83" s="40"/>
      <c r="E83" s="40"/>
      <c r="F83" s="42"/>
      <c r="G83" s="39"/>
      <c r="H83" s="40"/>
      <c r="I83" s="40"/>
      <c r="J83" s="40"/>
      <c r="K83" s="41"/>
      <c r="L83" s="39"/>
      <c r="M83" s="48" t="str">
        <f aca="false">IF($E83="","",IFERROR(INDEX(Parâmetros!$C$15:$C$20,MATCH($P83,Parâmetros!$B$15:$B$20,0)),""))</f>
        <v/>
      </c>
      <c r="N83" s="46" t="str">
        <f aca="false">IF($E83="","",IF($P83="","",IF($P83&gt;=8,"Alta",IF($P83&gt;=5,"Média","Baixa"))))</f>
        <v/>
      </c>
      <c r="O83" s="46" t="str">
        <f aca="false">IF($E83="","",IF(AND(Parâmetros!$C$5&gt;0,$P83&lt;&gt;"",$P83&gt;=Parâmetros!$C$5),"Sim","Não"))</f>
        <v/>
      </c>
      <c r="P83" s="45" t="str">
        <f aca="false">IF($E83="","",IF($G83="","",IF($G83="NOK",$F83,0)))</f>
        <v/>
      </c>
      <c r="Q83" s="46" t="str">
        <f aca="false">IF($E83="","",IF($O83&lt;&gt;"Sim","",COUNTIF($O$3:$O83,"Sim")))</f>
        <v/>
      </c>
      <c r="R83" s="47" t="n">
        <f aca="false">IF($P83="",0,$P83)</f>
        <v>0</v>
      </c>
    </row>
    <row r="84" customFormat="false" ht="18" hidden="false" customHeight="true" outlineLevel="0" collapsed="false">
      <c r="A84" s="39"/>
      <c r="B84" s="41"/>
      <c r="C84" s="40"/>
      <c r="D84" s="40"/>
      <c r="E84" s="40"/>
      <c r="F84" s="42"/>
      <c r="G84" s="39"/>
      <c r="H84" s="40"/>
      <c r="I84" s="40"/>
      <c r="J84" s="40"/>
      <c r="K84" s="41"/>
      <c r="L84" s="39"/>
      <c r="M84" s="48" t="str">
        <f aca="false">IF($E84="","",IFERROR(INDEX(Parâmetros!$C$15:$C$20,MATCH($P84,Parâmetros!$B$15:$B$20,0)),""))</f>
        <v/>
      </c>
      <c r="N84" s="46" t="str">
        <f aca="false">IF($E84="","",IF($P84="","",IF($P84&gt;=8,"Alta",IF($P84&gt;=5,"Média","Baixa"))))</f>
        <v/>
      </c>
      <c r="O84" s="46" t="str">
        <f aca="false">IF($E84="","",IF(AND(Parâmetros!$C$5&gt;0,$P84&lt;&gt;"",$P84&gt;=Parâmetros!$C$5),"Sim","Não"))</f>
        <v/>
      </c>
      <c r="P84" s="45" t="str">
        <f aca="false">IF($E84="","",IF($G84="","",IF($G84="NOK",$F84,0)))</f>
        <v/>
      </c>
      <c r="Q84" s="46" t="str">
        <f aca="false">IF($E84="","",IF($O84&lt;&gt;"Sim","",COUNTIF($O$3:$O84,"Sim")))</f>
        <v/>
      </c>
      <c r="R84" s="47" t="n">
        <f aca="false">IF($P84="",0,$P84)</f>
        <v>0</v>
      </c>
    </row>
    <row r="85" customFormat="false" ht="18" hidden="false" customHeight="true" outlineLevel="0" collapsed="false">
      <c r="A85" s="39"/>
      <c r="B85" s="41"/>
      <c r="C85" s="40"/>
      <c r="D85" s="40"/>
      <c r="E85" s="40"/>
      <c r="F85" s="42"/>
      <c r="G85" s="39"/>
      <c r="H85" s="40"/>
      <c r="I85" s="40"/>
      <c r="J85" s="40"/>
      <c r="K85" s="41"/>
      <c r="L85" s="39"/>
      <c r="M85" s="48" t="str">
        <f aca="false">IF($E85="","",IFERROR(INDEX(Parâmetros!$C$15:$C$20,MATCH($P85,Parâmetros!$B$15:$B$20,0)),""))</f>
        <v/>
      </c>
      <c r="N85" s="46" t="str">
        <f aca="false">IF($E85="","",IF($P85="","",IF($P85&gt;=8,"Alta",IF($P85&gt;=5,"Média","Baixa"))))</f>
        <v/>
      </c>
      <c r="O85" s="46" t="str">
        <f aca="false">IF($E85="","",IF(AND(Parâmetros!$C$5&gt;0,$P85&lt;&gt;"",$P85&gt;=Parâmetros!$C$5),"Sim","Não"))</f>
        <v/>
      </c>
      <c r="P85" s="45" t="str">
        <f aca="false">IF($E85="","",IF($G85="","",IF($G85="NOK",$F85,0)))</f>
        <v/>
      </c>
      <c r="Q85" s="46" t="str">
        <f aca="false">IF($E85="","",IF($O85&lt;&gt;"Sim","",COUNTIF($O$3:$O85,"Sim")))</f>
        <v/>
      </c>
      <c r="R85" s="47" t="n">
        <f aca="false">IF($P85="",0,$P85)</f>
        <v>0</v>
      </c>
    </row>
    <row r="86" customFormat="false" ht="18" hidden="false" customHeight="true" outlineLevel="0" collapsed="false">
      <c r="A86" s="39"/>
      <c r="B86" s="41"/>
      <c r="C86" s="40"/>
      <c r="D86" s="40"/>
      <c r="E86" s="40"/>
      <c r="F86" s="42"/>
      <c r="G86" s="39"/>
      <c r="H86" s="40"/>
      <c r="I86" s="40"/>
      <c r="J86" s="40"/>
      <c r="K86" s="41"/>
      <c r="L86" s="39"/>
      <c r="M86" s="48" t="str">
        <f aca="false">IF($E86="","",IFERROR(INDEX(Parâmetros!$C$15:$C$20,MATCH($P86,Parâmetros!$B$15:$B$20,0)),""))</f>
        <v/>
      </c>
      <c r="N86" s="46" t="str">
        <f aca="false">IF($E86="","",IF($P86="","",IF($P86&gt;=8,"Alta",IF($P86&gt;=5,"Média","Baixa"))))</f>
        <v/>
      </c>
      <c r="O86" s="46" t="str">
        <f aca="false">IF($E86="","",IF(AND(Parâmetros!$C$5&gt;0,$P86&lt;&gt;"",$P86&gt;=Parâmetros!$C$5),"Sim","Não"))</f>
        <v/>
      </c>
      <c r="P86" s="45" t="str">
        <f aca="false">IF($E86="","",IF($G86="","",IF($G86="NOK",$F86,0)))</f>
        <v/>
      </c>
      <c r="Q86" s="46" t="str">
        <f aca="false">IF($E86="","",IF($O86&lt;&gt;"Sim","",COUNTIF($O$3:$O86,"Sim")))</f>
        <v/>
      </c>
      <c r="R86" s="47" t="n">
        <f aca="false">IF($P86="",0,$P86)</f>
        <v>0</v>
      </c>
    </row>
    <row r="87" customFormat="false" ht="18" hidden="false" customHeight="true" outlineLevel="0" collapsed="false">
      <c r="A87" s="39"/>
      <c r="B87" s="41"/>
      <c r="C87" s="40"/>
      <c r="D87" s="40"/>
      <c r="E87" s="40"/>
      <c r="F87" s="42"/>
      <c r="G87" s="39"/>
      <c r="H87" s="40"/>
      <c r="I87" s="40"/>
      <c r="J87" s="40"/>
      <c r="K87" s="41"/>
      <c r="L87" s="39"/>
      <c r="M87" s="48" t="str">
        <f aca="false">IF($E87="","",IFERROR(INDEX(Parâmetros!$C$15:$C$20,MATCH($P87,Parâmetros!$B$15:$B$20,0)),""))</f>
        <v/>
      </c>
      <c r="N87" s="46" t="str">
        <f aca="false">IF($E87="","",IF($P87="","",IF($P87&gt;=8,"Alta",IF($P87&gt;=5,"Média","Baixa"))))</f>
        <v/>
      </c>
      <c r="O87" s="46" t="str">
        <f aca="false">IF($E87="","",IF(AND(Parâmetros!$C$5&gt;0,$P87&lt;&gt;"",$P87&gt;=Parâmetros!$C$5),"Sim","Não"))</f>
        <v/>
      </c>
      <c r="P87" s="45" t="str">
        <f aca="false">IF($E87="","",IF($G87="","",IF($G87="NOK",$F87,0)))</f>
        <v/>
      </c>
      <c r="Q87" s="46" t="str">
        <f aca="false">IF($E87="","",IF($O87&lt;&gt;"Sim","",COUNTIF($O$3:$O87,"Sim")))</f>
        <v/>
      </c>
      <c r="R87" s="47" t="n">
        <f aca="false">IF($P87="",0,$P87)</f>
        <v>0</v>
      </c>
    </row>
    <row r="88" customFormat="false" ht="18" hidden="false" customHeight="true" outlineLevel="0" collapsed="false">
      <c r="A88" s="39"/>
      <c r="B88" s="41"/>
      <c r="C88" s="40"/>
      <c r="D88" s="40"/>
      <c r="E88" s="40"/>
      <c r="F88" s="42"/>
      <c r="G88" s="39"/>
      <c r="H88" s="40"/>
      <c r="I88" s="40"/>
      <c r="J88" s="40"/>
      <c r="K88" s="41"/>
      <c r="L88" s="39"/>
      <c r="M88" s="48" t="str">
        <f aca="false">IF($E88="","",IFERROR(INDEX(Parâmetros!$C$15:$C$20,MATCH($P88,Parâmetros!$B$15:$B$20,0)),""))</f>
        <v/>
      </c>
      <c r="N88" s="46" t="str">
        <f aca="false">IF($E88="","",IF($P88="","",IF($P88&gt;=8,"Alta",IF($P88&gt;=5,"Média","Baixa"))))</f>
        <v/>
      </c>
      <c r="O88" s="46" t="str">
        <f aca="false">IF($E88="","",IF(AND(Parâmetros!$C$5&gt;0,$P88&lt;&gt;"",$P88&gt;=Parâmetros!$C$5),"Sim","Não"))</f>
        <v/>
      </c>
      <c r="P88" s="45" t="str">
        <f aca="false">IF($E88="","",IF($G88="","",IF($G88="NOK",$F88,0)))</f>
        <v/>
      </c>
      <c r="Q88" s="46" t="str">
        <f aca="false">IF($E88="","",IF($O88&lt;&gt;"Sim","",COUNTIF($O$3:$O88,"Sim")))</f>
        <v/>
      </c>
      <c r="R88" s="47" t="n">
        <f aca="false">IF($P88="",0,$P88)</f>
        <v>0</v>
      </c>
    </row>
    <row r="89" customFormat="false" ht="18" hidden="false" customHeight="true" outlineLevel="0" collapsed="false">
      <c r="A89" s="39"/>
      <c r="B89" s="41"/>
      <c r="C89" s="40"/>
      <c r="D89" s="40"/>
      <c r="E89" s="40"/>
      <c r="F89" s="42"/>
      <c r="G89" s="39"/>
      <c r="H89" s="40"/>
      <c r="I89" s="40"/>
      <c r="J89" s="40"/>
      <c r="K89" s="41"/>
      <c r="L89" s="39"/>
      <c r="M89" s="48" t="str">
        <f aca="false">IF($E89="","",IFERROR(INDEX(Parâmetros!$C$15:$C$20,MATCH($P89,Parâmetros!$B$15:$B$20,0)),""))</f>
        <v/>
      </c>
      <c r="N89" s="46" t="str">
        <f aca="false">IF($E89="","",IF($P89="","",IF($P89&gt;=8,"Alta",IF($P89&gt;=5,"Média","Baixa"))))</f>
        <v/>
      </c>
      <c r="O89" s="46" t="str">
        <f aca="false">IF($E89="","",IF(AND(Parâmetros!$C$5&gt;0,$P89&lt;&gt;"",$P89&gt;=Parâmetros!$C$5),"Sim","Não"))</f>
        <v/>
      </c>
      <c r="P89" s="45" t="str">
        <f aca="false">IF($E89="","",IF($G89="","",IF($G89="NOK",$F89,0)))</f>
        <v/>
      </c>
      <c r="Q89" s="46" t="str">
        <f aca="false">IF($E89="","",IF($O89&lt;&gt;"Sim","",COUNTIF($O$3:$O89,"Sim")))</f>
        <v/>
      </c>
      <c r="R89" s="47" t="n">
        <f aca="false">IF($P89="",0,$P89)</f>
        <v>0</v>
      </c>
    </row>
    <row r="90" customFormat="false" ht="18" hidden="false" customHeight="true" outlineLevel="0" collapsed="false">
      <c r="A90" s="39"/>
      <c r="B90" s="41"/>
      <c r="C90" s="40"/>
      <c r="D90" s="40"/>
      <c r="E90" s="40"/>
      <c r="F90" s="42"/>
      <c r="G90" s="39"/>
      <c r="H90" s="40"/>
      <c r="I90" s="40"/>
      <c r="J90" s="40"/>
      <c r="K90" s="41"/>
      <c r="L90" s="39"/>
      <c r="M90" s="48" t="str">
        <f aca="false">IF($E90="","",IFERROR(INDEX(Parâmetros!$C$15:$C$20,MATCH($P90,Parâmetros!$B$15:$B$20,0)),""))</f>
        <v/>
      </c>
      <c r="N90" s="46" t="str">
        <f aca="false">IF($E90="","",IF($P90="","",IF($P90&gt;=8,"Alta",IF($P90&gt;=5,"Média","Baixa"))))</f>
        <v/>
      </c>
      <c r="O90" s="46" t="str">
        <f aca="false">IF($E90="","",IF(AND(Parâmetros!$C$5&gt;0,$P90&lt;&gt;"",$P90&gt;=Parâmetros!$C$5),"Sim","Não"))</f>
        <v/>
      </c>
      <c r="P90" s="45" t="str">
        <f aca="false">IF($E90="","",IF($G90="","",IF($G90="NOK",$F90,0)))</f>
        <v/>
      </c>
      <c r="Q90" s="46" t="str">
        <f aca="false">IF($E90="","",IF($O90&lt;&gt;"Sim","",COUNTIF($O$3:$O90,"Sim")))</f>
        <v/>
      </c>
      <c r="R90" s="47" t="n">
        <f aca="false">IF($P90="",0,$P90)</f>
        <v>0</v>
      </c>
    </row>
    <row r="91" customFormat="false" ht="18" hidden="false" customHeight="true" outlineLevel="0" collapsed="false">
      <c r="A91" s="39"/>
      <c r="B91" s="41"/>
      <c r="C91" s="40"/>
      <c r="D91" s="40"/>
      <c r="E91" s="40"/>
      <c r="F91" s="42"/>
      <c r="G91" s="39"/>
      <c r="H91" s="40"/>
      <c r="I91" s="40"/>
      <c r="J91" s="40"/>
      <c r="K91" s="41"/>
      <c r="L91" s="39"/>
      <c r="M91" s="48" t="str">
        <f aca="false">IF($E91="","",IFERROR(INDEX(Parâmetros!$C$15:$C$20,MATCH($P91,Parâmetros!$B$15:$B$20,0)),""))</f>
        <v/>
      </c>
      <c r="N91" s="46" t="str">
        <f aca="false">IF($E91="","",IF($P91="","",IF($P91&gt;=8,"Alta",IF($P91&gt;=5,"Média","Baixa"))))</f>
        <v/>
      </c>
      <c r="O91" s="46" t="str">
        <f aca="false">IF($E91="","",IF(AND(Parâmetros!$C$5&gt;0,$P91&lt;&gt;"",$P91&gt;=Parâmetros!$C$5),"Sim","Não"))</f>
        <v/>
      </c>
      <c r="P91" s="45" t="str">
        <f aca="false">IF($E91="","",IF($G91="","",IF($G91="NOK",$F91,0)))</f>
        <v/>
      </c>
      <c r="Q91" s="46" t="str">
        <f aca="false">IF($E91="","",IF($O91&lt;&gt;"Sim","",COUNTIF($O$3:$O91,"Sim")))</f>
        <v/>
      </c>
      <c r="R91" s="47" t="n">
        <f aca="false">IF($P91="",0,$P91)</f>
        <v>0</v>
      </c>
    </row>
    <row r="92" customFormat="false" ht="18" hidden="false" customHeight="true" outlineLevel="0" collapsed="false">
      <c r="A92" s="39"/>
      <c r="B92" s="41"/>
      <c r="C92" s="40"/>
      <c r="D92" s="40"/>
      <c r="E92" s="40"/>
      <c r="F92" s="42"/>
      <c r="G92" s="39"/>
      <c r="H92" s="40"/>
      <c r="I92" s="40"/>
      <c r="J92" s="40"/>
      <c r="K92" s="41"/>
      <c r="L92" s="39"/>
      <c r="M92" s="48" t="str">
        <f aca="false">IF($E92="","",IFERROR(INDEX(Parâmetros!$C$15:$C$20,MATCH($P92,Parâmetros!$B$15:$B$20,0)),""))</f>
        <v/>
      </c>
      <c r="N92" s="46" t="str">
        <f aca="false">IF($E92="","",IF($P92="","",IF($P92&gt;=8,"Alta",IF($P92&gt;=5,"Média","Baixa"))))</f>
        <v/>
      </c>
      <c r="O92" s="46" t="str">
        <f aca="false">IF($E92="","",IF(AND(Parâmetros!$C$5&gt;0,$P92&lt;&gt;"",$P92&gt;=Parâmetros!$C$5),"Sim","Não"))</f>
        <v/>
      </c>
      <c r="P92" s="45" t="str">
        <f aca="false">IF($E92="","",IF($G92="","",IF($G92="NOK",$F92,0)))</f>
        <v/>
      </c>
      <c r="Q92" s="46" t="str">
        <f aca="false">IF($E92="","",IF($O92&lt;&gt;"Sim","",COUNTIF($O$3:$O92,"Sim")))</f>
        <v/>
      </c>
      <c r="R92" s="47" t="n">
        <f aca="false">IF($P92="",0,$P92)</f>
        <v>0</v>
      </c>
    </row>
    <row r="93" customFormat="false" ht="18" hidden="false" customHeight="true" outlineLevel="0" collapsed="false">
      <c r="A93" s="39"/>
      <c r="B93" s="41"/>
      <c r="C93" s="40"/>
      <c r="D93" s="40"/>
      <c r="E93" s="40"/>
      <c r="F93" s="42"/>
      <c r="G93" s="39"/>
      <c r="H93" s="40"/>
      <c r="I93" s="40"/>
      <c r="J93" s="40"/>
      <c r="K93" s="41"/>
      <c r="L93" s="39"/>
      <c r="M93" s="48" t="str">
        <f aca="false">IF($E93="","",IFERROR(INDEX(Parâmetros!$C$15:$C$20,MATCH($P93,Parâmetros!$B$15:$B$20,0)),""))</f>
        <v/>
      </c>
      <c r="N93" s="46" t="str">
        <f aca="false">IF($E93="","",IF($P93="","",IF($P93&gt;=8,"Alta",IF($P93&gt;=5,"Média","Baixa"))))</f>
        <v/>
      </c>
      <c r="O93" s="46" t="str">
        <f aca="false">IF($E93="","",IF(AND(Parâmetros!$C$5&gt;0,$P93&lt;&gt;"",$P93&gt;=Parâmetros!$C$5),"Sim","Não"))</f>
        <v/>
      </c>
      <c r="P93" s="45" t="str">
        <f aca="false">IF($E93="","",IF($G93="","",IF($G93="NOK",$F93,0)))</f>
        <v/>
      </c>
      <c r="Q93" s="46" t="str">
        <f aca="false">IF($E93="","",IF($O93&lt;&gt;"Sim","",COUNTIF($O$3:$O93,"Sim")))</f>
        <v/>
      </c>
      <c r="R93" s="47" t="n">
        <f aca="false">IF($P93="",0,$P93)</f>
        <v>0</v>
      </c>
    </row>
    <row r="94" customFormat="false" ht="18" hidden="false" customHeight="true" outlineLevel="0" collapsed="false">
      <c r="A94" s="39"/>
      <c r="B94" s="41"/>
      <c r="C94" s="40"/>
      <c r="D94" s="40"/>
      <c r="E94" s="40"/>
      <c r="F94" s="42"/>
      <c r="G94" s="39"/>
      <c r="H94" s="40"/>
      <c r="I94" s="40"/>
      <c r="J94" s="40"/>
      <c r="K94" s="41"/>
      <c r="L94" s="39"/>
      <c r="M94" s="48" t="str">
        <f aca="false">IF($E94="","",IFERROR(INDEX(Parâmetros!$C$15:$C$20,MATCH($P94,Parâmetros!$B$15:$B$20,0)),""))</f>
        <v/>
      </c>
      <c r="N94" s="46" t="str">
        <f aca="false">IF($E94="","",IF($P94="","",IF($P94&gt;=8,"Alta",IF($P94&gt;=5,"Média","Baixa"))))</f>
        <v/>
      </c>
      <c r="O94" s="46" t="str">
        <f aca="false">IF($E94="","",IF(AND(Parâmetros!$C$5&gt;0,$P94&lt;&gt;"",$P94&gt;=Parâmetros!$C$5),"Sim","Não"))</f>
        <v/>
      </c>
      <c r="P94" s="45" t="str">
        <f aca="false">IF($E94="","",IF($G94="","",IF($G94="NOK",$F94,0)))</f>
        <v/>
      </c>
      <c r="Q94" s="46" t="str">
        <f aca="false">IF($E94="","",IF($O94&lt;&gt;"Sim","",COUNTIF($O$3:$O94,"Sim")))</f>
        <v/>
      </c>
      <c r="R94" s="47" t="n">
        <f aca="false">IF($P94="",0,$P94)</f>
        <v>0</v>
      </c>
    </row>
    <row r="95" customFormat="false" ht="18" hidden="false" customHeight="true" outlineLevel="0" collapsed="false">
      <c r="A95" s="39"/>
      <c r="B95" s="41"/>
      <c r="C95" s="40"/>
      <c r="D95" s="40"/>
      <c r="E95" s="40"/>
      <c r="F95" s="42"/>
      <c r="G95" s="39"/>
      <c r="H95" s="40"/>
      <c r="I95" s="40"/>
      <c r="J95" s="40"/>
      <c r="K95" s="41"/>
      <c r="L95" s="39"/>
      <c r="M95" s="48" t="str">
        <f aca="false">IF($E95="","",IFERROR(INDEX(Parâmetros!$C$15:$C$20,MATCH($P95,Parâmetros!$B$15:$B$20,0)),""))</f>
        <v/>
      </c>
      <c r="N95" s="46" t="str">
        <f aca="false">IF($E95="","",IF($P95="","",IF($P95&gt;=8,"Alta",IF($P95&gt;=5,"Média","Baixa"))))</f>
        <v/>
      </c>
      <c r="O95" s="46" t="str">
        <f aca="false">IF($E95="","",IF(AND(Parâmetros!$C$5&gt;0,$P95&lt;&gt;"",$P95&gt;=Parâmetros!$C$5),"Sim","Não"))</f>
        <v/>
      </c>
      <c r="P95" s="45" t="str">
        <f aca="false">IF($E95="","",IF($G95="","",IF($G95="NOK",$F95,0)))</f>
        <v/>
      </c>
      <c r="Q95" s="46" t="str">
        <f aca="false">IF($E95="","",IF($O95&lt;&gt;"Sim","",COUNTIF($O$3:$O95,"Sim")))</f>
        <v/>
      </c>
      <c r="R95" s="47" t="n">
        <f aca="false">IF($P95="",0,$P95)</f>
        <v>0</v>
      </c>
    </row>
    <row r="96" customFormat="false" ht="18" hidden="false" customHeight="true" outlineLevel="0" collapsed="false">
      <c r="A96" s="39"/>
      <c r="B96" s="41"/>
      <c r="C96" s="40"/>
      <c r="D96" s="40"/>
      <c r="E96" s="40"/>
      <c r="F96" s="42"/>
      <c r="G96" s="39"/>
      <c r="H96" s="40"/>
      <c r="I96" s="40"/>
      <c r="J96" s="40"/>
      <c r="K96" s="41"/>
      <c r="L96" s="39"/>
      <c r="M96" s="48" t="str">
        <f aca="false">IF($E96="","",IFERROR(INDEX(Parâmetros!$C$15:$C$20,MATCH($P96,Parâmetros!$B$15:$B$20,0)),""))</f>
        <v/>
      </c>
      <c r="N96" s="46" t="str">
        <f aca="false">IF($E96="","",IF($P96="","",IF($P96&gt;=8,"Alta",IF($P96&gt;=5,"Média","Baixa"))))</f>
        <v/>
      </c>
      <c r="O96" s="46" t="str">
        <f aca="false">IF($E96="","",IF(AND(Parâmetros!$C$5&gt;0,$P96&lt;&gt;"",$P96&gt;=Parâmetros!$C$5),"Sim","Não"))</f>
        <v/>
      </c>
      <c r="P96" s="45" t="str">
        <f aca="false">IF($E96="","",IF($G96="","",IF($G96="NOK",$F96,0)))</f>
        <v/>
      </c>
      <c r="Q96" s="46" t="str">
        <f aca="false">IF($E96="","",IF($O96&lt;&gt;"Sim","",COUNTIF($O$3:$O96,"Sim")))</f>
        <v/>
      </c>
      <c r="R96" s="47" t="n">
        <f aca="false">IF($P96="",0,$P96)</f>
        <v>0</v>
      </c>
    </row>
    <row r="97" customFormat="false" ht="18" hidden="false" customHeight="true" outlineLevel="0" collapsed="false">
      <c r="A97" s="39"/>
      <c r="B97" s="41"/>
      <c r="C97" s="40"/>
      <c r="D97" s="40"/>
      <c r="E97" s="40"/>
      <c r="F97" s="42"/>
      <c r="G97" s="39"/>
      <c r="H97" s="40"/>
      <c r="I97" s="40"/>
      <c r="J97" s="40"/>
      <c r="K97" s="41"/>
      <c r="L97" s="39"/>
      <c r="M97" s="48" t="str">
        <f aca="false">IF($E97="","",IFERROR(INDEX(Parâmetros!$C$15:$C$20,MATCH($P97,Parâmetros!$B$15:$B$20,0)),""))</f>
        <v/>
      </c>
      <c r="N97" s="46" t="str">
        <f aca="false">IF($E97="","",IF($P97="","",IF($P97&gt;=8,"Alta",IF($P97&gt;=5,"Média","Baixa"))))</f>
        <v/>
      </c>
      <c r="O97" s="46" t="str">
        <f aca="false">IF($E97="","",IF(AND(Parâmetros!$C$5&gt;0,$P97&lt;&gt;"",$P97&gt;=Parâmetros!$C$5),"Sim","Não"))</f>
        <v/>
      </c>
      <c r="P97" s="45" t="str">
        <f aca="false">IF($E97="","",IF($G97="","",IF($G97="NOK",$F97,0)))</f>
        <v/>
      </c>
      <c r="Q97" s="46" t="str">
        <f aca="false">IF($E97="","",IF($O97&lt;&gt;"Sim","",COUNTIF($O$3:$O97,"Sim")))</f>
        <v/>
      </c>
      <c r="R97" s="47" t="n">
        <f aca="false">IF($P97="",0,$P97)</f>
        <v>0</v>
      </c>
    </row>
    <row r="98" customFormat="false" ht="18" hidden="false" customHeight="true" outlineLevel="0" collapsed="false">
      <c r="A98" s="39"/>
      <c r="B98" s="41"/>
      <c r="C98" s="40"/>
      <c r="D98" s="40"/>
      <c r="E98" s="40"/>
      <c r="F98" s="42"/>
      <c r="G98" s="39"/>
      <c r="H98" s="40"/>
      <c r="I98" s="40"/>
      <c r="J98" s="40"/>
      <c r="K98" s="41"/>
      <c r="L98" s="39"/>
      <c r="M98" s="48" t="str">
        <f aca="false">IF($E98="","",IFERROR(INDEX(Parâmetros!$C$15:$C$20,MATCH($P98,Parâmetros!$B$15:$B$20,0)),""))</f>
        <v/>
      </c>
      <c r="N98" s="46" t="str">
        <f aca="false">IF($E98="","",IF($P98="","",IF($P98&gt;=8,"Alta",IF($P98&gt;=5,"Média","Baixa"))))</f>
        <v/>
      </c>
      <c r="O98" s="46" t="str">
        <f aca="false">IF($E98="","",IF(AND(Parâmetros!$C$5&gt;0,$P98&lt;&gt;"",$P98&gt;=Parâmetros!$C$5),"Sim","Não"))</f>
        <v/>
      </c>
      <c r="P98" s="45" t="str">
        <f aca="false">IF($E98="","",IF($G98="","",IF($G98="NOK",$F98,0)))</f>
        <v/>
      </c>
      <c r="Q98" s="46" t="str">
        <f aca="false">IF($E98="","",IF($O98&lt;&gt;"Sim","",COUNTIF($O$3:$O98,"Sim")))</f>
        <v/>
      </c>
      <c r="R98" s="47" t="n">
        <f aca="false">IF($P98="",0,$P98)</f>
        <v>0</v>
      </c>
    </row>
    <row r="99" customFormat="false" ht="18" hidden="false" customHeight="true" outlineLevel="0" collapsed="false">
      <c r="A99" s="39"/>
      <c r="B99" s="41"/>
      <c r="C99" s="40"/>
      <c r="D99" s="40"/>
      <c r="E99" s="40"/>
      <c r="F99" s="42"/>
      <c r="G99" s="39"/>
      <c r="H99" s="40"/>
      <c r="I99" s="40"/>
      <c r="J99" s="40"/>
      <c r="K99" s="41"/>
      <c r="L99" s="39"/>
      <c r="M99" s="48" t="str">
        <f aca="false">IF($E99="","",IFERROR(INDEX(Parâmetros!$C$15:$C$20,MATCH($P99,Parâmetros!$B$15:$B$20,0)),""))</f>
        <v/>
      </c>
      <c r="N99" s="46" t="str">
        <f aca="false">IF($E99="","",IF($P99="","",IF($P99&gt;=8,"Alta",IF($P99&gt;=5,"Média","Baixa"))))</f>
        <v/>
      </c>
      <c r="O99" s="46" t="str">
        <f aca="false">IF($E99="","",IF(AND(Parâmetros!$C$5&gt;0,$P99&lt;&gt;"",$P99&gt;=Parâmetros!$C$5),"Sim","Não"))</f>
        <v/>
      </c>
      <c r="P99" s="45" t="str">
        <f aca="false">IF($E99="","",IF($G99="","",IF($G99="NOK",$F99,0)))</f>
        <v/>
      </c>
      <c r="Q99" s="46" t="str">
        <f aca="false">IF($E99="","",IF($O99&lt;&gt;"Sim","",COUNTIF($O$3:$O99,"Sim")))</f>
        <v/>
      </c>
      <c r="R99" s="47" t="n">
        <f aca="false">IF($P99="",0,$P99)</f>
        <v>0</v>
      </c>
    </row>
    <row r="100" customFormat="false" ht="18" hidden="false" customHeight="true" outlineLevel="0" collapsed="false">
      <c r="A100" s="39"/>
      <c r="B100" s="41"/>
      <c r="C100" s="40"/>
      <c r="D100" s="40"/>
      <c r="E100" s="40"/>
      <c r="F100" s="42"/>
      <c r="G100" s="39"/>
      <c r="H100" s="40"/>
      <c r="I100" s="40"/>
      <c r="J100" s="40"/>
      <c r="K100" s="41"/>
      <c r="L100" s="39"/>
      <c r="M100" s="48" t="str">
        <f aca="false">IF($E100="","",IFERROR(INDEX(Parâmetros!$C$15:$C$20,MATCH($P100,Parâmetros!$B$15:$B$20,0)),""))</f>
        <v/>
      </c>
      <c r="N100" s="46" t="str">
        <f aca="false">IF($E100="","",IF($P100="","",IF($P100&gt;=8,"Alta",IF($P100&gt;=5,"Média","Baixa"))))</f>
        <v/>
      </c>
      <c r="O100" s="46" t="str">
        <f aca="false">IF($E100="","",IF(AND(Parâmetros!$C$5&gt;0,$P100&lt;&gt;"",$P100&gt;=Parâmetros!$C$5),"Sim","Não"))</f>
        <v/>
      </c>
      <c r="P100" s="45" t="str">
        <f aca="false">IF($E100="","",IF($G100="","",IF($G100="NOK",$F100,0)))</f>
        <v/>
      </c>
      <c r="Q100" s="46" t="str">
        <f aca="false">IF($E100="","",IF($O100&lt;&gt;"Sim","",COUNTIF($O$3:$O100,"Sim")))</f>
        <v/>
      </c>
      <c r="R100" s="47" t="n">
        <f aca="false">IF($P100="",0,$P100)</f>
        <v>0</v>
      </c>
    </row>
    <row r="101" customFormat="false" ht="18" hidden="false" customHeight="true" outlineLevel="0" collapsed="false">
      <c r="A101" s="39"/>
      <c r="B101" s="41"/>
      <c r="C101" s="40"/>
      <c r="D101" s="40"/>
      <c r="E101" s="40"/>
      <c r="F101" s="42"/>
      <c r="G101" s="39"/>
      <c r="H101" s="40"/>
      <c r="I101" s="40"/>
      <c r="J101" s="40"/>
      <c r="K101" s="41"/>
      <c r="L101" s="39"/>
      <c r="M101" s="48" t="str">
        <f aca="false">IF($E101="","",IFERROR(INDEX(Parâmetros!$C$15:$C$20,MATCH($P101,Parâmetros!$B$15:$B$20,0)),""))</f>
        <v/>
      </c>
      <c r="N101" s="46" t="str">
        <f aca="false">IF($E101="","",IF($P101="","",IF($P101&gt;=8,"Alta",IF($P101&gt;=5,"Média","Baixa"))))</f>
        <v/>
      </c>
      <c r="O101" s="46" t="str">
        <f aca="false">IF($E101="","",IF(AND(Parâmetros!$C$5&gt;0,$P101&lt;&gt;"",$P101&gt;=Parâmetros!$C$5),"Sim","Não"))</f>
        <v/>
      </c>
      <c r="P101" s="45" t="str">
        <f aca="false">IF($E101="","",IF($G101="","",IF($G101="NOK",$F101,0)))</f>
        <v/>
      </c>
      <c r="Q101" s="46" t="str">
        <f aca="false">IF($E101="","",IF($O101&lt;&gt;"Sim","",COUNTIF($O$3:$O101,"Sim")))</f>
        <v/>
      </c>
      <c r="R101" s="47" t="n">
        <f aca="false">IF($P101="",0,$P101)</f>
        <v>0</v>
      </c>
    </row>
    <row r="102" customFormat="false" ht="18" hidden="false" customHeight="true" outlineLevel="0" collapsed="false">
      <c r="A102" s="39"/>
      <c r="B102" s="41"/>
      <c r="C102" s="40"/>
      <c r="D102" s="40"/>
      <c r="E102" s="40"/>
      <c r="F102" s="42"/>
      <c r="G102" s="39"/>
      <c r="H102" s="40"/>
      <c r="I102" s="40"/>
      <c r="J102" s="40"/>
      <c r="K102" s="41"/>
      <c r="L102" s="39"/>
      <c r="M102" s="48" t="str">
        <f aca="false">IF($E102="","",IFERROR(INDEX(Parâmetros!$C$15:$C$20,MATCH($P102,Parâmetros!$B$15:$B$20,0)),""))</f>
        <v/>
      </c>
      <c r="N102" s="46" t="str">
        <f aca="false">IF($E102="","",IF($P102="","",IF($P102&gt;=8,"Alta",IF($P102&gt;=5,"Média","Baixa"))))</f>
        <v/>
      </c>
      <c r="O102" s="46" t="str">
        <f aca="false">IF($E102="","",IF(AND(Parâmetros!$C$5&gt;0,$P102&lt;&gt;"",$P102&gt;=Parâmetros!$C$5),"Sim","Não"))</f>
        <v/>
      </c>
      <c r="P102" s="45" t="str">
        <f aca="false">IF($E102="","",IF($G102="","",IF($G102="NOK",$F102,0)))</f>
        <v/>
      </c>
      <c r="Q102" s="46" t="str">
        <f aca="false">IF($E102="","",IF($O102&lt;&gt;"Sim","",COUNTIF($O$3:$O102,"Sim")))</f>
        <v/>
      </c>
      <c r="R102" s="47" t="n">
        <f aca="false">IF($P102="",0,$P102)</f>
        <v>0</v>
      </c>
    </row>
    <row r="103" customFormat="false" ht="18" hidden="false" customHeight="true" outlineLevel="0" collapsed="false">
      <c r="A103" s="39"/>
      <c r="B103" s="41"/>
      <c r="C103" s="40"/>
      <c r="D103" s="40"/>
      <c r="E103" s="40"/>
      <c r="F103" s="42"/>
      <c r="G103" s="39"/>
      <c r="H103" s="40"/>
      <c r="I103" s="40"/>
      <c r="J103" s="40"/>
      <c r="K103" s="41"/>
      <c r="L103" s="39"/>
      <c r="M103" s="48" t="str">
        <f aca="false">IF($E103="","",IFERROR(INDEX(Parâmetros!$C$15:$C$20,MATCH($P103,Parâmetros!$B$15:$B$20,0)),""))</f>
        <v/>
      </c>
      <c r="N103" s="46" t="str">
        <f aca="false">IF($E103="","",IF($P103="","",IF($P103&gt;=8,"Alta",IF($P103&gt;=5,"Média","Baixa"))))</f>
        <v/>
      </c>
      <c r="O103" s="46" t="str">
        <f aca="false">IF($E103="","",IF(AND(Parâmetros!$C$5&gt;0,$P103&lt;&gt;"",$P103&gt;=Parâmetros!$C$5),"Sim","Não"))</f>
        <v/>
      </c>
      <c r="P103" s="45" t="str">
        <f aca="false">IF($E103="","",IF($G103="","",IF($G103="NOK",$F103,0)))</f>
        <v/>
      </c>
      <c r="Q103" s="46" t="str">
        <f aca="false">IF($E103="","",IF($O103&lt;&gt;"Sim","",COUNTIF($O$3:$O103,"Sim")))</f>
        <v/>
      </c>
      <c r="R103" s="47" t="n">
        <f aca="false">IF($P103="",0,$P103)</f>
        <v>0</v>
      </c>
    </row>
    <row r="104" customFormat="false" ht="18" hidden="false" customHeight="true" outlineLevel="0" collapsed="false">
      <c r="A104" s="39"/>
      <c r="B104" s="41"/>
      <c r="C104" s="40"/>
      <c r="D104" s="40"/>
      <c r="E104" s="40"/>
      <c r="F104" s="42"/>
      <c r="G104" s="39"/>
      <c r="H104" s="40"/>
      <c r="I104" s="40"/>
      <c r="J104" s="40"/>
      <c r="K104" s="41"/>
      <c r="L104" s="39"/>
      <c r="M104" s="48" t="str">
        <f aca="false">IF($E104="","",IFERROR(INDEX(Parâmetros!$C$15:$C$20,MATCH($P104,Parâmetros!$B$15:$B$20,0)),""))</f>
        <v/>
      </c>
      <c r="N104" s="46" t="str">
        <f aca="false">IF($E104="","",IF($P104="","",IF($P104&gt;=8,"Alta",IF($P104&gt;=5,"Média","Baixa"))))</f>
        <v/>
      </c>
      <c r="O104" s="46" t="str">
        <f aca="false">IF($E104="","",IF(AND(Parâmetros!$C$5&gt;0,$P104&lt;&gt;"",$P104&gt;=Parâmetros!$C$5),"Sim","Não"))</f>
        <v/>
      </c>
      <c r="P104" s="45" t="str">
        <f aca="false">IF($E104="","",IF($G104="","",IF($G104="NOK",$F104,0)))</f>
        <v/>
      </c>
      <c r="Q104" s="46" t="str">
        <f aca="false">IF($E104="","",IF($O104&lt;&gt;"Sim","",COUNTIF($O$3:$O104,"Sim")))</f>
        <v/>
      </c>
      <c r="R104" s="47" t="n">
        <f aca="false">IF($P104="",0,$P104)</f>
        <v>0</v>
      </c>
    </row>
    <row r="105" customFormat="false" ht="18" hidden="false" customHeight="true" outlineLevel="0" collapsed="false">
      <c r="A105" s="39"/>
      <c r="B105" s="41"/>
      <c r="C105" s="40"/>
      <c r="D105" s="40"/>
      <c r="E105" s="40"/>
      <c r="F105" s="42"/>
      <c r="G105" s="39"/>
      <c r="H105" s="40"/>
      <c r="I105" s="40"/>
      <c r="J105" s="40"/>
      <c r="K105" s="41"/>
      <c r="L105" s="39"/>
      <c r="M105" s="48" t="str">
        <f aca="false">IF($E105="","",IFERROR(INDEX(Parâmetros!$C$15:$C$20,MATCH($P105,Parâmetros!$B$15:$B$20,0)),""))</f>
        <v/>
      </c>
      <c r="N105" s="46" t="str">
        <f aca="false">IF($E105="","",IF($P105="","",IF($P105&gt;=8,"Alta",IF($P105&gt;=5,"Média","Baixa"))))</f>
        <v/>
      </c>
      <c r="O105" s="46" t="str">
        <f aca="false">IF($E105="","",IF(AND(Parâmetros!$C$5&gt;0,$P105&lt;&gt;"",$P105&gt;=Parâmetros!$C$5),"Sim","Não"))</f>
        <v/>
      </c>
      <c r="P105" s="45" t="str">
        <f aca="false">IF($E105="","",IF($G105="","",IF($G105="NOK",$F105,0)))</f>
        <v/>
      </c>
      <c r="Q105" s="46" t="str">
        <f aca="false">IF($E105="","",IF($O105&lt;&gt;"Sim","",COUNTIF($O$3:$O105,"Sim")))</f>
        <v/>
      </c>
      <c r="R105" s="47" t="n">
        <f aca="false">IF($P105="",0,$P105)</f>
        <v>0</v>
      </c>
    </row>
    <row r="106" customFormat="false" ht="18" hidden="false" customHeight="true" outlineLevel="0" collapsed="false">
      <c r="A106" s="39"/>
      <c r="B106" s="41"/>
      <c r="C106" s="40"/>
      <c r="D106" s="40"/>
      <c r="E106" s="40"/>
      <c r="F106" s="42"/>
      <c r="G106" s="39"/>
      <c r="H106" s="40"/>
      <c r="I106" s="40"/>
      <c r="J106" s="40"/>
      <c r="K106" s="41"/>
      <c r="L106" s="39"/>
      <c r="M106" s="48" t="str">
        <f aca="false">IF($E106="","",IFERROR(INDEX(Parâmetros!$C$15:$C$20,MATCH($P106,Parâmetros!$B$15:$B$20,0)),""))</f>
        <v/>
      </c>
      <c r="N106" s="46" t="str">
        <f aca="false">IF($E106="","",IF($P106="","",IF($P106&gt;=8,"Alta",IF($P106&gt;=5,"Média","Baixa"))))</f>
        <v/>
      </c>
      <c r="O106" s="46" t="str">
        <f aca="false">IF($E106="","",IF(AND(Parâmetros!$C$5&gt;0,$P106&lt;&gt;"",$P106&gt;=Parâmetros!$C$5),"Sim","Não"))</f>
        <v/>
      </c>
      <c r="P106" s="45" t="str">
        <f aca="false">IF($E106="","",IF($G106="","",IF($G106="NOK",$F106,0)))</f>
        <v/>
      </c>
      <c r="Q106" s="46" t="str">
        <f aca="false">IF($E106="","",IF($O106&lt;&gt;"Sim","",COUNTIF($O$3:$O106,"Sim")))</f>
        <v/>
      </c>
      <c r="R106" s="47" t="n">
        <f aca="false">IF($P106="",0,$P106)</f>
        <v>0</v>
      </c>
    </row>
    <row r="107" customFormat="false" ht="18" hidden="false" customHeight="true" outlineLevel="0" collapsed="false">
      <c r="A107" s="39"/>
      <c r="B107" s="41"/>
      <c r="C107" s="40"/>
      <c r="D107" s="40"/>
      <c r="E107" s="40"/>
      <c r="F107" s="42"/>
      <c r="G107" s="39"/>
      <c r="H107" s="40"/>
      <c r="I107" s="40"/>
      <c r="J107" s="40"/>
      <c r="K107" s="41"/>
      <c r="L107" s="39"/>
      <c r="M107" s="48" t="str">
        <f aca="false">IF($E107="","",IFERROR(INDEX(Parâmetros!$C$15:$C$20,MATCH($P107,Parâmetros!$B$15:$B$20,0)),""))</f>
        <v/>
      </c>
      <c r="N107" s="46" t="str">
        <f aca="false">IF($E107="","",IF($P107="","",IF($P107&gt;=8,"Alta",IF($P107&gt;=5,"Média","Baixa"))))</f>
        <v/>
      </c>
      <c r="O107" s="46" t="str">
        <f aca="false">IF($E107="","",IF(AND(Parâmetros!$C$5&gt;0,$P107&lt;&gt;"",$P107&gt;=Parâmetros!$C$5),"Sim","Não"))</f>
        <v/>
      </c>
      <c r="P107" s="45" t="str">
        <f aca="false">IF($E107="","",IF($G107="","",IF($G107="NOK",$F107,0)))</f>
        <v/>
      </c>
      <c r="Q107" s="46" t="str">
        <f aca="false">IF($E107="","",IF($O107&lt;&gt;"Sim","",COUNTIF($O$3:$O107,"Sim")))</f>
        <v/>
      </c>
      <c r="R107" s="47" t="n">
        <f aca="false">IF($P107="",0,$P107)</f>
        <v>0</v>
      </c>
    </row>
    <row r="108" customFormat="false" ht="18" hidden="false" customHeight="true" outlineLevel="0" collapsed="false">
      <c r="A108" s="39"/>
      <c r="B108" s="41"/>
      <c r="C108" s="40"/>
      <c r="D108" s="40"/>
      <c r="E108" s="40"/>
      <c r="F108" s="42"/>
      <c r="G108" s="39"/>
      <c r="H108" s="40"/>
      <c r="I108" s="40"/>
      <c r="J108" s="40"/>
      <c r="K108" s="41"/>
      <c r="L108" s="39"/>
      <c r="M108" s="48" t="str">
        <f aca="false">IF($E108="","",IFERROR(INDEX(Parâmetros!$C$15:$C$20,MATCH($P108,Parâmetros!$B$15:$B$20,0)),""))</f>
        <v/>
      </c>
      <c r="N108" s="46" t="str">
        <f aca="false">IF($E108="","",IF($P108="","",IF($P108&gt;=8,"Alta",IF($P108&gt;=5,"Média","Baixa"))))</f>
        <v/>
      </c>
      <c r="O108" s="46" t="str">
        <f aca="false">IF($E108="","",IF(AND(Parâmetros!$C$5&gt;0,$P108&lt;&gt;"",$P108&gt;=Parâmetros!$C$5),"Sim","Não"))</f>
        <v/>
      </c>
      <c r="P108" s="45" t="str">
        <f aca="false">IF($E108="","",IF($G108="","",IF($G108="NOK",$F108,0)))</f>
        <v/>
      </c>
      <c r="Q108" s="46" t="str">
        <f aca="false">IF($E108="","",IF($O108&lt;&gt;"Sim","",COUNTIF($O$3:$O108,"Sim")))</f>
        <v/>
      </c>
      <c r="R108" s="47" t="n">
        <f aca="false">IF($P108="",0,$P108)</f>
        <v>0</v>
      </c>
    </row>
    <row r="109" customFormat="false" ht="18" hidden="false" customHeight="true" outlineLevel="0" collapsed="false">
      <c r="A109" s="39"/>
      <c r="B109" s="41"/>
      <c r="C109" s="40"/>
      <c r="D109" s="40"/>
      <c r="E109" s="40"/>
      <c r="F109" s="42"/>
      <c r="G109" s="39"/>
      <c r="H109" s="40"/>
      <c r="I109" s="40"/>
      <c r="J109" s="40"/>
      <c r="K109" s="41"/>
      <c r="L109" s="39"/>
      <c r="M109" s="48" t="str">
        <f aca="false">IF($E109="","",IFERROR(INDEX(Parâmetros!$C$15:$C$20,MATCH($P109,Parâmetros!$B$15:$B$20,0)),""))</f>
        <v/>
      </c>
      <c r="N109" s="46" t="str">
        <f aca="false">IF($E109="","",IF($P109="","",IF($P109&gt;=8,"Alta",IF($P109&gt;=5,"Média","Baixa"))))</f>
        <v/>
      </c>
      <c r="O109" s="46" t="str">
        <f aca="false">IF($E109="","",IF(AND(Parâmetros!$C$5&gt;0,$P109&lt;&gt;"",$P109&gt;=Parâmetros!$C$5),"Sim","Não"))</f>
        <v/>
      </c>
      <c r="P109" s="45" t="str">
        <f aca="false">IF($E109="","",IF($G109="","",IF($G109="NOK",$F109,0)))</f>
        <v/>
      </c>
      <c r="Q109" s="46" t="str">
        <f aca="false">IF($E109="","",IF($O109&lt;&gt;"Sim","",COUNTIF($O$3:$O109,"Sim")))</f>
        <v/>
      </c>
      <c r="R109" s="47" t="n">
        <f aca="false">IF($P109="",0,$P109)</f>
        <v>0</v>
      </c>
    </row>
    <row r="110" customFormat="false" ht="18" hidden="false" customHeight="true" outlineLevel="0" collapsed="false">
      <c r="A110" s="39"/>
      <c r="B110" s="41"/>
      <c r="C110" s="40"/>
      <c r="D110" s="40"/>
      <c r="E110" s="40"/>
      <c r="F110" s="42"/>
      <c r="G110" s="39"/>
      <c r="H110" s="40"/>
      <c r="I110" s="40"/>
      <c r="J110" s="40"/>
      <c r="K110" s="41"/>
      <c r="L110" s="39"/>
      <c r="M110" s="48" t="str">
        <f aca="false">IF($E110="","",IFERROR(INDEX(Parâmetros!$C$15:$C$20,MATCH($P110,Parâmetros!$B$15:$B$20,0)),""))</f>
        <v/>
      </c>
      <c r="N110" s="46" t="str">
        <f aca="false">IF($E110="","",IF($P110="","",IF($P110&gt;=8,"Alta",IF($P110&gt;=5,"Média","Baixa"))))</f>
        <v/>
      </c>
      <c r="O110" s="46" t="str">
        <f aca="false">IF($E110="","",IF(AND(Parâmetros!$C$5&gt;0,$P110&lt;&gt;"",$P110&gt;=Parâmetros!$C$5),"Sim","Não"))</f>
        <v/>
      </c>
      <c r="P110" s="45" t="str">
        <f aca="false">IF($E110="","",IF($G110="","",IF($G110="NOK",$F110,0)))</f>
        <v/>
      </c>
      <c r="Q110" s="46" t="str">
        <f aca="false">IF($E110="","",IF($O110&lt;&gt;"Sim","",COUNTIF($O$3:$O110,"Sim")))</f>
        <v/>
      </c>
      <c r="R110" s="47" t="n">
        <f aca="false">IF($P110="",0,$P110)</f>
        <v>0</v>
      </c>
    </row>
    <row r="111" customFormat="false" ht="18" hidden="false" customHeight="true" outlineLevel="0" collapsed="false">
      <c r="A111" s="39"/>
      <c r="B111" s="41"/>
      <c r="C111" s="40"/>
      <c r="D111" s="40"/>
      <c r="E111" s="40"/>
      <c r="F111" s="42"/>
      <c r="G111" s="39"/>
      <c r="H111" s="40"/>
      <c r="I111" s="40"/>
      <c r="J111" s="40"/>
      <c r="K111" s="41"/>
      <c r="L111" s="39"/>
      <c r="M111" s="48" t="str">
        <f aca="false">IF($E111="","",IFERROR(INDEX(Parâmetros!$C$15:$C$20,MATCH($P111,Parâmetros!$B$15:$B$20,0)),""))</f>
        <v/>
      </c>
      <c r="N111" s="46" t="str">
        <f aca="false">IF($E111="","",IF($P111="","",IF($P111&gt;=8,"Alta",IF($P111&gt;=5,"Média","Baixa"))))</f>
        <v/>
      </c>
      <c r="O111" s="46" t="str">
        <f aca="false">IF($E111="","",IF(AND(Parâmetros!$C$5&gt;0,$P111&lt;&gt;"",$P111&gt;=Parâmetros!$C$5),"Sim","Não"))</f>
        <v/>
      </c>
      <c r="P111" s="45" t="str">
        <f aca="false">IF($E111="","",IF($G111="","",IF($G111="NOK",$F111,0)))</f>
        <v/>
      </c>
      <c r="Q111" s="46" t="str">
        <f aca="false">IF($E111="","",IF($O111&lt;&gt;"Sim","",COUNTIF($O$3:$O111,"Sim")))</f>
        <v/>
      </c>
      <c r="R111" s="47" t="n">
        <f aca="false">IF($P111="",0,$P111)</f>
        <v>0</v>
      </c>
    </row>
    <row r="112" customFormat="false" ht="18" hidden="false" customHeight="true" outlineLevel="0" collapsed="false">
      <c r="A112" s="39"/>
      <c r="B112" s="41"/>
      <c r="C112" s="40"/>
      <c r="D112" s="40"/>
      <c r="E112" s="40"/>
      <c r="F112" s="42"/>
      <c r="G112" s="39"/>
      <c r="H112" s="40"/>
      <c r="I112" s="40"/>
      <c r="J112" s="40"/>
      <c r="K112" s="41"/>
      <c r="L112" s="39"/>
      <c r="M112" s="48" t="str">
        <f aca="false">IF($E112="","",IFERROR(INDEX(Parâmetros!$C$15:$C$20,MATCH($P112,Parâmetros!$B$15:$B$20,0)),""))</f>
        <v/>
      </c>
      <c r="N112" s="46" t="str">
        <f aca="false">IF($E112="","",IF($P112="","",IF($P112&gt;=8,"Alta",IF($P112&gt;=5,"Média","Baixa"))))</f>
        <v/>
      </c>
      <c r="O112" s="46" t="str">
        <f aca="false">IF($E112="","",IF(AND(Parâmetros!$C$5&gt;0,$P112&lt;&gt;"",$P112&gt;=Parâmetros!$C$5),"Sim","Não"))</f>
        <v/>
      </c>
      <c r="P112" s="45" t="str">
        <f aca="false">IF($E112="","",IF($G112="","",IF($G112="NOK",$F112,0)))</f>
        <v/>
      </c>
      <c r="Q112" s="46" t="str">
        <f aca="false">IF($E112="","",IF($O112&lt;&gt;"Sim","",COUNTIF($O$3:$O112,"Sim")))</f>
        <v/>
      </c>
      <c r="R112" s="47" t="n">
        <f aca="false">IF($P112="",0,$P112)</f>
        <v>0</v>
      </c>
    </row>
    <row r="113" customFormat="false" ht="18" hidden="false" customHeight="true" outlineLevel="0" collapsed="false">
      <c r="A113" s="39"/>
      <c r="B113" s="41"/>
      <c r="C113" s="40"/>
      <c r="D113" s="40"/>
      <c r="E113" s="40"/>
      <c r="F113" s="42"/>
      <c r="G113" s="39"/>
      <c r="H113" s="40"/>
      <c r="I113" s="40"/>
      <c r="J113" s="40"/>
      <c r="K113" s="41"/>
      <c r="L113" s="39"/>
      <c r="M113" s="48" t="str">
        <f aca="false">IF($E113="","",IFERROR(INDEX(Parâmetros!$C$15:$C$20,MATCH($P113,Parâmetros!$B$15:$B$20,0)),""))</f>
        <v/>
      </c>
      <c r="N113" s="46" t="str">
        <f aca="false">IF($E113="","",IF($P113="","",IF($P113&gt;=8,"Alta",IF($P113&gt;=5,"Média","Baixa"))))</f>
        <v/>
      </c>
      <c r="O113" s="46" t="str">
        <f aca="false">IF($E113="","",IF(AND(Parâmetros!$C$5&gt;0,$P113&lt;&gt;"",$P113&gt;=Parâmetros!$C$5),"Sim","Não"))</f>
        <v/>
      </c>
      <c r="P113" s="45" t="str">
        <f aca="false">IF($E113="","",IF($G113="","",IF($G113="NOK",$F113,0)))</f>
        <v/>
      </c>
      <c r="Q113" s="46" t="str">
        <f aca="false">IF($E113="","",IF($O113&lt;&gt;"Sim","",COUNTIF($O$3:$O113,"Sim")))</f>
        <v/>
      </c>
      <c r="R113" s="47" t="n">
        <f aca="false">IF($P113="",0,$P113)</f>
        <v>0</v>
      </c>
    </row>
    <row r="114" customFormat="false" ht="18" hidden="false" customHeight="true" outlineLevel="0" collapsed="false">
      <c r="A114" s="39"/>
      <c r="B114" s="41"/>
      <c r="C114" s="40"/>
      <c r="D114" s="40"/>
      <c r="E114" s="40"/>
      <c r="F114" s="42"/>
      <c r="G114" s="39"/>
      <c r="H114" s="40"/>
      <c r="I114" s="40"/>
      <c r="J114" s="40"/>
      <c r="K114" s="41"/>
      <c r="L114" s="39"/>
      <c r="M114" s="48" t="str">
        <f aca="false">IF($E114="","",IFERROR(INDEX(Parâmetros!$C$15:$C$20,MATCH($P114,Parâmetros!$B$15:$B$20,0)),""))</f>
        <v/>
      </c>
      <c r="N114" s="46" t="str">
        <f aca="false">IF($E114="","",IF($P114="","",IF($P114&gt;=8,"Alta",IF($P114&gt;=5,"Média","Baixa"))))</f>
        <v/>
      </c>
      <c r="O114" s="46" t="str">
        <f aca="false">IF($E114="","",IF(AND(Parâmetros!$C$5&gt;0,$P114&lt;&gt;"",$P114&gt;=Parâmetros!$C$5),"Sim","Não"))</f>
        <v/>
      </c>
      <c r="P114" s="45" t="str">
        <f aca="false">IF($E114="","",IF($G114="","",IF($G114="NOK",$F114,0)))</f>
        <v/>
      </c>
      <c r="Q114" s="46" t="str">
        <f aca="false">IF($E114="","",IF($O114&lt;&gt;"Sim","",COUNTIF($O$3:$O114,"Sim")))</f>
        <v/>
      </c>
      <c r="R114" s="47" t="n">
        <f aca="false">IF($P114="",0,$P114)</f>
        <v>0</v>
      </c>
    </row>
    <row r="115" customFormat="false" ht="18" hidden="false" customHeight="true" outlineLevel="0" collapsed="false">
      <c r="A115" s="39"/>
      <c r="B115" s="41"/>
      <c r="C115" s="40"/>
      <c r="D115" s="40"/>
      <c r="E115" s="40"/>
      <c r="F115" s="42"/>
      <c r="G115" s="39"/>
      <c r="H115" s="40"/>
      <c r="I115" s="40"/>
      <c r="J115" s="40"/>
      <c r="K115" s="41"/>
      <c r="L115" s="39"/>
      <c r="M115" s="48" t="str">
        <f aca="false">IF($E115="","",IFERROR(INDEX(Parâmetros!$C$15:$C$20,MATCH($P115,Parâmetros!$B$15:$B$20,0)),""))</f>
        <v/>
      </c>
      <c r="N115" s="46" t="str">
        <f aca="false">IF($E115="","",IF($P115="","",IF($P115&gt;=8,"Alta",IF($P115&gt;=5,"Média","Baixa"))))</f>
        <v/>
      </c>
      <c r="O115" s="46" t="str">
        <f aca="false">IF($E115="","",IF(AND(Parâmetros!$C$5&gt;0,$P115&lt;&gt;"",$P115&gt;=Parâmetros!$C$5),"Sim","Não"))</f>
        <v/>
      </c>
      <c r="P115" s="45" t="str">
        <f aca="false">IF($E115="","",IF($G115="","",IF($G115="NOK",$F115,0)))</f>
        <v/>
      </c>
      <c r="Q115" s="46" t="str">
        <f aca="false">IF($E115="","",IF($O115&lt;&gt;"Sim","",COUNTIF($O$3:$O115,"Sim")))</f>
        <v/>
      </c>
      <c r="R115" s="47" t="n">
        <f aca="false">IF($P115="",0,$P115)</f>
        <v>0</v>
      </c>
    </row>
    <row r="116" customFormat="false" ht="18" hidden="false" customHeight="true" outlineLevel="0" collapsed="false">
      <c r="A116" s="39"/>
      <c r="B116" s="41"/>
      <c r="C116" s="40"/>
      <c r="D116" s="40"/>
      <c r="E116" s="40"/>
      <c r="F116" s="42"/>
      <c r="G116" s="39"/>
      <c r="H116" s="40"/>
      <c r="I116" s="40"/>
      <c r="J116" s="40"/>
      <c r="K116" s="41"/>
      <c r="L116" s="39"/>
      <c r="M116" s="48" t="str">
        <f aca="false">IF($E116="","",IFERROR(INDEX(Parâmetros!$C$15:$C$20,MATCH($P116,Parâmetros!$B$15:$B$20,0)),""))</f>
        <v/>
      </c>
      <c r="N116" s="46" t="str">
        <f aca="false">IF($E116="","",IF($P116="","",IF($P116&gt;=8,"Alta",IF($P116&gt;=5,"Média","Baixa"))))</f>
        <v/>
      </c>
      <c r="O116" s="46" t="str">
        <f aca="false">IF($E116="","",IF(AND(Parâmetros!$C$5&gt;0,$P116&lt;&gt;"",$P116&gt;=Parâmetros!$C$5),"Sim","Não"))</f>
        <v/>
      </c>
      <c r="P116" s="45" t="str">
        <f aca="false">IF($E116="","",IF($G116="","",IF($G116="NOK",$F116,0)))</f>
        <v/>
      </c>
      <c r="Q116" s="46" t="str">
        <f aca="false">IF($E116="","",IF($O116&lt;&gt;"Sim","",COUNTIF($O$3:$O116,"Sim")))</f>
        <v/>
      </c>
      <c r="R116" s="47" t="n">
        <f aca="false">IF($P116="",0,$P116)</f>
        <v>0</v>
      </c>
    </row>
    <row r="117" customFormat="false" ht="18" hidden="false" customHeight="true" outlineLevel="0" collapsed="false">
      <c r="A117" s="39"/>
      <c r="B117" s="41"/>
      <c r="C117" s="40"/>
      <c r="D117" s="40"/>
      <c r="E117" s="40"/>
      <c r="F117" s="42"/>
      <c r="G117" s="39"/>
      <c r="H117" s="40"/>
      <c r="I117" s="40"/>
      <c r="J117" s="40"/>
      <c r="K117" s="41"/>
      <c r="L117" s="39"/>
      <c r="M117" s="48" t="str">
        <f aca="false">IF($E117="","",IFERROR(INDEX(Parâmetros!$C$15:$C$20,MATCH($P117,Parâmetros!$B$15:$B$20,0)),""))</f>
        <v/>
      </c>
      <c r="N117" s="46" t="str">
        <f aca="false">IF($E117="","",IF($P117="","",IF($P117&gt;=8,"Alta",IF($P117&gt;=5,"Média","Baixa"))))</f>
        <v/>
      </c>
      <c r="O117" s="46" t="str">
        <f aca="false">IF($E117="","",IF(AND(Parâmetros!$C$5&gt;0,$P117&lt;&gt;"",$P117&gt;=Parâmetros!$C$5),"Sim","Não"))</f>
        <v/>
      </c>
      <c r="P117" s="45" t="str">
        <f aca="false">IF($E117="","",IF($G117="","",IF($G117="NOK",$F117,0)))</f>
        <v/>
      </c>
      <c r="Q117" s="46" t="str">
        <f aca="false">IF($E117="","",IF($O117&lt;&gt;"Sim","",COUNTIF($O$3:$O117,"Sim")))</f>
        <v/>
      </c>
      <c r="R117" s="47" t="n">
        <f aca="false">IF($P117="",0,$P117)</f>
        <v>0</v>
      </c>
    </row>
    <row r="118" customFormat="false" ht="18" hidden="false" customHeight="true" outlineLevel="0" collapsed="false">
      <c r="A118" s="39"/>
      <c r="B118" s="41"/>
      <c r="C118" s="40"/>
      <c r="D118" s="40"/>
      <c r="E118" s="40"/>
      <c r="F118" s="42"/>
      <c r="G118" s="39"/>
      <c r="H118" s="40"/>
      <c r="I118" s="40"/>
      <c r="J118" s="40"/>
      <c r="K118" s="41"/>
      <c r="L118" s="39"/>
      <c r="M118" s="48" t="str">
        <f aca="false">IF($E118="","",IFERROR(INDEX(Parâmetros!$C$15:$C$20,MATCH($P118,Parâmetros!$B$15:$B$20,0)),""))</f>
        <v/>
      </c>
      <c r="N118" s="46" t="str">
        <f aca="false">IF($E118="","",IF($P118="","",IF($P118&gt;=8,"Alta",IF($P118&gt;=5,"Média","Baixa"))))</f>
        <v/>
      </c>
      <c r="O118" s="46" t="str">
        <f aca="false">IF($E118="","",IF(AND(Parâmetros!$C$5&gt;0,$P118&lt;&gt;"",$P118&gt;=Parâmetros!$C$5),"Sim","Não"))</f>
        <v/>
      </c>
      <c r="P118" s="45" t="str">
        <f aca="false">IF($E118="","",IF($G118="","",IF($G118="NOK",$F118,0)))</f>
        <v/>
      </c>
      <c r="Q118" s="46" t="str">
        <f aca="false">IF($E118="","",IF($O118&lt;&gt;"Sim","",COUNTIF($O$3:$O118,"Sim")))</f>
        <v/>
      </c>
      <c r="R118" s="47" t="n">
        <f aca="false">IF($P118="",0,$P118)</f>
        <v>0</v>
      </c>
    </row>
    <row r="119" customFormat="false" ht="18" hidden="false" customHeight="true" outlineLevel="0" collapsed="false">
      <c r="A119" s="39"/>
      <c r="B119" s="41"/>
      <c r="C119" s="40"/>
      <c r="D119" s="40"/>
      <c r="E119" s="40"/>
      <c r="F119" s="42"/>
      <c r="G119" s="39"/>
      <c r="H119" s="40"/>
      <c r="I119" s="40"/>
      <c r="J119" s="40"/>
      <c r="K119" s="41"/>
      <c r="L119" s="39"/>
      <c r="M119" s="48" t="str">
        <f aca="false">IF($E119="","",IFERROR(INDEX(Parâmetros!$C$15:$C$20,MATCH($P119,Parâmetros!$B$15:$B$20,0)),""))</f>
        <v/>
      </c>
      <c r="N119" s="46" t="str">
        <f aca="false">IF($E119="","",IF($P119="","",IF($P119&gt;=8,"Alta",IF($P119&gt;=5,"Média","Baixa"))))</f>
        <v/>
      </c>
      <c r="O119" s="46" t="str">
        <f aca="false">IF($E119="","",IF(AND(Parâmetros!$C$5&gt;0,$P119&lt;&gt;"",$P119&gt;=Parâmetros!$C$5),"Sim","Não"))</f>
        <v/>
      </c>
      <c r="P119" s="45" t="str">
        <f aca="false">IF($E119="","",IF($G119="","",IF($G119="NOK",$F119,0)))</f>
        <v/>
      </c>
      <c r="Q119" s="46" t="str">
        <f aca="false">IF($E119="","",IF($O119&lt;&gt;"Sim","",COUNTIF($O$3:$O119,"Sim")))</f>
        <v/>
      </c>
      <c r="R119" s="47" t="n">
        <f aca="false">IF($P119="",0,$P119)</f>
        <v>0</v>
      </c>
    </row>
    <row r="120" customFormat="false" ht="18" hidden="false" customHeight="true" outlineLevel="0" collapsed="false">
      <c r="A120" s="39"/>
      <c r="B120" s="41"/>
      <c r="C120" s="40"/>
      <c r="D120" s="40"/>
      <c r="E120" s="40"/>
      <c r="F120" s="42"/>
      <c r="G120" s="39"/>
      <c r="H120" s="40"/>
      <c r="I120" s="40"/>
      <c r="J120" s="40"/>
      <c r="K120" s="41"/>
      <c r="L120" s="39"/>
      <c r="M120" s="48" t="str">
        <f aca="false">IF($E120="","",IFERROR(INDEX(Parâmetros!$C$15:$C$20,MATCH($P120,Parâmetros!$B$15:$B$20,0)),""))</f>
        <v/>
      </c>
      <c r="N120" s="46" t="str">
        <f aca="false">IF($E120="","",IF($P120="","",IF($P120&gt;=8,"Alta",IF($P120&gt;=5,"Média","Baixa"))))</f>
        <v/>
      </c>
      <c r="O120" s="46" t="str">
        <f aca="false">IF($E120="","",IF(AND(Parâmetros!$C$5&gt;0,$P120&lt;&gt;"",$P120&gt;=Parâmetros!$C$5),"Sim","Não"))</f>
        <v/>
      </c>
      <c r="P120" s="45" t="str">
        <f aca="false">IF($E120="","",IF($G120="","",IF($G120="NOK",$F120,0)))</f>
        <v/>
      </c>
      <c r="Q120" s="46" t="str">
        <f aca="false">IF($E120="","",IF($O120&lt;&gt;"Sim","",COUNTIF($O$3:$O120,"Sim")))</f>
        <v/>
      </c>
      <c r="R120" s="47" t="n">
        <f aca="false">IF($P120="",0,$P120)</f>
        <v>0</v>
      </c>
    </row>
    <row r="121" customFormat="false" ht="18" hidden="false" customHeight="true" outlineLevel="0" collapsed="false">
      <c r="A121" s="39"/>
      <c r="B121" s="41"/>
      <c r="C121" s="40"/>
      <c r="D121" s="40"/>
      <c r="E121" s="40"/>
      <c r="F121" s="42"/>
      <c r="G121" s="39"/>
      <c r="H121" s="40"/>
      <c r="I121" s="40"/>
      <c r="J121" s="40"/>
      <c r="K121" s="41"/>
      <c r="L121" s="39"/>
      <c r="M121" s="48" t="str">
        <f aca="false">IF($E121="","",IFERROR(INDEX(Parâmetros!$C$15:$C$20,MATCH($P121,Parâmetros!$B$15:$B$20,0)),""))</f>
        <v/>
      </c>
      <c r="N121" s="46" t="str">
        <f aca="false">IF($E121="","",IF($P121="","",IF($P121&gt;=8,"Alta",IF($P121&gt;=5,"Média","Baixa"))))</f>
        <v/>
      </c>
      <c r="O121" s="46" t="str">
        <f aca="false">IF($E121="","",IF(AND(Parâmetros!$C$5&gt;0,$P121&lt;&gt;"",$P121&gt;=Parâmetros!$C$5),"Sim","Não"))</f>
        <v/>
      </c>
      <c r="P121" s="45" t="str">
        <f aca="false">IF($E121="","",IF($G121="","",IF($G121="NOK",$F121,0)))</f>
        <v/>
      </c>
      <c r="Q121" s="46" t="str">
        <f aca="false">IF($E121="","",IF($O121&lt;&gt;"Sim","",COUNTIF($O$3:$O121,"Sim")))</f>
        <v/>
      </c>
      <c r="R121" s="47" t="n">
        <f aca="false">IF($P121="",0,$P121)</f>
        <v>0</v>
      </c>
    </row>
    <row r="122" customFormat="false" ht="18" hidden="false" customHeight="true" outlineLevel="0" collapsed="false">
      <c r="A122" s="39"/>
      <c r="B122" s="41"/>
      <c r="C122" s="40"/>
      <c r="D122" s="40"/>
      <c r="E122" s="40"/>
      <c r="F122" s="42"/>
      <c r="G122" s="39"/>
      <c r="H122" s="40"/>
      <c r="I122" s="40"/>
      <c r="J122" s="40"/>
      <c r="K122" s="41"/>
      <c r="L122" s="39"/>
      <c r="M122" s="48" t="str">
        <f aca="false">IF($E122="","",IFERROR(INDEX(Parâmetros!$C$15:$C$20,MATCH($P122,Parâmetros!$B$15:$B$20,0)),""))</f>
        <v/>
      </c>
      <c r="N122" s="46" t="str">
        <f aca="false">IF($E122="","",IF($P122="","",IF($P122&gt;=8,"Alta",IF($P122&gt;=5,"Média","Baixa"))))</f>
        <v/>
      </c>
      <c r="O122" s="46" t="str">
        <f aca="false">IF($E122="","",IF(AND(Parâmetros!$C$5&gt;0,$P122&lt;&gt;"",$P122&gt;=Parâmetros!$C$5),"Sim","Não"))</f>
        <v/>
      </c>
      <c r="P122" s="45" t="str">
        <f aca="false">IF($E122="","",IF($G122="","",IF($G122="NOK",$F122,0)))</f>
        <v/>
      </c>
      <c r="Q122" s="46" t="str">
        <f aca="false">IF($E122="","",IF($O122&lt;&gt;"Sim","",COUNTIF($O$3:$O122,"Sim")))</f>
        <v/>
      </c>
      <c r="R122" s="47" t="n">
        <f aca="false">IF($P122="",0,$P122)</f>
        <v>0</v>
      </c>
    </row>
    <row r="123" customFormat="false" ht="18" hidden="false" customHeight="true" outlineLevel="0" collapsed="false">
      <c r="A123" s="39"/>
      <c r="B123" s="41"/>
      <c r="C123" s="40"/>
      <c r="D123" s="40"/>
      <c r="E123" s="40"/>
      <c r="F123" s="42"/>
      <c r="G123" s="39"/>
      <c r="H123" s="40"/>
      <c r="I123" s="40"/>
      <c r="J123" s="40"/>
      <c r="K123" s="41"/>
      <c r="L123" s="39"/>
      <c r="M123" s="48" t="str">
        <f aca="false">IF($E123="","",IFERROR(INDEX(Parâmetros!$C$15:$C$20,MATCH($P123,Parâmetros!$B$15:$B$20,0)),""))</f>
        <v/>
      </c>
      <c r="N123" s="46" t="str">
        <f aca="false">IF($E123="","",IF($P123="","",IF($P123&gt;=8,"Alta",IF($P123&gt;=5,"Média","Baixa"))))</f>
        <v/>
      </c>
      <c r="O123" s="46" t="str">
        <f aca="false">IF($E123="","",IF(AND(Parâmetros!$C$5&gt;0,$P123&lt;&gt;"",$P123&gt;=Parâmetros!$C$5),"Sim","Não"))</f>
        <v/>
      </c>
      <c r="P123" s="45" t="str">
        <f aca="false">IF($E123="","",IF($G123="","",IF($G123="NOK",$F123,0)))</f>
        <v/>
      </c>
      <c r="Q123" s="46" t="str">
        <f aca="false">IF($E123="","",IF($O123&lt;&gt;"Sim","",COUNTIF($O$3:$O123,"Sim")))</f>
        <v/>
      </c>
      <c r="R123" s="47" t="n">
        <f aca="false">IF($P123="",0,$P123)</f>
        <v>0</v>
      </c>
    </row>
    <row r="124" customFormat="false" ht="18" hidden="false" customHeight="true" outlineLevel="0" collapsed="false">
      <c r="A124" s="39"/>
      <c r="B124" s="41"/>
      <c r="C124" s="40"/>
      <c r="D124" s="40"/>
      <c r="E124" s="40"/>
      <c r="F124" s="42"/>
      <c r="G124" s="39"/>
      <c r="H124" s="40"/>
      <c r="I124" s="40"/>
      <c r="J124" s="40"/>
      <c r="K124" s="41"/>
      <c r="L124" s="39"/>
      <c r="M124" s="48" t="str">
        <f aca="false">IF($E124="","",IFERROR(INDEX(Parâmetros!$C$15:$C$20,MATCH($P124,Parâmetros!$B$15:$B$20,0)),""))</f>
        <v/>
      </c>
      <c r="N124" s="46" t="str">
        <f aca="false">IF($E124="","",IF($P124="","",IF($P124&gt;=8,"Alta",IF($P124&gt;=5,"Média","Baixa"))))</f>
        <v/>
      </c>
      <c r="O124" s="46" t="str">
        <f aca="false">IF($E124="","",IF(AND(Parâmetros!$C$5&gt;0,$P124&lt;&gt;"",$P124&gt;=Parâmetros!$C$5),"Sim","Não"))</f>
        <v/>
      </c>
      <c r="P124" s="45" t="str">
        <f aca="false">IF($E124="","",IF($G124="","",IF($G124="NOK",$F124,0)))</f>
        <v/>
      </c>
      <c r="Q124" s="46" t="str">
        <f aca="false">IF($E124="","",IF($O124&lt;&gt;"Sim","",COUNTIF($O$3:$O124,"Sim")))</f>
        <v/>
      </c>
      <c r="R124" s="47" t="n">
        <f aca="false">IF($P124="",0,$P124)</f>
        <v>0</v>
      </c>
    </row>
    <row r="125" customFormat="false" ht="18" hidden="false" customHeight="true" outlineLevel="0" collapsed="false">
      <c r="A125" s="39"/>
      <c r="B125" s="41"/>
      <c r="C125" s="40"/>
      <c r="D125" s="40"/>
      <c r="E125" s="40"/>
      <c r="F125" s="42"/>
      <c r="G125" s="39"/>
      <c r="H125" s="40"/>
      <c r="I125" s="40"/>
      <c r="J125" s="40"/>
      <c r="K125" s="41"/>
      <c r="L125" s="39"/>
      <c r="M125" s="48" t="str">
        <f aca="false">IF($E125="","",IFERROR(INDEX(Parâmetros!$C$15:$C$20,MATCH($P125,Parâmetros!$B$15:$B$20,0)),""))</f>
        <v/>
      </c>
      <c r="N125" s="46" t="str">
        <f aca="false">IF($E125="","",IF($P125="","",IF($P125&gt;=8,"Alta",IF($P125&gt;=5,"Média","Baixa"))))</f>
        <v/>
      </c>
      <c r="O125" s="46" t="str">
        <f aca="false">IF($E125="","",IF(AND(Parâmetros!$C$5&gt;0,$P125&lt;&gt;"",$P125&gt;=Parâmetros!$C$5),"Sim","Não"))</f>
        <v/>
      </c>
      <c r="P125" s="45" t="str">
        <f aca="false">IF($E125="","",IF($G125="","",IF($G125="NOK",$F125,0)))</f>
        <v/>
      </c>
      <c r="Q125" s="46" t="str">
        <f aca="false">IF($E125="","",IF($O125&lt;&gt;"Sim","",COUNTIF($O$3:$O125,"Sim")))</f>
        <v/>
      </c>
      <c r="R125" s="47" t="n">
        <f aca="false">IF($P125="",0,$P125)</f>
        <v>0</v>
      </c>
    </row>
    <row r="126" customFormat="false" ht="18" hidden="false" customHeight="true" outlineLevel="0" collapsed="false">
      <c r="A126" s="39"/>
      <c r="B126" s="41"/>
      <c r="C126" s="40"/>
      <c r="D126" s="40"/>
      <c r="E126" s="40"/>
      <c r="F126" s="42"/>
      <c r="G126" s="39"/>
      <c r="H126" s="40"/>
      <c r="I126" s="40"/>
      <c r="J126" s="40"/>
      <c r="K126" s="41"/>
      <c r="L126" s="39"/>
      <c r="M126" s="48" t="str">
        <f aca="false">IF($E126="","",IFERROR(INDEX(Parâmetros!$C$15:$C$20,MATCH($P126,Parâmetros!$B$15:$B$20,0)),""))</f>
        <v/>
      </c>
      <c r="N126" s="46" t="str">
        <f aca="false">IF($E126="","",IF($P126="","",IF($P126&gt;=8,"Alta",IF($P126&gt;=5,"Média","Baixa"))))</f>
        <v/>
      </c>
      <c r="O126" s="46" t="str">
        <f aca="false">IF($E126="","",IF(AND(Parâmetros!$C$5&gt;0,$P126&lt;&gt;"",$P126&gt;=Parâmetros!$C$5),"Sim","Não"))</f>
        <v/>
      </c>
      <c r="P126" s="45" t="str">
        <f aca="false">IF($E126="","",IF($G126="","",IF($G126="NOK",$F126,0)))</f>
        <v/>
      </c>
      <c r="Q126" s="46" t="str">
        <f aca="false">IF($E126="","",IF($O126&lt;&gt;"Sim","",COUNTIF($O$3:$O126,"Sim")))</f>
        <v/>
      </c>
      <c r="R126" s="47" t="n">
        <f aca="false">IF($P126="",0,$P126)</f>
        <v>0</v>
      </c>
    </row>
    <row r="127" customFormat="false" ht="18" hidden="false" customHeight="true" outlineLevel="0" collapsed="false">
      <c r="A127" s="39"/>
      <c r="B127" s="41"/>
      <c r="C127" s="40"/>
      <c r="D127" s="40"/>
      <c r="E127" s="40"/>
      <c r="F127" s="42"/>
      <c r="G127" s="39"/>
      <c r="H127" s="40"/>
      <c r="I127" s="40"/>
      <c r="J127" s="40"/>
      <c r="K127" s="41"/>
      <c r="L127" s="39"/>
      <c r="M127" s="48" t="str">
        <f aca="false">IF($E127="","",IFERROR(INDEX(Parâmetros!$C$15:$C$20,MATCH($P127,Parâmetros!$B$15:$B$20,0)),""))</f>
        <v/>
      </c>
      <c r="N127" s="46" t="str">
        <f aca="false">IF($E127="","",IF($P127="","",IF($P127&gt;=8,"Alta",IF($P127&gt;=5,"Média","Baixa"))))</f>
        <v/>
      </c>
      <c r="O127" s="46" t="str">
        <f aca="false">IF($E127="","",IF(AND(Parâmetros!$C$5&gt;0,$P127&lt;&gt;"",$P127&gt;=Parâmetros!$C$5),"Sim","Não"))</f>
        <v/>
      </c>
      <c r="P127" s="45" t="str">
        <f aca="false">IF($E127="","",IF($G127="","",IF($G127="NOK",$F127,0)))</f>
        <v/>
      </c>
      <c r="Q127" s="46" t="str">
        <f aca="false">IF($E127="","",IF($O127&lt;&gt;"Sim","",COUNTIF($O$3:$O127,"Sim")))</f>
        <v/>
      </c>
      <c r="R127" s="47" t="n">
        <f aca="false">IF($P127="",0,$P127)</f>
        <v>0</v>
      </c>
    </row>
    <row r="128" customFormat="false" ht="18" hidden="false" customHeight="true" outlineLevel="0" collapsed="false">
      <c r="A128" s="39"/>
      <c r="B128" s="41"/>
      <c r="C128" s="40"/>
      <c r="D128" s="40"/>
      <c r="E128" s="40"/>
      <c r="F128" s="42"/>
      <c r="G128" s="39"/>
      <c r="H128" s="40"/>
      <c r="I128" s="40"/>
      <c r="J128" s="40"/>
      <c r="K128" s="41"/>
      <c r="L128" s="39"/>
      <c r="M128" s="48" t="str">
        <f aca="false">IF($E128="","",IFERROR(INDEX(Parâmetros!$C$15:$C$20,MATCH($P128,Parâmetros!$B$15:$B$20,0)),""))</f>
        <v/>
      </c>
      <c r="N128" s="46" t="str">
        <f aca="false">IF($E128="","",IF($P128="","",IF($P128&gt;=8,"Alta",IF($P128&gt;=5,"Média","Baixa"))))</f>
        <v/>
      </c>
      <c r="O128" s="46" t="str">
        <f aca="false">IF($E128="","",IF(AND(Parâmetros!$C$5&gt;0,$P128&lt;&gt;"",$P128&gt;=Parâmetros!$C$5),"Sim","Não"))</f>
        <v/>
      </c>
      <c r="P128" s="45" t="str">
        <f aca="false">IF($E128="","",IF($G128="","",IF($G128="NOK",$F128,0)))</f>
        <v/>
      </c>
      <c r="Q128" s="46" t="str">
        <f aca="false">IF($E128="","",IF($O128&lt;&gt;"Sim","",COUNTIF($O$3:$O128,"Sim")))</f>
        <v/>
      </c>
      <c r="R128" s="47" t="n">
        <f aca="false">IF($P128="",0,$P128)</f>
        <v>0</v>
      </c>
    </row>
    <row r="129" customFormat="false" ht="18" hidden="false" customHeight="true" outlineLevel="0" collapsed="false">
      <c r="A129" s="39"/>
      <c r="B129" s="41"/>
      <c r="C129" s="40"/>
      <c r="D129" s="40"/>
      <c r="E129" s="40"/>
      <c r="F129" s="42"/>
      <c r="G129" s="39"/>
      <c r="H129" s="40"/>
      <c r="I129" s="40"/>
      <c r="J129" s="40"/>
      <c r="K129" s="41"/>
      <c r="L129" s="39"/>
      <c r="M129" s="48" t="str">
        <f aca="false">IF($E129="","",IFERROR(INDEX(Parâmetros!$C$15:$C$20,MATCH($P129,Parâmetros!$B$15:$B$20,0)),""))</f>
        <v/>
      </c>
      <c r="N129" s="46" t="str">
        <f aca="false">IF($E129="","",IF($P129="","",IF($P129&gt;=8,"Alta",IF($P129&gt;=5,"Média","Baixa"))))</f>
        <v/>
      </c>
      <c r="O129" s="46" t="str">
        <f aca="false">IF($E129="","",IF(AND(Parâmetros!$C$5&gt;0,$P129&lt;&gt;"",$P129&gt;=Parâmetros!$C$5),"Sim","Não"))</f>
        <v/>
      </c>
      <c r="P129" s="45" t="str">
        <f aca="false">IF($E129="","",IF($G129="","",IF($G129="NOK",$F129,0)))</f>
        <v/>
      </c>
      <c r="Q129" s="46" t="str">
        <f aca="false">IF($E129="","",IF($O129&lt;&gt;"Sim","",COUNTIF($O$3:$O129,"Sim")))</f>
        <v/>
      </c>
      <c r="R129" s="47" t="n">
        <f aca="false">IF($P129="",0,$P129)</f>
        <v>0</v>
      </c>
    </row>
    <row r="130" customFormat="false" ht="18" hidden="false" customHeight="true" outlineLevel="0" collapsed="false">
      <c r="A130" s="39"/>
      <c r="B130" s="41"/>
      <c r="C130" s="40"/>
      <c r="D130" s="40"/>
      <c r="E130" s="40"/>
      <c r="F130" s="42"/>
      <c r="G130" s="39"/>
      <c r="H130" s="40"/>
      <c r="I130" s="40"/>
      <c r="J130" s="40"/>
      <c r="K130" s="41"/>
      <c r="L130" s="39"/>
      <c r="M130" s="48" t="str">
        <f aca="false">IF($E130="","",IFERROR(INDEX(Parâmetros!$C$15:$C$20,MATCH($P130,Parâmetros!$B$15:$B$20,0)),""))</f>
        <v/>
      </c>
      <c r="N130" s="46" t="str">
        <f aca="false">IF($E130="","",IF($P130="","",IF($P130&gt;=8,"Alta",IF($P130&gt;=5,"Média","Baixa"))))</f>
        <v/>
      </c>
      <c r="O130" s="46" t="str">
        <f aca="false">IF($E130="","",IF(AND(Parâmetros!$C$5&gt;0,$P130&lt;&gt;"",$P130&gt;=Parâmetros!$C$5),"Sim","Não"))</f>
        <v/>
      </c>
      <c r="P130" s="45" t="str">
        <f aca="false">IF($E130="","",IF($G130="","",IF($G130="NOK",$F130,0)))</f>
        <v/>
      </c>
      <c r="Q130" s="46" t="str">
        <f aca="false">IF($E130="","",IF($O130&lt;&gt;"Sim","",COUNTIF($O$3:$O130,"Sim")))</f>
        <v/>
      </c>
      <c r="R130" s="47" t="n">
        <f aca="false">IF($P130="",0,$P130)</f>
        <v>0</v>
      </c>
    </row>
    <row r="131" customFormat="false" ht="18" hidden="false" customHeight="true" outlineLevel="0" collapsed="false">
      <c r="A131" s="39"/>
      <c r="B131" s="41"/>
      <c r="C131" s="40"/>
      <c r="D131" s="40"/>
      <c r="E131" s="40"/>
      <c r="F131" s="42"/>
      <c r="G131" s="39"/>
      <c r="H131" s="40"/>
      <c r="I131" s="40"/>
      <c r="J131" s="40"/>
      <c r="K131" s="41"/>
      <c r="L131" s="39"/>
      <c r="M131" s="48" t="str">
        <f aca="false">IF($E131="","",IFERROR(INDEX(Parâmetros!$C$15:$C$20,MATCH($P131,Parâmetros!$B$15:$B$20,0)),""))</f>
        <v/>
      </c>
      <c r="N131" s="46" t="str">
        <f aca="false">IF($E131="","",IF($P131="","",IF($P131&gt;=8,"Alta",IF($P131&gt;=5,"Média","Baixa"))))</f>
        <v/>
      </c>
      <c r="O131" s="46" t="str">
        <f aca="false">IF($E131="","",IF(AND(Parâmetros!$C$5&gt;0,$P131&lt;&gt;"",$P131&gt;=Parâmetros!$C$5),"Sim","Não"))</f>
        <v/>
      </c>
      <c r="P131" s="45" t="str">
        <f aca="false">IF($E131="","",IF($G131="","",IF($G131="NOK",$F131,0)))</f>
        <v/>
      </c>
      <c r="Q131" s="46" t="str">
        <f aca="false">IF($E131="","",IF($O131&lt;&gt;"Sim","",COUNTIF($O$3:$O131,"Sim")))</f>
        <v/>
      </c>
      <c r="R131" s="47" t="n">
        <f aca="false">IF($P131="",0,$P131)</f>
        <v>0</v>
      </c>
    </row>
    <row r="132" customFormat="false" ht="18" hidden="false" customHeight="true" outlineLevel="0" collapsed="false">
      <c r="A132" s="39"/>
      <c r="B132" s="41"/>
      <c r="C132" s="40"/>
      <c r="D132" s="40"/>
      <c r="E132" s="40"/>
      <c r="F132" s="42"/>
      <c r="G132" s="39"/>
      <c r="H132" s="40"/>
      <c r="I132" s="40"/>
      <c r="J132" s="40"/>
      <c r="K132" s="41"/>
      <c r="L132" s="39"/>
      <c r="M132" s="48" t="str">
        <f aca="false">IF($E132="","",IFERROR(INDEX(Parâmetros!$C$15:$C$20,MATCH($P132,Parâmetros!$B$15:$B$20,0)),""))</f>
        <v/>
      </c>
      <c r="N132" s="46" t="str">
        <f aca="false">IF($E132="","",IF($P132="","",IF($P132&gt;=8,"Alta",IF($P132&gt;=5,"Média","Baixa"))))</f>
        <v/>
      </c>
      <c r="O132" s="46" t="str">
        <f aca="false">IF($E132="","",IF(AND(Parâmetros!$C$5&gt;0,$P132&lt;&gt;"",$P132&gt;=Parâmetros!$C$5),"Sim","Não"))</f>
        <v/>
      </c>
      <c r="P132" s="45" t="str">
        <f aca="false">IF($E132="","",IF($G132="","",IF($G132="NOK",$F132,0)))</f>
        <v/>
      </c>
      <c r="Q132" s="46" t="str">
        <f aca="false">IF($E132="","",IF($O132&lt;&gt;"Sim","",COUNTIF($O$3:$O132,"Sim")))</f>
        <v/>
      </c>
      <c r="R132" s="47" t="n">
        <f aca="false">IF($P132="",0,$P132)</f>
        <v>0</v>
      </c>
    </row>
    <row r="133" customFormat="false" ht="18" hidden="false" customHeight="true" outlineLevel="0" collapsed="false">
      <c r="A133" s="39"/>
      <c r="B133" s="41"/>
      <c r="C133" s="40"/>
      <c r="D133" s="40"/>
      <c r="E133" s="40"/>
      <c r="F133" s="42"/>
      <c r="G133" s="39"/>
      <c r="H133" s="40"/>
      <c r="I133" s="40"/>
      <c r="J133" s="40"/>
      <c r="K133" s="41"/>
      <c r="L133" s="39"/>
      <c r="M133" s="48" t="str">
        <f aca="false">IF($E133="","",IFERROR(INDEX(Parâmetros!$C$15:$C$20,MATCH($P133,Parâmetros!$B$15:$B$20,0)),""))</f>
        <v/>
      </c>
      <c r="N133" s="46" t="str">
        <f aca="false">IF($E133="","",IF($P133="","",IF($P133&gt;=8,"Alta",IF($P133&gt;=5,"Média","Baixa"))))</f>
        <v/>
      </c>
      <c r="O133" s="46" t="str">
        <f aca="false">IF($E133="","",IF(AND(Parâmetros!$C$5&gt;0,$P133&lt;&gt;"",$P133&gt;=Parâmetros!$C$5),"Sim","Não"))</f>
        <v/>
      </c>
      <c r="P133" s="45" t="str">
        <f aca="false">IF($E133="","",IF($G133="","",IF($G133="NOK",$F133,0)))</f>
        <v/>
      </c>
      <c r="Q133" s="46" t="str">
        <f aca="false">IF($E133="","",IF($O133&lt;&gt;"Sim","",COUNTIF($O$3:$O133,"Sim")))</f>
        <v/>
      </c>
      <c r="R133" s="47" t="n">
        <f aca="false">IF($P133="",0,$P133)</f>
        <v>0</v>
      </c>
    </row>
    <row r="134" customFormat="false" ht="18" hidden="false" customHeight="true" outlineLevel="0" collapsed="false">
      <c r="A134" s="39"/>
      <c r="B134" s="41"/>
      <c r="C134" s="40"/>
      <c r="D134" s="40"/>
      <c r="E134" s="40"/>
      <c r="F134" s="42"/>
      <c r="G134" s="39"/>
      <c r="H134" s="40"/>
      <c r="I134" s="40"/>
      <c r="J134" s="40"/>
      <c r="K134" s="41"/>
      <c r="L134" s="39"/>
      <c r="M134" s="48" t="str">
        <f aca="false">IF($E134="","",IFERROR(INDEX(Parâmetros!$C$15:$C$20,MATCH($P134,Parâmetros!$B$15:$B$20,0)),""))</f>
        <v/>
      </c>
      <c r="N134" s="46" t="str">
        <f aca="false">IF($E134="","",IF($P134="","",IF($P134&gt;=8,"Alta",IF($P134&gt;=5,"Média","Baixa"))))</f>
        <v/>
      </c>
      <c r="O134" s="46" t="str">
        <f aca="false">IF($E134="","",IF(AND(Parâmetros!$C$5&gt;0,$P134&lt;&gt;"",$P134&gt;=Parâmetros!$C$5),"Sim","Não"))</f>
        <v/>
      </c>
      <c r="P134" s="45" t="str">
        <f aca="false">IF($E134="","",IF($G134="","",IF($G134="NOK",$F134,0)))</f>
        <v/>
      </c>
      <c r="Q134" s="46" t="str">
        <f aca="false">IF($E134="","",IF($O134&lt;&gt;"Sim","",COUNTIF($O$3:$O134,"Sim")))</f>
        <v/>
      </c>
      <c r="R134" s="47" t="n">
        <f aca="false">IF($P134="",0,$P134)</f>
        <v>0</v>
      </c>
    </row>
    <row r="135" customFormat="false" ht="18" hidden="false" customHeight="true" outlineLevel="0" collapsed="false">
      <c r="A135" s="39"/>
      <c r="B135" s="41"/>
      <c r="C135" s="40"/>
      <c r="D135" s="40"/>
      <c r="E135" s="40"/>
      <c r="F135" s="42"/>
      <c r="G135" s="39"/>
      <c r="H135" s="40"/>
      <c r="I135" s="40"/>
      <c r="J135" s="40"/>
      <c r="K135" s="41"/>
      <c r="L135" s="39"/>
      <c r="M135" s="48" t="str">
        <f aca="false">IF($E135="","",IFERROR(INDEX(Parâmetros!$C$15:$C$20,MATCH($P135,Parâmetros!$B$15:$B$20,0)),""))</f>
        <v/>
      </c>
      <c r="N135" s="46" t="str">
        <f aca="false">IF($E135="","",IF($P135="","",IF($P135&gt;=8,"Alta",IF($P135&gt;=5,"Média","Baixa"))))</f>
        <v/>
      </c>
      <c r="O135" s="46" t="str">
        <f aca="false">IF($E135="","",IF(AND(Parâmetros!$C$5&gt;0,$P135&lt;&gt;"",$P135&gt;=Parâmetros!$C$5),"Sim","Não"))</f>
        <v/>
      </c>
      <c r="P135" s="45" t="str">
        <f aca="false">IF($E135="","",IF($G135="","",IF($G135="NOK",$F135,0)))</f>
        <v/>
      </c>
      <c r="Q135" s="46" t="str">
        <f aca="false">IF($E135="","",IF($O135&lt;&gt;"Sim","",COUNTIF($O$3:$O135,"Sim")))</f>
        <v/>
      </c>
      <c r="R135" s="47" t="n">
        <f aca="false">IF($P135="",0,$P135)</f>
        <v>0</v>
      </c>
    </row>
    <row r="136" customFormat="false" ht="18" hidden="false" customHeight="true" outlineLevel="0" collapsed="false">
      <c r="A136" s="39"/>
      <c r="B136" s="41"/>
      <c r="C136" s="40"/>
      <c r="D136" s="40"/>
      <c r="E136" s="40"/>
      <c r="F136" s="42"/>
      <c r="G136" s="39"/>
      <c r="H136" s="40"/>
      <c r="I136" s="40"/>
      <c r="J136" s="40"/>
      <c r="K136" s="41"/>
      <c r="L136" s="39"/>
      <c r="M136" s="48" t="str">
        <f aca="false">IF($E136="","",IFERROR(INDEX(Parâmetros!$C$15:$C$20,MATCH($P136,Parâmetros!$B$15:$B$20,0)),""))</f>
        <v/>
      </c>
      <c r="N136" s="46" t="str">
        <f aca="false">IF($E136="","",IF($P136="","",IF($P136&gt;=8,"Alta",IF($P136&gt;=5,"Média","Baixa"))))</f>
        <v/>
      </c>
      <c r="O136" s="46" t="str">
        <f aca="false">IF($E136="","",IF(AND(Parâmetros!$C$5&gt;0,$P136&lt;&gt;"",$P136&gt;=Parâmetros!$C$5),"Sim","Não"))</f>
        <v/>
      </c>
      <c r="P136" s="45" t="str">
        <f aca="false">IF($E136="","",IF($G136="","",IF($G136="NOK",$F136,0)))</f>
        <v/>
      </c>
      <c r="Q136" s="46" t="str">
        <f aca="false">IF($E136="","",IF($O136&lt;&gt;"Sim","",COUNTIF($O$3:$O136,"Sim")))</f>
        <v/>
      </c>
      <c r="R136" s="47" t="n">
        <f aca="false">IF($P136="",0,$P136)</f>
        <v>0</v>
      </c>
    </row>
    <row r="137" customFormat="false" ht="18" hidden="false" customHeight="true" outlineLevel="0" collapsed="false">
      <c r="A137" s="39"/>
      <c r="B137" s="41"/>
      <c r="C137" s="40"/>
      <c r="D137" s="40"/>
      <c r="E137" s="40"/>
      <c r="F137" s="42"/>
      <c r="G137" s="39"/>
      <c r="H137" s="40"/>
      <c r="I137" s="40"/>
      <c r="J137" s="40"/>
      <c r="K137" s="41"/>
      <c r="L137" s="39"/>
      <c r="M137" s="48" t="str">
        <f aca="false">IF($E137="","",IFERROR(INDEX(Parâmetros!$C$15:$C$20,MATCH($P137,Parâmetros!$B$15:$B$20,0)),""))</f>
        <v/>
      </c>
      <c r="N137" s="46" t="str">
        <f aca="false">IF($E137="","",IF($P137="","",IF($P137&gt;=8,"Alta",IF($P137&gt;=5,"Média","Baixa"))))</f>
        <v/>
      </c>
      <c r="O137" s="46" t="str">
        <f aca="false">IF($E137="","",IF(AND(Parâmetros!$C$5&gt;0,$P137&lt;&gt;"",$P137&gt;=Parâmetros!$C$5),"Sim","Não"))</f>
        <v/>
      </c>
      <c r="P137" s="45" t="str">
        <f aca="false">IF($E137="","",IF($G137="","",IF($G137="NOK",$F137,0)))</f>
        <v/>
      </c>
      <c r="Q137" s="46" t="str">
        <f aca="false">IF($E137="","",IF($O137&lt;&gt;"Sim","",COUNTIF($O$3:$O137,"Sim")))</f>
        <v/>
      </c>
      <c r="R137" s="47" t="n">
        <f aca="false">IF($P137="",0,$P137)</f>
        <v>0</v>
      </c>
    </row>
    <row r="138" customFormat="false" ht="18" hidden="false" customHeight="true" outlineLevel="0" collapsed="false">
      <c r="A138" s="39"/>
      <c r="B138" s="41"/>
      <c r="C138" s="40"/>
      <c r="D138" s="40"/>
      <c r="E138" s="40"/>
      <c r="F138" s="42"/>
      <c r="G138" s="39"/>
      <c r="H138" s="40"/>
      <c r="I138" s="40"/>
      <c r="J138" s="40"/>
      <c r="K138" s="41"/>
      <c r="L138" s="39"/>
      <c r="M138" s="48" t="str">
        <f aca="false">IF($E138="","",IFERROR(INDEX(Parâmetros!$C$15:$C$20,MATCH($P138,Parâmetros!$B$15:$B$20,0)),""))</f>
        <v/>
      </c>
      <c r="N138" s="46" t="str">
        <f aca="false">IF($E138="","",IF($P138="","",IF($P138&gt;=8,"Alta",IF($P138&gt;=5,"Média","Baixa"))))</f>
        <v/>
      </c>
      <c r="O138" s="46" t="str">
        <f aca="false">IF($E138="","",IF(AND(Parâmetros!$C$5&gt;0,$P138&lt;&gt;"",$P138&gt;=Parâmetros!$C$5),"Sim","Não"))</f>
        <v/>
      </c>
      <c r="P138" s="45" t="str">
        <f aca="false">IF($E138="","",IF($G138="","",IF($G138="NOK",$F138,0)))</f>
        <v/>
      </c>
      <c r="Q138" s="46" t="str">
        <f aca="false">IF($E138="","",IF($O138&lt;&gt;"Sim","",COUNTIF($O$3:$O138,"Sim")))</f>
        <v/>
      </c>
      <c r="R138" s="47" t="n">
        <f aca="false">IF($P138="",0,$P138)</f>
        <v>0</v>
      </c>
    </row>
    <row r="139" customFormat="false" ht="18" hidden="false" customHeight="true" outlineLevel="0" collapsed="false">
      <c r="A139" s="39"/>
      <c r="B139" s="41"/>
      <c r="C139" s="40"/>
      <c r="D139" s="40"/>
      <c r="E139" s="40"/>
      <c r="F139" s="42"/>
      <c r="G139" s="39"/>
      <c r="H139" s="40"/>
      <c r="I139" s="40"/>
      <c r="J139" s="40"/>
      <c r="K139" s="41"/>
      <c r="L139" s="39"/>
      <c r="M139" s="48" t="str">
        <f aca="false">IF($E139="","",IFERROR(INDEX(Parâmetros!$C$15:$C$20,MATCH($P139,Parâmetros!$B$15:$B$20,0)),""))</f>
        <v/>
      </c>
      <c r="N139" s="46" t="str">
        <f aca="false">IF($E139="","",IF($P139="","",IF($P139&gt;=8,"Alta",IF($P139&gt;=5,"Média","Baixa"))))</f>
        <v/>
      </c>
      <c r="O139" s="46" t="str">
        <f aca="false">IF($E139="","",IF(AND(Parâmetros!$C$5&gt;0,$P139&lt;&gt;"",$P139&gt;=Parâmetros!$C$5),"Sim","Não"))</f>
        <v/>
      </c>
      <c r="P139" s="45" t="str">
        <f aca="false">IF($E139="","",IF($G139="","",IF($G139="NOK",$F139,0)))</f>
        <v/>
      </c>
      <c r="Q139" s="46" t="str">
        <f aca="false">IF($E139="","",IF($O139&lt;&gt;"Sim","",COUNTIF($O$3:$O139,"Sim")))</f>
        <v/>
      </c>
      <c r="R139" s="47" t="n">
        <f aca="false">IF($P139="",0,$P139)</f>
        <v>0</v>
      </c>
    </row>
    <row r="140" customFormat="false" ht="18" hidden="false" customHeight="true" outlineLevel="0" collapsed="false">
      <c r="A140" s="39"/>
      <c r="B140" s="41"/>
      <c r="C140" s="40"/>
      <c r="D140" s="40"/>
      <c r="E140" s="40"/>
      <c r="F140" s="42"/>
      <c r="G140" s="39"/>
      <c r="H140" s="40"/>
      <c r="I140" s="40"/>
      <c r="J140" s="40"/>
      <c r="K140" s="41"/>
      <c r="L140" s="39"/>
      <c r="M140" s="48" t="str">
        <f aca="false">IF($E140="","",IFERROR(INDEX(Parâmetros!$C$15:$C$20,MATCH($P140,Parâmetros!$B$15:$B$20,0)),""))</f>
        <v/>
      </c>
      <c r="N140" s="46" t="str">
        <f aca="false">IF($E140="","",IF($P140="","",IF($P140&gt;=8,"Alta",IF($P140&gt;=5,"Média","Baixa"))))</f>
        <v/>
      </c>
      <c r="O140" s="46" t="str">
        <f aca="false">IF($E140="","",IF(AND(Parâmetros!$C$5&gt;0,$P140&lt;&gt;"",$P140&gt;=Parâmetros!$C$5),"Sim","Não"))</f>
        <v/>
      </c>
      <c r="P140" s="45" t="str">
        <f aca="false">IF($E140="","",IF($G140="","",IF($G140="NOK",$F140,0)))</f>
        <v/>
      </c>
      <c r="Q140" s="46" t="str">
        <f aca="false">IF($E140="","",IF($O140&lt;&gt;"Sim","",COUNTIF($O$3:$O140,"Sim")))</f>
        <v/>
      </c>
      <c r="R140" s="47" t="n">
        <f aca="false">IF($P140="",0,$P140)</f>
        <v>0</v>
      </c>
    </row>
    <row r="141" customFormat="false" ht="18" hidden="false" customHeight="true" outlineLevel="0" collapsed="false">
      <c r="A141" s="39"/>
      <c r="B141" s="41"/>
      <c r="C141" s="40"/>
      <c r="D141" s="40"/>
      <c r="E141" s="40"/>
      <c r="F141" s="42"/>
      <c r="G141" s="39"/>
      <c r="H141" s="40"/>
      <c r="I141" s="40"/>
      <c r="J141" s="40"/>
      <c r="K141" s="41"/>
      <c r="L141" s="39"/>
      <c r="M141" s="48" t="str">
        <f aca="false">IF($E141="","",IFERROR(INDEX(Parâmetros!$C$15:$C$20,MATCH($P141,Parâmetros!$B$15:$B$20,0)),""))</f>
        <v/>
      </c>
      <c r="N141" s="46" t="str">
        <f aca="false">IF($E141="","",IF($P141="","",IF($P141&gt;=8,"Alta",IF($P141&gt;=5,"Média","Baixa"))))</f>
        <v/>
      </c>
      <c r="O141" s="46" t="str">
        <f aca="false">IF($E141="","",IF(AND(Parâmetros!$C$5&gt;0,$P141&lt;&gt;"",$P141&gt;=Parâmetros!$C$5),"Sim","Não"))</f>
        <v/>
      </c>
      <c r="P141" s="45" t="str">
        <f aca="false">IF($E141="","",IF($G141="","",IF($G141="NOK",$F141,0)))</f>
        <v/>
      </c>
      <c r="Q141" s="46" t="str">
        <f aca="false">IF($E141="","",IF($O141&lt;&gt;"Sim","",COUNTIF($O$3:$O141,"Sim")))</f>
        <v/>
      </c>
      <c r="R141" s="47" t="n">
        <f aca="false">IF($P141="",0,$P141)</f>
        <v>0</v>
      </c>
    </row>
    <row r="142" customFormat="false" ht="18" hidden="false" customHeight="true" outlineLevel="0" collapsed="false">
      <c r="A142" s="39"/>
      <c r="B142" s="41"/>
      <c r="C142" s="40"/>
      <c r="D142" s="40"/>
      <c r="E142" s="40"/>
      <c r="F142" s="42"/>
      <c r="G142" s="39"/>
      <c r="H142" s="40"/>
      <c r="I142" s="40"/>
      <c r="J142" s="40"/>
      <c r="K142" s="41"/>
      <c r="L142" s="39"/>
      <c r="M142" s="48" t="str">
        <f aca="false">IF($E142="","",IFERROR(INDEX(Parâmetros!$C$15:$C$20,MATCH($P142,Parâmetros!$B$15:$B$20,0)),""))</f>
        <v/>
      </c>
      <c r="N142" s="46" t="str">
        <f aca="false">IF($E142="","",IF($P142="","",IF($P142&gt;=8,"Alta",IF($P142&gt;=5,"Média","Baixa"))))</f>
        <v/>
      </c>
      <c r="O142" s="46" t="str">
        <f aca="false">IF($E142="","",IF(AND(Parâmetros!$C$5&gt;0,$P142&lt;&gt;"",$P142&gt;=Parâmetros!$C$5),"Sim","Não"))</f>
        <v/>
      </c>
      <c r="P142" s="45" t="str">
        <f aca="false">IF($E142="","",IF($G142="","",IF($G142="NOK",$F142,0)))</f>
        <v/>
      </c>
      <c r="Q142" s="46" t="str">
        <f aca="false">IF($E142="","",IF($O142&lt;&gt;"Sim","",COUNTIF($O$3:$O142,"Sim")))</f>
        <v/>
      </c>
      <c r="R142" s="47" t="n">
        <f aca="false">IF($P142="",0,$P142)</f>
        <v>0</v>
      </c>
    </row>
    <row r="143" customFormat="false" ht="18" hidden="false" customHeight="true" outlineLevel="0" collapsed="false">
      <c r="A143" s="39"/>
      <c r="B143" s="41"/>
      <c r="C143" s="40"/>
      <c r="D143" s="40"/>
      <c r="E143" s="40"/>
      <c r="F143" s="42"/>
      <c r="G143" s="39"/>
      <c r="H143" s="40"/>
      <c r="I143" s="40"/>
      <c r="J143" s="40"/>
      <c r="K143" s="41"/>
      <c r="L143" s="39"/>
      <c r="M143" s="48" t="str">
        <f aca="false">IF($E143="","",IFERROR(INDEX(Parâmetros!$C$15:$C$20,MATCH($P143,Parâmetros!$B$15:$B$20,0)),""))</f>
        <v/>
      </c>
      <c r="N143" s="46" t="str">
        <f aca="false">IF($E143="","",IF($P143="","",IF($P143&gt;=8,"Alta",IF($P143&gt;=5,"Média","Baixa"))))</f>
        <v/>
      </c>
      <c r="O143" s="46" t="str">
        <f aca="false">IF($E143="","",IF(AND(Parâmetros!$C$5&gt;0,$P143&lt;&gt;"",$P143&gt;=Parâmetros!$C$5),"Sim","Não"))</f>
        <v/>
      </c>
      <c r="P143" s="45" t="str">
        <f aca="false">IF($E143="","",IF($G143="","",IF($G143="NOK",$F143,0)))</f>
        <v/>
      </c>
      <c r="Q143" s="46" t="str">
        <f aca="false">IF($E143="","",IF($O143&lt;&gt;"Sim","",COUNTIF($O$3:$O143,"Sim")))</f>
        <v/>
      </c>
      <c r="R143" s="47" t="n">
        <f aca="false">IF($P143="",0,$P143)</f>
        <v>0</v>
      </c>
    </row>
    <row r="144" customFormat="false" ht="18" hidden="false" customHeight="true" outlineLevel="0" collapsed="false">
      <c r="A144" s="39"/>
      <c r="B144" s="41"/>
      <c r="C144" s="40"/>
      <c r="D144" s="40"/>
      <c r="E144" s="40"/>
      <c r="F144" s="42"/>
      <c r="G144" s="39"/>
      <c r="H144" s="40"/>
      <c r="I144" s="40"/>
      <c r="J144" s="40"/>
      <c r="K144" s="41"/>
      <c r="L144" s="39"/>
      <c r="M144" s="48" t="str">
        <f aca="false">IF($E144="","",IFERROR(INDEX(Parâmetros!$C$15:$C$20,MATCH($P144,Parâmetros!$B$15:$B$20,0)),""))</f>
        <v/>
      </c>
      <c r="N144" s="46" t="str">
        <f aca="false">IF($E144="","",IF($P144="","",IF($P144&gt;=8,"Alta",IF($P144&gt;=5,"Média","Baixa"))))</f>
        <v/>
      </c>
      <c r="O144" s="46" t="str">
        <f aca="false">IF($E144="","",IF(AND(Parâmetros!$C$5&gt;0,$P144&lt;&gt;"",$P144&gt;=Parâmetros!$C$5),"Sim","Não"))</f>
        <v/>
      </c>
      <c r="P144" s="45" t="str">
        <f aca="false">IF($E144="","",IF($G144="","",IF($G144="NOK",$F144,0)))</f>
        <v/>
      </c>
      <c r="Q144" s="46" t="str">
        <f aca="false">IF($E144="","",IF($O144&lt;&gt;"Sim","",COUNTIF($O$3:$O144,"Sim")))</f>
        <v/>
      </c>
      <c r="R144" s="47" t="n">
        <f aca="false">IF($P144="",0,$P144)</f>
        <v>0</v>
      </c>
    </row>
    <row r="145" customFormat="false" ht="18" hidden="false" customHeight="true" outlineLevel="0" collapsed="false">
      <c r="A145" s="39"/>
      <c r="B145" s="41"/>
      <c r="C145" s="40"/>
      <c r="D145" s="40"/>
      <c r="E145" s="40"/>
      <c r="F145" s="42"/>
      <c r="G145" s="39"/>
      <c r="H145" s="40"/>
      <c r="I145" s="40"/>
      <c r="J145" s="40"/>
      <c r="K145" s="41"/>
      <c r="L145" s="39"/>
      <c r="M145" s="48" t="str">
        <f aca="false">IF($E145="","",IFERROR(INDEX(Parâmetros!$C$15:$C$20,MATCH($P145,Parâmetros!$B$15:$B$20,0)),""))</f>
        <v/>
      </c>
      <c r="N145" s="46" t="str">
        <f aca="false">IF($E145="","",IF($P145="","",IF($P145&gt;=8,"Alta",IF($P145&gt;=5,"Média","Baixa"))))</f>
        <v/>
      </c>
      <c r="O145" s="46" t="str">
        <f aca="false">IF($E145="","",IF(AND(Parâmetros!$C$5&gt;0,$P145&lt;&gt;"",$P145&gt;=Parâmetros!$C$5),"Sim","Não"))</f>
        <v/>
      </c>
      <c r="P145" s="45" t="str">
        <f aca="false">IF($E145="","",IF($G145="","",IF($G145="NOK",$F145,0)))</f>
        <v/>
      </c>
      <c r="Q145" s="46" t="str">
        <f aca="false">IF($E145="","",IF($O145&lt;&gt;"Sim","",COUNTIF($O$3:$O145,"Sim")))</f>
        <v/>
      </c>
      <c r="R145" s="47" t="n">
        <f aca="false">IF($P145="",0,$P145)</f>
        <v>0</v>
      </c>
    </row>
    <row r="146" customFormat="false" ht="18" hidden="false" customHeight="true" outlineLevel="0" collapsed="false">
      <c r="A146" s="39"/>
      <c r="B146" s="41"/>
      <c r="C146" s="40"/>
      <c r="D146" s="40"/>
      <c r="E146" s="40"/>
      <c r="F146" s="42"/>
      <c r="G146" s="39"/>
      <c r="H146" s="40"/>
      <c r="I146" s="40"/>
      <c r="J146" s="40"/>
      <c r="K146" s="41"/>
      <c r="L146" s="39"/>
      <c r="M146" s="48" t="str">
        <f aca="false">IF($E146="","",IFERROR(INDEX(Parâmetros!$C$15:$C$20,MATCH($P146,Parâmetros!$B$15:$B$20,0)),""))</f>
        <v/>
      </c>
      <c r="N146" s="46" t="str">
        <f aca="false">IF($E146="","",IF($P146="","",IF($P146&gt;=8,"Alta",IF($P146&gt;=5,"Média","Baixa"))))</f>
        <v/>
      </c>
      <c r="O146" s="46" t="str">
        <f aca="false">IF($E146="","",IF(AND(Parâmetros!$C$5&gt;0,$P146&lt;&gt;"",$P146&gt;=Parâmetros!$C$5),"Sim","Não"))</f>
        <v/>
      </c>
      <c r="P146" s="45" t="str">
        <f aca="false">IF($E146="","",IF($G146="","",IF($G146="NOK",$F146,0)))</f>
        <v/>
      </c>
      <c r="Q146" s="46" t="str">
        <f aca="false">IF($E146="","",IF($O146&lt;&gt;"Sim","",COUNTIF($O$3:$O146,"Sim")))</f>
        <v/>
      </c>
      <c r="R146" s="47" t="n">
        <f aca="false">IF($P146="",0,$P146)</f>
        <v>0</v>
      </c>
    </row>
    <row r="147" customFormat="false" ht="18" hidden="false" customHeight="true" outlineLevel="0" collapsed="false">
      <c r="A147" s="39"/>
      <c r="B147" s="41"/>
      <c r="C147" s="40"/>
      <c r="D147" s="40"/>
      <c r="E147" s="40"/>
      <c r="F147" s="42"/>
      <c r="G147" s="39"/>
      <c r="H147" s="40"/>
      <c r="I147" s="40"/>
      <c r="J147" s="40"/>
      <c r="K147" s="41"/>
      <c r="L147" s="39"/>
      <c r="M147" s="48" t="str">
        <f aca="false">IF($E147="","",IFERROR(INDEX(Parâmetros!$C$15:$C$20,MATCH($P147,Parâmetros!$B$15:$B$20,0)),""))</f>
        <v/>
      </c>
      <c r="N147" s="46" t="str">
        <f aca="false">IF($E147="","",IF($P147="","",IF($P147&gt;=8,"Alta",IF($P147&gt;=5,"Média","Baixa"))))</f>
        <v/>
      </c>
      <c r="O147" s="46" t="str">
        <f aca="false">IF($E147="","",IF(AND(Parâmetros!$C$5&gt;0,$P147&lt;&gt;"",$P147&gt;=Parâmetros!$C$5),"Sim","Não"))</f>
        <v/>
      </c>
      <c r="P147" s="45" t="str">
        <f aca="false">IF($E147="","",IF($G147="","",IF($G147="NOK",$F147,0)))</f>
        <v/>
      </c>
      <c r="Q147" s="46" t="str">
        <f aca="false">IF($E147="","",IF($O147&lt;&gt;"Sim","",COUNTIF($O$3:$O147,"Sim")))</f>
        <v/>
      </c>
      <c r="R147" s="47" t="n">
        <f aca="false">IF($P147="",0,$P147)</f>
        <v>0</v>
      </c>
    </row>
    <row r="148" customFormat="false" ht="18" hidden="false" customHeight="true" outlineLevel="0" collapsed="false">
      <c r="A148" s="39"/>
      <c r="B148" s="41"/>
      <c r="C148" s="40"/>
      <c r="D148" s="40"/>
      <c r="E148" s="40"/>
      <c r="F148" s="42"/>
      <c r="G148" s="39"/>
      <c r="H148" s="40"/>
      <c r="I148" s="40"/>
      <c r="J148" s="40"/>
      <c r="K148" s="41"/>
      <c r="L148" s="39"/>
      <c r="M148" s="48" t="str">
        <f aca="false">IF($E148="","",IFERROR(INDEX(Parâmetros!$C$15:$C$20,MATCH($P148,Parâmetros!$B$15:$B$20,0)),""))</f>
        <v/>
      </c>
      <c r="N148" s="46" t="str">
        <f aca="false">IF($E148="","",IF($P148="","",IF($P148&gt;=8,"Alta",IF($P148&gt;=5,"Média","Baixa"))))</f>
        <v/>
      </c>
      <c r="O148" s="46" t="str">
        <f aca="false">IF($E148="","",IF(AND(Parâmetros!$C$5&gt;0,$P148&lt;&gt;"",$P148&gt;=Parâmetros!$C$5),"Sim","Não"))</f>
        <v/>
      </c>
      <c r="P148" s="45" t="str">
        <f aca="false">IF($E148="","",IF($G148="","",IF($G148="NOK",$F148,0)))</f>
        <v/>
      </c>
      <c r="Q148" s="46" t="str">
        <f aca="false">IF($E148="","",IF($O148&lt;&gt;"Sim","",COUNTIF($O$3:$O148,"Sim")))</f>
        <v/>
      </c>
      <c r="R148" s="47" t="n">
        <f aca="false">IF($P148="",0,$P148)</f>
        <v>0</v>
      </c>
    </row>
    <row r="149" customFormat="false" ht="18" hidden="false" customHeight="true" outlineLevel="0" collapsed="false">
      <c r="A149" s="39"/>
      <c r="B149" s="41"/>
      <c r="C149" s="40"/>
      <c r="D149" s="40"/>
      <c r="E149" s="40"/>
      <c r="F149" s="42"/>
      <c r="G149" s="39"/>
      <c r="H149" s="40"/>
      <c r="I149" s="40"/>
      <c r="J149" s="40"/>
      <c r="K149" s="41"/>
      <c r="L149" s="39"/>
      <c r="M149" s="48" t="str">
        <f aca="false">IF($E149="","",IFERROR(INDEX(Parâmetros!$C$15:$C$20,MATCH($P149,Parâmetros!$B$15:$B$20,0)),""))</f>
        <v/>
      </c>
      <c r="N149" s="46" t="str">
        <f aca="false">IF($E149="","",IF($P149="","",IF($P149&gt;=8,"Alta",IF($P149&gt;=5,"Média","Baixa"))))</f>
        <v/>
      </c>
      <c r="O149" s="46" t="str">
        <f aca="false">IF($E149="","",IF(AND(Parâmetros!$C$5&gt;0,$P149&lt;&gt;"",$P149&gt;=Parâmetros!$C$5),"Sim","Não"))</f>
        <v/>
      </c>
      <c r="P149" s="45" t="str">
        <f aca="false">IF($E149="","",IF($G149="","",IF($G149="NOK",$F149,0)))</f>
        <v/>
      </c>
      <c r="Q149" s="46" t="str">
        <f aca="false">IF($E149="","",IF($O149&lt;&gt;"Sim","",COUNTIF($O$3:$O149,"Sim")))</f>
        <v/>
      </c>
      <c r="R149" s="47" t="n">
        <f aca="false">IF($P149="",0,$P149)</f>
        <v>0</v>
      </c>
    </row>
    <row r="150" customFormat="false" ht="18" hidden="false" customHeight="true" outlineLevel="0" collapsed="false">
      <c r="A150" s="39"/>
      <c r="B150" s="41"/>
      <c r="C150" s="40"/>
      <c r="D150" s="40"/>
      <c r="E150" s="40"/>
      <c r="F150" s="42"/>
      <c r="G150" s="39"/>
      <c r="H150" s="40"/>
      <c r="I150" s="40"/>
      <c r="J150" s="40"/>
      <c r="K150" s="41"/>
      <c r="L150" s="39"/>
      <c r="M150" s="48" t="str">
        <f aca="false">IF($E150="","",IFERROR(INDEX(Parâmetros!$C$15:$C$20,MATCH($P150,Parâmetros!$B$15:$B$20,0)),""))</f>
        <v/>
      </c>
      <c r="N150" s="46" t="str">
        <f aca="false">IF($E150="","",IF($P150="","",IF($P150&gt;=8,"Alta",IF($P150&gt;=5,"Média","Baixa"))))</f>
        <v/>
      </c>
      <c r="O150" s="46" t="str">
        <f aca="false">IF($E150="","",IF(AND(Parâmetros!$C$5&gt;0,$P150&lt;&gt;"",$P150&gt;=Parâmetros!$C$5),"Sim","Não"))</f>
        <v/>
      </c>
      <c r="P150" s="45" t="str">
        <f aca="false">IF($E150="","",IF($G150="","",IF($G150="NOK",$F150,0)))</f>
        <v/>
      </c>
      <c r="Q150" s="46" t="str">
        <f aca="false">IF($E150="","",IF($O150&lt;&gt;"Sim","",COUNTIF($O$3:$O150,"Sim")))</f>
        <v/>
      </c>
      <c r="R150" s="47" t="n">
        <f aca="false">IF($P150="",0,$P150)</f>
        <v>0</v>
      </c>
    </row>
    <row r="151" customFormat="false" ht="18" hidden="false" customHeight="true" outlineLevel="0" collapsed="false">
      <c r="A151" s="39"/>
      <c r="B151" s="41"/>
      <c r="C151" s="40"/>
      <c r="D151" s="40"/>
      <c r="E151" s="40"/>
      <c r="F151" s="42"/>
      <c r="G151" s="39"/>
      <c r="H151" s="40"/>
      <c r="I151" s="40"/>
      <c r="J151" s="40"/>
      <c r="K151" s="41"/>
      <c r="L151" s="39"/>
      <c r="M151" s="48" t="str">
        <f aca="false">IF($E151="","",IFERROR(INDEX(Parâmetros!$C$15:$C$20,MATCH($P151,Parâmetros!$B$15:$B$20,0)),""))</f>
        <v/>
      </c>
      <c r="N151" s="46" t="str">
        <f aca="false">IF($E151="","",IF($P151="","",IF($P151&gt;=8,"Alta",IF($P151&gt;=5,"Média","Baixa"))))</f>
        <v/>
      </c>
      <c r="O151" s="46" t="str">
        <f aca="false">IF($E151="","",IF(AND(Parâmetros!$C$5&gt;0,$P151&lt;&gt;"",$P151&gt;=Parâmetros!$C$5),"Sim","Não"))</f>
        <v/>
      </c>
      <c r="P151" s="45" t="str">
        <f aca="false">IF($E151="","",IF($G151="","",IF($G151="NOK",$F151,0)))</f>
        <v/>
      </c>
      <c r="Q151" s="46" t="str">
        <f aca="false">IF($E151="","",IF($O151&lt;&gt;"Sim","",COUNTIF($O$3:$O151,"Sim")))</f>
        <v/>
      </c>
      <c r="R151" s="47" t="n">
        <f aca="false">IF($P151="",0,$P151)</f>
        <v>0</v>
      </c>
    </row>
    <row r="152" customFormat="false" ht="18" hidden="false" customHeight="true" outlineLevel="0" collapsed="false">
      <c r="A152" s="39"/>
      <c r="B152" s="41"/>
      <c r="C152" s="40"/>
      <c r="D152" s="40"/>
      <c r="E152" s="40"/>
      <c r="F152" s="42"/>
      <c r="G152" s="39"/>
      <c r="H152" s="40"/>
      <c r="I152" s="40"/>
      <c r="J152" s="40"/>
      <c r="K152" s="41"/>
      <c r="L152" s="39"/>
      <c r="M152" s="48" t="str">
        <f aca="false">IF($E152="","",IFERROR(INDEX(Parâmetros!$C$15:$C$20,MATCH($P152,Parâmetros!$B$15:$B$20,0)),""))</f>
        <v/>
      </c>
      <c r="N152" s="46" t="str">
        <f aca="false">IF($E152="","",IF($P152="","",IF($P152&gt;=8,"Alta",IF($P152&gt;=5,"Média","Baixa"))))</f>
        <v/>
      </c>
      <c r="O152" s="46" t="str">
        <f aca="false">IF($E152="","",IF(AND(Parâmetros!$C$5&gt;0,$P152&lt;&gt;"",$P152&gt;=Parâmetros!$C$5),"Sim","Não"))</f>
        <v/>
      </c>
      <c r="P152" s="45" t="str">
        <f aca="false">IF($E152="","",IF($G152="","",IF($G152="NOK",$F152,0)))</f>
        <v/>
      </c>
      <c r="Q152" s="46" t="str">
        <f aca="false">IF($E152="","",IF($O152&lt;&gt;"Sim","",COUNTIF($O$3:$O152,"Sim")))</f>
        <v/>
      </c>
      <c r="R152" s="47" t="n">
        <f aca="false">IF($P152="",0,$P152)</f>
        <v>0</v>
      </c>
    </row>
    <row r="153" customFormat="false" ht="18" hidden="false" customHeight="true" outlineLevel="0" collapsed="false">
      <c r="A153" s="39"/>
      <c r="B153" s="41"/>
      <c r="C153" s="40"/>
      <c r="D153" s="40"/>
      <c r="E153" s="40"/>
      <c r="F153" s="42"/>
      <c r="G153" s="39"/>
      <c r="H153" s="40"/>
      <c r="I153" s="40"/>
      <c r="J153" s="40"/>
      <c r="K153" s="41"/>
      <c r="L153" s="39"/>
      <c r="M153" s="48" t="str">
        <f aca="false">IF($E153="","",IFERROR(INDEX(Parâmetros!$C$15:$C$20,MATCH($P153,Parâmetros!$B$15:$B$20,0)),""))</f>
        <v/>
      </c>
      <c r="N153" s="46" t="str">
        <f aca="false">IF($E153="","",IF($P153="","",IF($P153&gt;=8,"Alta",IF($P153&gt;=5,"Média","Baixa"))))</f>
        <v/>
      </c>
      <c r="O153" s="46" t="str">
        <f aca="false">IF($E153="","",IF(AND(Parâmetros!$C$5&gt;0,$P153&lt;&gt;"",$P153&gt;=Parâmetros!$C$5),"Sim","Não"))</f>
        <v/>
      </c>
      <c r="P153" s="45" t="str">
        <f aca="false">IF($E153="","",IF($G153="","",IF($G153="NOK",$F153,0)))</f>
        <v/>
      </c>
      <c r="Q153" s="46" t="str">
        <f aca="false">IF($E153="","",IF($O153&lt;&gt;"Sim","",COUNTIF($O$3:$O153,"Sim")))</f>
        <v/>
      </c>
      <c r="R153" s="47" t="n">
        <f aca="false">IF($P153="",0,$P153)</f>
        <v>0</v>
      </c>
    </row>
    <row r="154" customFormat="false" ht="18" hidden="false" customHeight="true" outlineLevel="0" collapsed="false">
      <c r="A154" s="39"/>
      <c r="B154" s="41"/>
      <c r="C154" s="40"/>
      <c r="D154" s="40"/>
      <c r="E154" s="40"/>
      <c r="F154" s="42"/>
      <c r="G154" s="39"/>
      <c r="H154" s="40"/>
      <c r="I154" s="40"/>
      <c r="J154" s="40"/>
      <c r="K154" s="41"/>
      <c r="L154" s="39"/>
      <c r="M154" s="48" t="str">
        <f aca="false">IF($E154="","",IFERROR(INDEX(Parâmetros!$C$15:$C$20,MATCH($P154,Parâmetros!$B$15:$B$20,0)),""))</f>
        <v/>
      </c>
      <c r="N154" s="46" t="str">
        <f aca="false">IF($E154="","",IF($P154="","",IF($P154&gt;=8,"Alta",IF($P154&gt;=5,"Média","Baixa"))))</f>
        <v/>
      </c>
      <c r="O154" s="46" t="str">
        <f aca="false">IF($E154="","",IF(AND(Parâmetros!$C$5&gt;0,$P154&lt;&gt;"",$P154&gt;=Parâmetros!$C$5),"Sim","Não"))</f>
        <v/>
      </c>
      <c r="P154" s="45" t="str">
        <f aca="false">IF($E154="","",IF($G154="","",IF($G154="NOK",$F154,0)))</f>
        <v/>
      </c>
      <c r="Q154" s="46" t="str">
        <f aca="false">IF($E154="","",IF($O154&lt;&gt;"Sim","",COUNTIF($O$3:$O154,"Sim")))</f>
        <v/>
      </c>
      <c r="R154" s="47" t="n">
        <f aca="false">IF($P154="",0,$P154)</f>
        <v>0</v>
      </c>
    </row>
    <row r="155" customFormat="false" ht="18" hidden="false" customHeight="true" outlineLevel="0" collapsed="false">
      <c r="A155" s="39"/>
      <c r="B155" s="41"/>
      <c r="C155" s="40"/>
      <c r="D155" s="40"/>
      <c r="E155" s="40"/>
      <c r="F155" s="42"/>
      <c r="G155" s="39"/>
      <c r="H155" s="40"/>
      <c r="I155" s="40"/>
      <c r="J155" s="40"/>
      <c r="K155" s="41"/>
      <c r="L155" s="39"/>
      <c r="M155" s="48" t="str">
        <f aca="false">IF($E155="","",IFERROR(INDEX(Parâmetros!$C$15:$C$20,MATCH($P155,Parâmetros!$B$15:$B$20,0)),""))</f>
        <v/>
      </c>
      <c r="N155" s="46" t="str">
        <f aca="false">IF($E155="","",IF($P155="","",IF($P155&gt;=8,"Alta",IF($P155&gt;=5,"Média","Baixa"))))</f>
        <v/>
      </c>
      <c r="O155" s="46" t="str">
        <f aca="false">IF($E155="","",IF(AND(Parâmetros!$C$5&gt;0,$P155&lt;&gt;"",$P155&gt;=Parâmetros!$C$5),"Sim","Não"))</f>
        <v/>
      </c>
      <c r="P155" s="45" t="str">
        <f aca="false">IF($E155="","",IF($G155="","",IF($G155="NOK",$F155,0)))</f>
        <v/>
      </c>
      <c r="Q155" s="46" t="str">
        <f aca="false">IF($E155="","",IF($O155&lt;&gt;"Sim","",COUNTIF($O$3:$O155,"Sim")))</f>
        <v/>
      </c>
      <c r="R155" s="47" t="n">
        <f aca="false">IF($P155="",0,$P155)</f>
        <v>0</v>
      </c>
    </row>
    <row r="156" customFormat="false" ht="18" hidden="false" customHeight="true" outlineLevel="0" collapsed="false">
      <c r="A156" s="39"/>
      <c r="B156" s="41"/>
      <c r="C156" s="40"/>
      <c r="D156" s="40"/>
      <c r="E156" s="40"/>
      <c r="F156" s="42"/>
      <c r="G156" s="39"/>
      <c r="H156" s="40"/>
      <c r="I156" s="40"/>
      <c r="J156" s="40"/>
      <c r="K156" s="41"/>
      <c r="L156" s="39"/>
      <c r="M156" s="48" t="str">
        <f aca="false">IF($E156="","",IFERROR(INDEX(Parâmetros!$C$15:$C$20,MATCH($P156,Parâmetros!$B$15:$B$20,0)),""))</f>
        <v/>
      </c>
      <c r="N156" s="46" t="str">
        <f aca="false">IF($E156="","",IF($P156="","",IF($P156&gt;=8,"Alta",IF($P156&gt;=5,"Média","Baixa"))))</f>
        <v/>
      </c>
      <c r="O156" s="46" t="str">
        <f aca="false">IF($E156="","",IF(AND(Parâmetros!$C$5&gt;0,$P156&lt;&gt;"",$P156&gt;=Parâmetros!$C$5),"Sim","Não"))</f>
        <v/>
      </c>
      <c r="P156" s="45" t="str">
        <f aca="false">IF($E156="","",IF($G156="","",IF($G156="NOK",$F156,0)))</f>
        <v/>
      </c>
      <c r="Q156" s="46" t="str">
        <f aca="false">IF($E156="","",IF($O156&lt;&gt;"Sim","",COUNTIF($O$3:$O156,"Sim")))</f>
        <v/>
      </c>
      <c r="R156" s="47" t="n">
        <f aca="false">IF($P156="",0,$P156)</f>
        <v>0</v>
      </c>
    </row>
    <row r="157" customFormat="false" ht="18" hidden="false" customHeight="true" outlineLevel="0" collapsed="false">
      <c r="A157" s="39"/>
      <c r="B157" s="41"/>
      <c r="C157" s="40"/>
      <c r="D157" s="40"/>
      <c r="E157" s="40"/>
      <c r="F157" s="42"/>
      <c r="G157" s="39"/>
      <c r="H157" s="40"/>
      <c r="I157" s="40"/>
      <c r="J157" s="40"/>
      <c r="K157" s="41"/>
      <c r="L157" s="39"/>
      <c r="M157" s="48" t="str">
        <f aca="false">IF($E157="","",IFERROR(INDEX(Parâmetros!$C$15:$C$20,MATCH($P157,Parâmetros!$B$15:$B$20,0)),""))</f>
        <v/>
      </c>
      <c r="N157" s="46" t="str">
        <f aca="false">IF($E157="","",IF($P157="","",IF($P157&gt;=8,"Alta",IF($P157&gt;=5,"Média","Baixa"))))</f>
        <v/>
      </c>
      <c r="O157" s="46" t="str">
        <f aca="false">IF($E157="","",IF(AND(Parâmetros!$C$5&gt;0,$P157&lt;&gt;"",$P157&gt;=Parâmetros!$C$5),"Sim","Não"))</f>
        <v/>
      </c>
      <c r="P157" s="45" t="str">
        <f aca="false">IF($E157="","",IF($G157="","",IF($G157="NOK",$F157,0)))</f>
        <v/>
      </c>
      <c r="Q157" s="46" t="str">
        <f aca="false">IF($E157="","",IF($O157&lt;&gt;"Sim","",COUNTIF($O$3:$O157,"Sim")))</f>
        <v/>
      </c>
      <c r="R157" s="47" t="n">
        <f aca="false">IF($P157="",0,$P157)</f>
        <v>0</v>
      </c>
    </row>
    <row r="158" customFormat="false" ht="18" hidden="false" customHeight="true" outlineLevel="0" collapsed="false">
      <c r="A158" s="39"/>
      <c r="B158" s="41"/>
      <c r="C158" s="40"/>
      <c r="D158" s="40"/>
      <c r="E158" s="40"/>
      <c r="F158" s="42"/>
      <c r="G158" s="39"/>
      <c r="H158" s="40"/>
      <c r="I158" s="40"/>
      <c r="J158" s="40"/>
      <c r="K158" s="41"/>
      <c r="L158" s="39"/>
      <c r="M158" s="48" t="str">
        <f aca="false">IF($E158="","",IFERROR(INDEX(Parâmetros!$C$15:$C$20,MATCH($P158,Parâmetros!$B$15:$B$20,0)),""))</f>
        <v/>
      </c>
      <c r="N158" s="46" t="str">
        <f aca="false">IF($E158="","",IF($P158="","",IF($P158&gt;=8,"Alta",IF($P158&gt;=5,"Média","Baixa"))))</f>
        <v/>
      </c>
      <c r="O158" s="46" t="str">
        <f aca="false">IF($E158="","",IF(AND(Parâmetros!$C$5&gt;0,$P158&lt;&gt;"",$P158&gt;=Parâmetros!$C$5),"Sim","Não"))</f>
        <v/>
      </c>
      <c r="P158" s="45" t="str">
        <f aca="false">IF($E158="","",IF($G158="","",IF($G158="NOK",$F158,0)))</f>
        <v/>
      </c>
      <c r="Q158" s="46" t="str">
        <f aca="false">IF($E158="","",IF($O158&lt;&gt;"Sim","",COUNTIF($O$3:$O158,"Sim")))</f>
        <v/>
      </c>
      <c r="R158" s="47" t="n">
        <f aca="false">IF($P158="",0,$P158)</f>
        <v>0</v>
      </c>
    </row>
    <row r="159" customFormat="false" ht="18" hidden="false" customHeight="true" outlineLevel="0" collapsed="false">
      <c r="A159" s="39"/>
      <c r="B159" s="41"/>
      <c r="C159" s="40"/>
      <c r="D159" s="40"/>
      <c r="E159" s="40"/>
      <c r="F159" s="42"/>
      <c r="G159" s="39"/>
      <c r="H159" s="40"/>
      <c r="I159" s="40"/>
      <c r="J159" s="40"/>
      <c r="K159" s="41"/>
      <c r="L159" s="39"/>
      <c r="M159" s="48" t="str">
        <f aca="false">IF($E159="","",IFERROR(INDEX(Parâmetros!$C$15:$C$20,MATCH($P159,Parâmetros!$B$15:$B$20,0)),""))</f>
        <v/>
      </c>
      <c r="N159" s="46" t="str">
        <f aca="false">IF($E159="","",IF($P159="","",IF($P159&gt;=8,"Alta",IF($P159&gt;=5,"Média","Baixa"))))</f>
        <v/>
      </c>
      <c r="O159" s="46" t="str">
        <f aca="false">IF($E159="","",IF(AND(Parâmetros!$C$5&gt;0,$P159&lt;&gt;"",$P159&gt;=Parâmetros!$C$5),"Sim","Não"))</f>
        <v/>
      </c>
      <c r="P159" s="45" t="str">
        <f aca="false">IF($E159="","",IF($G159="","",IF($G159="NOK",$F159,0)))</f>
        <v/>
      </c>
      <c r="Q159" s="46" t="str">
        <f aca="false">IF($E159="","",IF($O159&lt;&gt;"Sim","",COUNTIF($O$3:$O159,"Sim")))</f>
        <v/>
      </c>
      <c r="R159" s="47" t="n">
        <f aca="false">IF($P159="",0,$P159)</f>
        <v>0</v>
      </c>
    </row>
    <row r="160" customFormat="false" ht="18" hidden="false" customHeight="true" outlineLevel="0" collapsed="false">
      <c r="A160" s="39"/>
      <c r="B160" s="41"/>
      <c r="C160" s="40"/>
      <c r="D160" s="40"/>
      <c r="E160" s="40"/>
      <c r="F160" s="42"/>
      <c r="G160" s="39"/>
      <c r="H160" s="40"/>
      <c r="I160" s="40"/>
      <c r="J160" s="40"/>
      <c r="K160" s="41"/>
      <c r="L160" s="39"/>
      <c r="M160" s="48" t="str">
        <f aca="false">IF($E160="","",IFERROR(INDEX(Parâmetros!$C$15:$C$20,MATCH($P160,Parâmetros!$B$15:$B$20,0)),""))</f>
        <v/>
      </c>
      <c r="N160" s="46" t="str">
        <f aca="false">IF($E160="","",IF($P160="","",IF($P160&gt;=8,"Alta",IF($P160&gt;=5,"Média","Baixa"))))</f>
        <v/>
      </c>
      <c r="O160" s="46" t="str">
        <f aca="false">IF($E160="","",IF(AND(Parâmetros!$C$5&gt;0,$P160&lt;&gt;"",$P160&gt;=Parâmetros!$C$5),"Sim","Não"))</f>
        <v/>
      </c>
      <c r="P160" s="45" t="str">
        <f aca="false">IF($E160="","",IF($G160="","",IF($G160="NOK",$F160,0)))</f>
        <v/>
      </c>
      <c r="Q160" s="46" t="str">
        <f aca="false">IF($E160="","",IF($O160&lt;&gt;"Sim","",COUNTIF($O$3:$O160,"Sim")))</f>
        <v/>
      </c>
      <c r="R160" s="47" t="n">
        <f aca="false">IF($P160="",0,$P160)</f>
        <v>0</v>
      </c>
    </row>
    <row r="161" customFormat="false" ht="18" hidden="false" customHeight="true" outlineLevel="0" collapsed="false">
      <c r="A161" s="39"/>
      <c r="B161" s="41"/>
      <c r="C161" s="40"/>
      <c r="D161" s="40"/>
      <c r="E161" s="40"/>
      <c r="F161" s="42"/>
      <c r="G161" s="39"/>
      <c r="H161" s="40"/>
      <c r="I161" s="40"/>
      <c r="J161" s="40"/>
      <c r="K161" s="41"/>
      <c r="L161" s="39"/>
      <c r="M161" s="48" t="str">
        <f aca="false">IF($E161="","",IFERROR(INDEX(Parâmetros!$C$15:$C$20,MATCH($P161,Parâmetros!$B$15:$B$20,0)),""))</f>
        <v/>
      </c>
      <c r="N161" s="46" t="str">
        <f aca="false">IF($E161="","",IF($P161="","",IF($P161&gt;=8,"Alta",IF($P161&gt;=5,"Média","Baixa"))))</f>
        <v/>
      </c>
      <c r="O161" s="46" t="str">
        <f aca="false">IF($E161="","",IF(AND(Parâmetros!$C$5&gt;0,$P161&lt;&gt;"",$P161&gt;=Parâmetros!$C$5),"Sim","Não"))</f>
        <v/>
      </c>
      <c r="P161" s="45" t="str">
        <f aca="false">IF($E161="","",IF($G161="","",IF($G161="NOK",$F161,0)))</f>
        <v/>
      </c>
      <c r="Q161" s="46" t="str">
        <f aca="false">IF($E161="","",IF($O161&lt;&gt;"Sim","",COUNTIF($O$3:$O161,"Sim")))</f>
        <v/>
      </c>
      <c r="R161" s="47" t="n">
        <f aca="false">IF($P161="",0,$P161)</f>
        <v>0</v>
      </c>
    </row>
    <row r="162" customFormat="false" ht="18" hidden="false" customHeight="true" outlineLevel="0" collapsed="false">
      <c r="A162" s="39"/>
      <c r="B162" s="41"/>
      <c r="C162" s="40"/>
      <c r="D162" s="40"/>
      <c r="E162" s="40"/>
      <c r="F162" s="42"/>
      <c r="G162" s="39"/>
      <c r="H162" s="40"/>
      <c r="I162" s="40"/>
      <c r="J162" s="40"/>
      <c r="K162" s="41"/>
      <c r="L162" s="39"/>
      <c r="M162" s="48" t="str">
        <f aca="false">IF($E162="","",IFERROR(INDEX(Parâmetros!$C$15:$C$20,MATCH($P162,Parâmetros!$B$15:$B$20,0)),""))</f>
        <v/>
      </c>
      <c r="N162" s="46" t="str">
        <f aca="false">IF($E162="","",IF($P162="","",IF($P162&gt;=8,"Alta",IF($P162&gt;=5,"Média","Baixa"))))</f>
        <v/>
      </c>
      <c r="O162" s="46" t="str">
        <f aca="false">IF($E162="","",IF(AND(Parâmetros!$C$5&gt;0,$P162&lt;&gt;"",$P162&gt;=Parâmetros!$C$5),"Sim","Não"))</f>
        <v/>
      </c>
      <c r="P162" s="45" t="str">
        <f aca="false">IF($E162="","",IF($G162="","",IF($G162="NOK",$F162,0)))</f>
        <v/>
      </c>
      <c r="Q162" s="46" t="str">
        <f aca="false">IF($E162="","",IF($O162&lt;&gt;"Sim","",COUNTIF($O$3:$O162,"Sim")))</f>
        <v/>
      </c>
      <c r="R162" s="47" t="n">
        <f aca="false">IF($P162="",0,$P162)</f>
        <v>0</v>
      </c>
    </row>
    <row r="163" customFormat="false" ht="18" hidden="false" customHeight="true" outlineLevel="0" collapsed="false">
      <c r="A163" s="39"/>
      <c r="B163" s="41"/>
      <c r="C163" s="40"/>
      <c r="D163" s="40"/>
      <c r="E163" s="40"/>
      <c r="F163" s="42"/>
      <c r="G163" s="39"/>
      <c r="H163" s="40"/>
      <c r="I163" s="40"/>
      <c r="J163" s="40"/>
      <c r="K163" s="41"/>
      <c r="L163" s="39"/>
      <c r="M163" s="48" t="str">
        <f aca="false">IF($E163="","",IFERROR(INDEX(Parâmetros!$C$15:$C$20,MATCH($P163,Parâmetros!$B$15:$B$20,0)),""))</f>
        <v/>
      </c>
      <c r="N163" s="46" t="str">
        <f aca="false">IF($E163="","",IF($P163="","",IF($P163&gt;=8,"Alta",IF($P163&gt;=5,"Média","Baixa"))))</f>
        <v/>
      </c>
      <c r="O163" s="46" t="str">
        <f aca="false">IF($E163="","",IF(AND(Parâmetros!$C$5&gt;0,$P163&lt;&gt;"",$P163&gt;=Parâmetros!$C$5),"Sim","Não"))</f>
        <v/>
      </c>
      <c r="P163" s="45" t="str">
        <f aca="false">IF($E163="","",IF($G163="","",IF($G163="NOK",$F163,0)))</f>
        <v/>
      </c>
      <c r="Q163" s="46" t="str">
        <f aca="false">IF($E163="","",IF($O163&lt;&gt;"Sim","",COUNTIF($O$3:$O163,"Sim")))</f>
        <v/>
      </c>
      <c r="R163" s="47" t="n">
        <f aca="false">IF($P163="",0,$P163)</f>
        <v>0</v>
      </c>
    </row>
    <row r="164" customFormat="false" ht="18" hidden="false" customHeight="true" outlineLevel="0" collapsed="false">
      <c r="A164" s="39"/>
      <c r="B164" s="41"/>
      <c r="C164" s="40"/>
      <c r="D164" s="40"/>
      <c r="E164" s="40"/>
      <c r="F164" s="42"/>
      <c r="G164" s="39"/>
      <c r="H164" s="40"/>
      <c r="I164" s="40"/>
      <c r="J164" s="40"/>
      <c r="K164" s="41"/>
      <c r="L164" s="39"/>
      <c r="M164" s="48" t="str">
        <f aca="false">IF($E164="","",IFERROR(INDEX(Parâmetros!$C$15:$C$20,MATCH($P164,Parâmetros!$B$15:$B$20,0)),""))</f>
        <v/>
      </c>
      <c r="N164" s="46" t="str">
        <f aca="false">IF($E164="","",IF($P164="","",IF($P164&gt;=8,"Alta",IF($P164&gt;=5,"Média","Baixa"))))</f>
        <v/>
      </c>
      <c r="O164" s="46" t="str">
        <f aca="false">IF($E164="","",IF(AND(Parâmetros!$C$5&gt;0,$P164&lt;&gt;"",$P164&gt;=Parâmetros!$C$5),"Sim","Não"))</f>
        <v/>
      </c>
      <c r="P164" s="45" t="str">
        <f aca="false">IF($E164="","",IF($G164="","",IF($G164="NOK",$F164,0)))</f>
        <v/>
      </c>
      <c r="Q164" s="46" t="str">
        <f aca="false">IF($E164="","",IF($O164&lt;&gt;"Sim","",COUNTIF($O$3:$O164,"Sim")))</f>
        <v/>
      </c>
      <c r="R164" s="47" t="n">
        <f aca="false">IF($P164="",0,$P164)</f>
        <v>0</v>
      </c>
    </row>
    <row r="165" customFormat="false" ht="18" hidden="false" customHeight="true" outlineLevel="0" collapsed="false">
      <c r="A165" s="39"/>
      <c r="B165" s="41"/>
      <c r="C165" s="40"/>
      <c r="D165" s="40"/>
      <c r="E165" s="40"/>
      <c r="F165" s="42"/>
      <c r="G165" s="39"/>
      <c r="H165" s="40"/>
      <c r="I165" s="40"/>
      <c r="J165" s="40"/>
      <c r="K165" s="41"/>
      <c r="L165" s="39"/>
      <c r="M165" s="48" t="str">
        <f aca="false">IF($E165="","",IFERROR(INDEX(Parâmetros!$C$15:$C$20,MATCH($P165,Parâmetros!$B$15:$B$20,0)),""))</f>
        <v/>
      </c>
      <c r="N165" s="46" t="str">
        <f aca="false">IF($E165="","",IF($P165="","",IF($P165&gt;=8,"Alta",IF($P165&gt;=5,"Média","Baixa"))))</f>
        <v/>
      </c>
      <c r="O165" s="46" t="str">
        <f aca="false">IF($E165="","",IF(AND(Parâmetros!$C$5&gt;0,$P165&lt;&gt;"",$P165&gt;=Parâmetros!$C$5),"Sim","Não"))</f>
        <v/>
      </c>
      <c r="P165" s="45" t="str">
        <f aca="false">IF($E165="","",IF($G165="","",IF($G165="NOK",$F165,0)))</f>
        <v/>
      </c>
      <c r="Q165" s="46" t="str">
        <f aca="false">IF($E165="","",IF($O165&lt;&gt;"Sim","",COUNTIF($O$3:$O165,"Sim")))</f>
        <v/>
      </c>
      <c r="R165" s="47" t="n">
        <f aca="false">IF($P165="",0,$P165)</f>
        <v>0</v>
      </c>
    </row>
    <row r="166" customFormat="false" ht="18" hidden="false" customHeight="true" outlineLevel="0" collapsed="false">
      <c r="A166" s="39"/>
      <c r="B166" s="41"/>
      <c r="C166" s="40"/>
      <c r="D166" s="40"/>
      <c r="E166" s="40"/>
      <c r="F166" s="42"/>
      <c r="G166" s="39"/>
      <c r="H166" s="40"/>
      <c r="I166" s="40"/>
      <c r="J166" s="40"/>
      <c r="K166" s="41"/>
      <c r="L166" s="39"/>
      <c r="M166" s="48" t="str">
        <f aca="false">IF($E166="","",IFERROR(INDEX(Parâmetros!$C$15:$C$20,MATCH($P166,Parâmetros!$B$15:$B$20,0)),""))</f>
        <v/>
      </c>
      <c r="N166" s="46" t="str">
        <f aca="false">IF($E166="","",IF($P166="","",IF($P166&gt;=8,"Alta",IF($P166&gt;=5,"Média","Baixa"))))</f>
        <v/>
      </c>
      <c r="O166" s="46" t="str">
        <f aca="false">IF($E166="","",IF(AND(Parâmetros!$C$5&gt;0,$P166&lt;&gt;"",$P166&gt;=Parâmetros!$C$5),"Sim","Não"))</f>
        <v/>
      </c>
      <c r="P166" s="45" t="str">
        <f aca="false">IF($E166="","",IF($G166="","",IF($G166="NOK",$F166,0)))</f>
        <v/>
      </c>
      <c r="Q166" s="46" t="str">
        <f aca="false">IF($E166="","",IF($O166&lt;&gt;"Sim","",COUNTIF($O$3:$O166,"Sim")))</f>
        <v/>
      </c>
      <c r="R166" s="47" t="n">
        <f aca="false">IF($P166="",0,$P166)</f>
        <v>0</v>
      </c>
    </row>
    <row r="167" customFormat="false" ht="18" hidden="false" customHeight="true" outlineLevel="0" collapsed="false">
      <c r="A167" s="39"/>
      <c r="B167" s="41"/>
      <c r="C167" s="40"/>
      <c r="D167" s="40"/>
      <c r="E167" s="40"/>
      <c r="F167" s="42"/>
      <c r="G167" s="39"/>
      <c r="H167" s="40"/>
      <c r="I167" s="40"/>
      <c r="J167" s="40"/>
      <c r="K167" s="41"/>
      <c r="L167" s="39"/>
      <c r="M167" s="48" t="str">
        <f aca="false">IF($E167="","",IFERROR(INDEX(Parâmetros!$C$15:$C$20,MATCH($P167,Parâmetros!$B$15:$B$20,0)),""))</f>
        <v/>
      </c>
      <c r="N167" s="46" t="str">
        <f aca="false">IF($E167="","",IF($P167="","",IF($P167&gt;=8,"Alta",IF($P167&gt;=5,"Média","Baixa"))))</f>
        <v/>
      </c>
      <c r="O167" s="46" t="str">
        <f aca="false">IF($E167="","",IF(AND(Parâmetros!$C$5&gt;0,$P167&lt;&gt;"",$P167&gt;=Parâmetros!$C$5),"Sim","Não"))</f>
        <v/>
      </c>
      <c r="P167" s="45" t="str">
        <f aca="false">IF($E167="","",IF($G167="","",IF($G167="NOK",$F167,0)))</f>
        <v/>
      </c>
      <c r="Q167" s="46" t="str">
        <f aca="false">IF($E167="","",IF($O167&lt;&gt;"Sim","",COUNTIF($O$3:$O167,"Sim")))</f>
        <v/>
      </c>
      <c r="R167" s="47" t="n">
        <f aca="false">IF($P167="",0,$P167)</f>
        <v>0</v>
      </c>
    </row>
    <row r="168" customFormat="false" ht="18" hidden="false" customHeight="true" outlineLevel="0" collapsed="false">
      <c r="A168" s="39"/>
      <c r="B168" s="41"/>
      <c r="C168" s="40"/>
      <c r="D168" s="40"/>
      <c r="E168" s="40"/>
      <c r="F168" s="42"/>
      <c r="G168" s="39"/>
      <c r="H168" s="40"/>
      <c r="I168" s="40"/>
      <c r="J168" s="40"/>
      <c r="K168" s="41"/>
      <c r="L168" s="39"/>
      <c r="M168" s="48" t="str">
        <f aca="false">IF($E168="","",IFERROR(INDEX(Parâmetros!$C$15:$C$20,MATCH($P168,Parâmetros!$B$15:$B$20,0)),""))</f>
        <v/>
      </c>
      <c r="N168" s="46" t="str">
        <f aca="false">IF($E168="","",IF($P168="","",IF($P168&gt;=8,"Alta",IF($P168&gt;=5,"Média","Baixa"))))</f>
        <v/>
      </c>
      <c r="O168" s="46" t="str">
        <f aca="false">IF($E168="","",IF(AND(Parâmetros!$C$5&gt;0,$P168&lt;&gt;"",$P168&gt;=Parâmetros!$C$5),"Sim","Não"))</f>
        <v/>
      </c>
      <c r="P168" s="45" t="str">
        <f aca="false">IF($E168="","",IF($G168="","",IF($G168="NOK",$F168,0)))</f>
        <v/>
      </c>
      <c r="Q168" s="46" t="str">
        <f aca="false">IF($E168="","",IF($O168&lt;&gt;"Sim","",COUNTIF($O$3:$O168,"Sim")))</f>
        <v/>
      </c>
      <c r="R168" s="47" t="n">
        <f aca="false">IF($P168="",0,$P168)</f>
        <v>0</v>
      </c>
    </row>
    <row r="169" customFormat="false" ht="18" hidden="false" customHeight="true" outlineLevel="0" collapsed="false">
      <c r="A169" s="39"/>
      <c r="B169" s="41"/>
      <c r="C169" s="40"/>
      <c r="D169" s="40"/>
      <c r="E169" s="40"/>
      <c r="F169" s="42"/>
      <c r="G169" s="39"/>
      <c r="H169" s="40"/>
      <c r="I169" s="40"/>
      <c r="J169" s="40"/>
      <c r="K169" s="41"/>
      <c r="L169" s="39"/>
      <c r="M169" s="48" t="str">
        <f aca="false">IF($E169="","",IFERROR(INDEX(Parâmetros!$C$15:$C$20,MATCH($P169,Parâmetros!$B$15:$B$20,0)),""))</f>
        <v/>
      </c>
      <c r="N169" s="46" t="str">
        <f aca="false">IF($E169="","",IF($P169="","",IF($P169&gt;=8,"Alta",IF($P169&gt;=5,"Média","Baixa"))))</f>
        <v/>
      </c>
      <c r="O169" s="46" t="str">
        <f aca="false">IF($E169="","",IF(AND(Parâmetros!$C$5&gt;0,$P169&lt;&gt;"",$P169&gt;=Parâmetros!$C$5),"Sim","Não"))</f>
        <v/>
      </c>
      <c r="P169" s="45" t="str">
        <f aca="false">IF($E169="","",IF($G169="","",IF($G169="NOK",$F169,0)))</f>
        <v/>
      </c>
      <c r="Q169" s="46" t="str">
        <f aca="false">IF($E169="","",IF($O169&lt;&gt;"Sim","",COUNTIF($O$3:$O169,"Sim")))</f>
        <v/>
      </c>
      <c r="R169" s="47" t="n">
        <f aca="false">IF($P169="",0,$P169)</f>
        <v>0</v>
      </c>
    </row>
    <row r="170" customFormat="false" ht="18" hidden="false" customHeight="true" outlineLevel="0" collapsed="false">
      <c r="A170" s="39"/>
      <c r="B170" s="41"/>
      <c r="C170" s="40"/>
      <c r="D170" s="40"/>
      <c r="E170" s="40"/>
      <c r="F170" s="42"/>
      <c r="G170" s="39"/>
      <c r="H170" s="40"/>
      <c r="I170" s="40"/>
      <c r="J170" s="40"/>
      <c r="K170" s="41"/>
      <c r="L170" s="39"/>
      <c r="M170" s="48" t="str">
        <f aca="false">IF($E170="","",IFERROR(INDEX(Parâmetros!$C$15:$C$20,MATCH($P170,Parâmetros!$B$15:$B$20,0)),""))</f>
        <v/>
      </c>
      <c r="N170" s="46" t="str">
        <f aca="false">IF($E170="","",IF($P170="","",IF($P170&gt;=8,"Alta",IF($P170&gt;=5,"Média","Baixa"))))</f>
        <v/>
      </c>
      <c r="O170" s="46" t="str">
        <f aca="false">IF($E170="","",IF(AND(Parâmetros!$C$5&gt;0,$P170&lt;&gt;"",$P170&gt;=Parâmetros!$C$5),"Sim","Não"))</f>
        <v/>
      </c>
      <c r="P170" s="45" t="str">
        <f aca="false">IF($E170="","",IF($G170="","",IF($G170="NOK",$F170,0)))</f>
        <v/>
      </c>
      <c r="Q170" s="46" t="str">
        <f aca="false">IF($E170="","",IF($O170&lt;&gt;"Sim","",COUNTIF($O$3:$O170,"Sim")))</f>
        <v/>
      </c>
      <c r="R170" s="47" t="n">
        <f aca="false">IF($P170="",0,$P170)</f>
        <v>0</v>
      </c>
    </row>
    <row r="171" customFormat="false" ht="18" hidden="false" customHeight="true" outlineLevel="0" collapsed="false">
      <c r="A171" s="39"/>
      <c r="B171" s="41"/>
      <c r="C171" s="40"/>
      <c r="D171" s="40"/>
      <c r="E171" s="40"/>
      <c r="F171" s="42"/>
      <c r="G171" s="39"/>
      <c r="H171" s="40"/>
      <c r="I171" s="40"/>
      <c r="J171" s="40"/>
      <c r="K171" s="41"/>
      <c r="L171" s="39"/>
      <c r="M171" s="48" t="str">
        <f aca="false">IF($E171="","",IFERROR(INDEX(Parâmetros!$C$15:$C$20,MATCH($P171,Parâmetros!$B$15:$B$20,0)),""))</f>
        <v/>
      </c>
      <c r="N171" s="46" t="str">
        <f aca="false">IF($E171="","",IF($P171="","",IF($P171&gt;=8,"Alta",IF($P171&gt;=5,"Média","Baixa"))))</f>
        <v/>
      </c>
      <c r="O171" s="46" t="str">
        <f aca="false">IF($E171="","",IF(AND(Parâmetros!$C$5&gt;0,$P171&lt;&gt;"",$P171&gt;=Parâmetros!$C$5),"Sim","Não"))</f>
        <v/>
      </c>
      <c r="P171" s="45" t="str">
        <f aca="false">IF($E171="","",IF($G171="","",IF($G171="NOK",$F171,0)))</f>
        <v/>
      </c>
      <c r="Q171" s="46" t="str">
        <f aca="false">IF($E171="","",IF($O171&lt;&gt;"Sim","",COUNTIF($O$3:$O171,"Sim")))</f>
        <v/>
      </c>
      <c r="R171" s="47" t="n">
        <f aca="false">IF($P171="",0,$P171)</f>
        <v>0</v>
      </c>
    </row>
    <row r="172" customFormat="false" ht="18" hidden="false" customHeight="true" outlineLevel="0" collapsed="false">
      <c r="A172" s="39"/>
      <c r="B172" s="41"/>
      <c r="C172" s="40"/>
      <c r="D172" s="40"/>
      <c r="E172" s="40"/>
      <c r="F172" s="42"/>
      <c r="G172" s="39"/>
      <c r="H172" s="40"/>
      <c r="I172" s="40"/>
      <c r="J172" s="40"/>
      <c r="K172" s="41"/>
      <c r="L172" s="39"/>
      <c r="M172" s="48" t="str">
        <f aca="false">IF($E172="","",IFERROR(INDEX(Parâmetros!$C$15:$C$20,MATCH($P172,Parâmetros!$B$15:$B$20,0)),""))</f>
        <v/>
      </c>
      <c r="N172" s="46" t="str">
        <f aca="false">IF($E172="","",IF($P172="","",IF($P172&gt;=8,"Alta",IF($P172&gt;=5,"Média","Baixa"))))</f>
        <v/>
      </c>
      <c r="O172" s="46" t="str">
        <f aca="false">IF($E172="","",IF(AND(Parâmetros!$C$5&gt;0,$P172&lt;&gt;"",$P172&gt;=Parâmetros!$C$5),"Sim","Não"))</f>
        <v/>
      </c>
      <c r="P172" s="45" t="str">
        <f aca="false">IF($E172="","",IF($G172="","",IF($G172="NOK",$F172,0)))</f>
        <v/>
      </c>
      <c r="Q172" s="46" t="str">
        <f aca="false">IF($E172="","",IF($O172&lt;&gt;"Sim","",COUNTIF($O$3:$O172,"Sim")))</f>
        <v/>
      </c>
      <c r="R172" s="47" t="n">
        <f aca="false">IF($P172="",0,$P172)</f>
        <v>0</v>
      </c>
    </row>
    <row r="173" customFormat="false" ht="18" hidden="false" customHeight="true" outlineLevel="0" collapsed="false">
      <c r="A173" s="39"/>
      <c r="B173" s="41"/>
      <c r="C173" s="40"/>
      <c r="D173" s="40"/>
      <c r="E173" s="40"/>
      <c r="F173" s="42"/>
      <c r="G173" s="39"/>
      <c r="H173" s="40"/>
      <c r="I173" s="40"/>
      <c r="J173" s="40"/>
      <c r="K173" s="41"/>
      <c r="L173" s="39"/>
      <c r="M173" s="48" t="str">
        <f aca="false">IF($E173="","",IFERROR(INDEX(Parâmetros!$C$15:$C$20,MATCH($P173,Parâmetros!$B$15:$B$20,0)),""))</f>
        <v/>
      </c>
      <c r="N173" s="46" t="str">
        <f aca="false">IF($E173="","",IF($P173="","",IF($P173&gt;=8,"Alta",IF($P173&gt;=5,"Média","Baixa"))))</f>
        <v/>
      </c>
      <c r="O173" s="46" t="str">
        <f aca="false">IF($E173="","",IF(AND(Parâmetros!$C$5&gt;0,$P173&lt;&gt;"",$P173&gt;=Parâmetros!$C$5),"Sim","Não"))</f>
        <v/>
      </c>
      <c r="P173" s="45" t="str">
        <f aca="false">IF($E173="","",IF($G173="","",IF($G173="NOK",$F173,0)))</f>
        <v/>
      </c>
      <c r="Q173" s="46" t="str">
        <f aca="false">IF($E173="","",IF($O173&lt;&gt;"Sim","",COUNTIF($O$3:$O173,"Sim")))</f>
        <v/>
      </c>
      <c r="R173" s="47" t="n">
        <f aca="false">IF($P173="",0,$P173)</f>
        <v>0</v>
      </c>
    </row>
    <row r="174" customFormat="false" ht="18" hidden="false" customHeight="true" outlineLevel="0" collapsed="false">
      <c r="A174" s="39"/>
      <c r="B174" s="41"/>
      <c r="C174" s="40"/>
      <c r="D174" s="40"/>
      <c r="E174" s="40"/>
      <c r="F174" s="42"/>
      <c r="G174" s="39"/>
      <c r="H174" s="40"/>
      <c r="I174" s="40"/>
      <c r="J174" s="40"/>
      <c r="K174" s="41"/>
      <c r="L174" s="39"/>
      <c r="M174" s="48" t="str">
        <f aca="false">IF($E174="","",IFERROR(INDEX(Parâmetros!$C$15:$C$20,MATCH($P174,Parâmetros!$B$15:$B$20,0)),""))</f>
        <v/>
      </c>
      <c r="N174" s="46" t="str">
        <f aca="false">IF($E174="","",IF($P174="","",IF($P174&gt;=8,"Alta",IF($P174&gt;=5,"Média","Baixa"))))</f>
        <v/>
      </c>
      <c r="O174" s="46" t="str">
        <f aca="false">IF($E174="","",IF(AND(Parâmetros!$C$5&gt;0,$P174&lt;&gt;"",$P174&gt;=Parâmetros!$C$5),"Sim","Não"))</f>
        <v/>
      </c>
      <c r="P174" s="45" t="str">
        <f aca="false">IF($E174="","",IF($G174="","",IF($G174="NOK",$F174,0)))</f>
        <v/>
      </c>
      <c r="Q174" s="46" t="str">
        <f aca="false">IF($E174="","",IF($O174&lt;&gt;"Sim","",COUNTIF($O$3:$O174,"Sim")))</f>
        <v/>
      </c>
      <c r="R174" s="47" t="n">
        <f aca="false">IF($P174="",0,$P174)</f>
        <v>0</v>
      </c>
    </row>
    <row r="175" customFormat="false" ht="18" hidden="false" customHeight="true" outlineLevel="0" collapsed="false">
      <c r="A175" s="39"/>
      <c r="B175" s="41"/>
      <c r="C175" s="40"/>
      <c r="D175" s="40"/>
      <c r="E175" s="40"/>
      <c r="F175" s="42"/>
      <c r="G175" s="39"/>
      <c r="H175" s="40"/>
      <c r="I175" s="40"/>
      <c r="J175" s="40"/>
      <c r="K175" s="41"/>
      <c r="L175" s="39"/>
      <c r="M175" s="48" t="str">
        <f aca="false">IF($E175="","",IFERROR(INDEX(Parâmetros!$C$15:$C$20,MATCH($P175,Parâmetros!$B$15:$B$20,0)),""))</f>
        <v/>
      </c>
      <c r="N175" s="46" t="str">
        <f aca="false">IF($E175="","",IF($P175="","",IF($P175&gt;=8,"Alta",IF($P175&gt;=5,"Média","Baixa"))))</f>
        <v/>
      </c>
      <c r="O175" s="46" t="str">
        <f aca="false">IF($E175="","",IF(AND(Parâmetros!$C$5&gt;0,$P175&lt;&gt;"",$P175&gt;=Parâmetros!$C$5),"Sim","Não"))</f>
        <v/>
      </c>
      <c r="P175" s="45" t="str">
        <f aca="false">IF($E175="","",IF($G175="","",IF($G175="NOK",$F175,0)))</f>
        <v/>
      </c>
      <c r="Q175" s="46" t="str">
        <f aca="false">IF($E175="","",IF($O175&lt;&gt;"Sim","",COUNTIF($O$3:$O175,"Sim")))</f>
        <v/>
      </c>
      <c r="R175" s="47" t="n">
        <f aca="false">IF($P175="",0,$P175)</f>
        <v>0</v>
      </c>
    </row>
    <row r="176" customFormat="false" ht="18" hidden="false" customHeight="true" outlineLevel="0" collapsed="false">
      <c r="A176" s="39"/>
      <c r="B176" s="41"/>
      <c r="C176" s="40"/>
      <c r="D176" s="40"/>
      <c r="E176" s="40"/>
      <c r="F176" s="42"/>
      <c r="G176" s="39"/>
      <c r="H176" s="40"/>
      <c r="I176" s="40"/>
      <c r="J176" s="40"/>
      <c r="K176" s="41"/>
      <c r="L176" s="39"/>
      <c r="M176" s="48" t="str">
        <f aca="false">IF($E176="","",IFERROR(INDEX(Parâmetros!$C$15:$C$20,MATCH($P176,Parâmetros!$B$15:$B$20,0)),""))</f>
        <v/>
      </c>
      <c r="N176" s="46" t="str">
        <f aca="false">IF($E176="","",IF($P176="","",IF($P176&gt;=8,"Alta",IF($P176&gt;=5,"Média","Baixa"))))</f>
        <v/>
      </c>
      <c r="O176" s="46" t="str">
        <f aca="false">IF($E176="","",IF(AND(Parâmetros!$C$5&gt;0,$P176&lt;&gt;"",$P176&gt;=Parâmetros!$C$5),"Sim","Não"))</f>
        <v/>
      </c>
      <c r="P176" s="45" t="str">
        <f aca="false">IF($E176="","",IF($G176="","",IF($G176="NOK",$F176,0)))</f>
        <v/>
      </c>
      <c r="Q176" s="46" t="str">
        <f aca="false">IF($E176="","",IF($O176&lt;&gt;"Sim","",COUNTIF($O$3:$O176,"Sim")))</f>
        <v/>
      </c>
      <c r="R176" s="47" t="n">
        <f aca="false">IF($P176="",0,$P176)</f>
        <v>0</v>
      </c>
    </row>
    <row r="177" customFormat="false" ht="18" hidden="false" customHeight="true" outlineLevel="0" collapsed="false">
      <c r="A177" s="39"/>
      <c r="B177" s="41"/>
      <c r="C177" s="40"/>
      <c r="D177" s="40"/>
      <c r="E177" s="40"/>
      <c r="F177" s="42"/>
      <c r="G177" s="39"/>
      <c r="H177" s="40"/>
      <c r="I177" s="40"/>
      <c r="J177" s="40"/>
      <c r="K177" s="41"/>
      <c r="L177" s="39"/>
      <c r="M177" s="48" t="str">
        <f aca="false">IF($E177="","",IFERROR(INDEX(Parâmetros!$C$15:$C$20,MATCH($P177,Parâmetros!$B$15:$B$20,0)),""))</f>
        <v/>
      </c>
      <c r="N177" s="46" t="str">
        <f aca="false">IF($E177="","",IF($P177="","",IF($P177&gt;=8,"Alta",IF($P177&gt;=5,"Média","Baixa"))))</f>
        <v/>
      </c>
      <c r="O177" s="46" t="str">
        <f aca="false">IF($E177="","",IF(AND(Parâmetros!$C$5&gt;0,$P177&lt;&gt;"",$P177&gt;=Parâmetros!$C$5),"Sim","Não"))</f>
        <v/>
      </c>
      <c r="P177" s="45" t="str">
        <f aca="false">IF($E177="","",IF($G177="","",IF($G177="NOK",$F177,0)))</f>
        <v/>
      </c>
      <c r="Q177" s="46" t="str">
        <f aca="false">IF($E177="","",IF($O177&lt;&gt;"Sim","",COUNTIF($O$3:$O177,"Sim")))</f>
        <v/>
      </c>
      <c r="R177" s="47" t="n">
        <f aca="false">IF($P177="",0,$P177)</f>
        <v>0</v>
      </c>
    </row>
    <row r="178" customFormat="false" ht="18" hidden="false" customHeight="true" outlineLevel="0" collapsed="false">
      <c r="A178" s="39"/>
      <c r="B178" s="41"/>
      <c r="C178" s="40"/>
      <c r="D178" s="40"/>
      <c r="E178" s="40"/>
      <c r="F178" s="42"/>
      <c r="G178" s="39"/>
      <c r="H178" s="40"/>
      <c r="I178" s="40"/>
      <c r="J178" s="40"/>
      <c r="K178" s="41"/>
      <c r="L178" s="39"/>
      <c r="M178" s="48" t="str">
        <f aca="false">IF($E178="","",IFERROR(INDEX(Parâmetros!$C$15:$C$20,MATCH($P178,Parâmetros!$B$15:$B$20,0)),""))</f>
        <v/>
      </c>
      <c r="N178" s="46" t="str">
        <f aca="false">IF($E178="","",IF($P178="","",IF($P178&gt;=8,"Alta",IF($P178&gt;=5,"Média","Baixa"))))</f>
        <v/>
      </c>
      <c r="O178" s="46" t="str">
        <f aca="false">IF($E178="","",IF(AND(Parâmetros!$C$5&gt;0,$P178&lt;&gt;"",$P178&gt;=Parâmetros!$C$5),"Sim","Não"))</f>
        <v/>
      </c>
      <c r="P178" s="45" t="str">
        <f aca="false">IF($E178="","",IF($G178="","",IF($G178="NOK",$F178,0)))</f>
        <v/>
      </c>
      <c r="Q178" s="46" t="str">
        <f aca="false">IF($E178="","",IF($O178&lt;&gt;"Sim","",COUNTIF($O$3:$O178,"Sim")))</f>
        <v/>
      </c>
      <c r="R178" s="47" t="n">
        <f aca="false">IF($P178="",0,$P178)</f>
        <v>0</v>
      </c>
    </row>
    <row r="179" customFormat="false" ht="18" hidden="false" customHeight="true" outlineLevel="0" collapsed="false">
      <c r="A179" s="39"/>
      <c r="B179" s="41"/>
      <c r="C179" s="40"/>
      <c r="D179" s="40"/>
      <c r="E179" s="40"/>
      <c r="F179" s="42"/>
      <c r="G179" s="39"/>
      <c r="H179" s="40"/>
      <c r="I179" s="40"/>
      <c r="J179" s="40"/>
      <c r="K179" s="41"/>
      <c r="L179" s="39"/>
      <c r="M179" s="48" t="str">
        <f aca="false">IF($E179="","",IFERROR(INDEX(Parâmetros!$C$15:$C$20,MATCH($P179,Parâmetros!$B$15:$B$20,0)),""))</f>
        <v/>
      </c>
      <c r="N179" s="46" t="str">
        <f aca="false">IF($E179="","",IF($P179="","",IF($P179&gt;=8,"Alta",IF($P179&gt;=5,"Média","Baixa"))))</f>
        <v/>
      </c>
      <c r="O179" s="46" t="str">
        <f aca="false">IF($E179="","",IF(AND(Parâmetros!$C$5&gt;0,$P179&lt;&gt;"",$P179&gt;=Parâmetros!$C$5),"Sim","Não"))</f>
        <v/>
      </c>
      <c r="P179" s="45" t="str">
        <f aca="false">IF($E179="","",IF($G179="","",IF($G179="NOK",$F179,0)))</f>
        <v/>
      </c>
      <c r="Q179" s="46" t="str">
        <f aca="false">IF($E179="","",IF($O179&lt;&gt;"Sim","",COUNTIF($O$3:$O179,"Sim")))</f>
        <v/>
      </c>
      <c r="R179" s="47" t="n">
        <f aca="false">IF($P179="",0,$P179)</f>
        <v>0</v>
      </c>
    </row>
    <row r="180" customFormat="false" ht="18" hidden="false" customHeight="true" outlineLevel="0" collapsed="false">
      <c r="A180" s="39"/>
      <c r="B180" s="41"/>
      <c r="C180" s="40"/>
      <c r="D180" s="40"/>
      <c r="E180" s="40"/>
      <c r="F180" s="42"/>
      <c r="G180" s="39"/>
      <c r="H180" s="40"/>
      <c r="I180" s="40"/>
      <c r="J180" s="40"/>
      <c r="K180" s="41"/>
      <c r="L180" s="39"/>
      <c r="M180" s="48" t="str">
        <f aca="false">IF($E180="","",IFERROR(INDEX(Parâmetros!$C$15:$C$20,MATCH($P180,Parâmetros!$B$15:$B$20,0)),""))</f>
        <v/>
      </c>
      <c r="N180" s="46" t="str">
        <f aca="false">IF($E180="","",IF($P180="","",IF($P180&gt;=8,"Alta",IF($P180&gt;=5,"Média","Baixa"))))</f>
        <v/>
      </c>
      <c r="O180" s="46" t="str">
        <f aca="false">IF($E180="","",IF(AND(Parâmetros!$C$5&gt;0,$P180&lt;&gt;"",$P180&gt;=Parâmetros!$C$5),"Sim","Não"))</f>
        <v/>
      </c>
      <c r="P180" s="45" t="str">
        <f aca="false">IF($E180="","",IF($G180="","",IF($G180="NOK",$F180,0)))</f>
        <v/>
      </c>
      <c r="Q180" s="46" t="str">
        <f aca="false">IF($E180="","",IF($O180&lt;&gt;"Sim","",COUNTIF($O$3:$O180,"Sim")))</f>
        <v/>
      </c>
      <c r="R180" s="47" t="n">
        <f aca="false">IF($P180="",0,$P180)</f>
        <v>0</v>
      </c>
    </row>
    <row r="181" customFormat="false" ht="18" hidden="false" customHeight="true" outlineLevel="0" collapsed="false">
      <c r="A181" s="39"/>
      <c r="B181" s="41"/>
      <c r="C181" s="40"/>
      <c r="D181" s="40"/>
      <c r="E181" s="40"/>
      <c r="F181" s="42"/>
      <c r="G181" s="39"/>
      <c r="H181" s="40"/>
      <c r="I181" s="40"/>
      <c r="J181" s="40"/>
      <c r="K181" s="41"/>
      <c r="L181" s="39"/>
      <c r="M181" s="48" t="str">
        <f aca="false">IF($E181="","",IFERROR(INDEX(Parâmetros!$C$15:$C$20,MATCH($P181,Parâmetros!$B$15:$B$20,0)),""))</f>
        <v/>
      </c>
      <c r="N181" s="46" t="str">
        <f aca="false">IF($E181="","",IF($P181="","",IF($P181&gt;=8,"Alta",IF($P181&gt;=5,"Média","Baixa"))))</f>
        <v/>
      </c>
      <c r="O181" s="46" t="str">
        <f aca="false">IF($E181="","",IF(AND(Parâmetros!$C$5&gt;0,$P181&lt;&gt;"",$P181&gt;=Parâmetros!$C$5),"Sim","Não"))</f>
        <v/>
      </c>
      <c r="P181" s="45" t="str">
        <f aca="false">IF($E181="","",IF($G181="","",IF($G181="NOK",$F181,0)))</f>
        <v/>
      </c>
      <c r="Q181" s="46" t="str">
        <f aca="false">IF($E181="","",IF($O181&lt;&gt;"Sim","",COUNTIF($O$3:$O181,"Sim")))</f>
        <v/>
      </c>
      <c r="R181" s="47" t="n">
        <f aca="false">IF($P181="",0,$P181)</f>
        <v>0</v>
      </c>
    </row>
    <row r="182" customFormat="false" ht="18" hidden="false" customHeight="true" outlineLevel="0" collapsed="false">
      <c r="A182" s="39"/>
      <c r="B182" s="41"/>
      <c r="C182" s="40"/>
      <c r="D182" s="40"/>
      <c r="E182" s="40"/>
      <c r="F182" s="42"/>
      <c r="G182" s="39"/>
      <c r="H182" s="40"/>
      <c r="I182" s="40"/>
      <c r="J182" s="40"/>
      <c r="K182" s="41"/>
      <c r="L182" s="39"/>
      <c r="M182" s="48" t="str">
        <f aca="false">IF($E182="","",IFERROR(INDEX(Parâmetros!$C$15:$C$20,MATCH($P182,Parâmetros!$B$15:$B$20,0)),""))</f>
        <v/>
      </c>
      <c r="N182" s="46" t="str">
        <f aca="false">IF($E182="","",IF($P182="","",IF($P182&gt;=8,"Alta",IF($P182&gt;=5,"Média","Baixa"))))</f>
        <v/>
      </c>
      <c r="O182" s="46" t="str">
        <f aca="false">IF($E182="","",IF(AND(Parâmetros!$C$5&gt;0,$P182&lt;&gt;"",$P182&gt;=Parâmetros!$C$5),"Sim","Não"))</f>
        <v/>
      </c>
      <c r="P182" s="45" t="str">
        <f aca="false">IF($E182="","",IF($G182="","",IF($G182="NOK",$F182,0)))</f>
        <v/>
      </c>
      <c r="Q182" s="46" t="str">
        <f aca="false">IF($E182="","",IF($O182&lt;&gt;"Sim","",COUNTIF($O$3:$O182,"Sim")))</f>
        <v/>
      </c>
      <c r="R182" s="47" t="n">
        <f aca="false">IF($P182="",0,$P182)</f>
        <v>0</v>
      </c>
    </row>
    <row r="183" customFormat="false" ht="18" hidden="false" customHeight="true" outlineLevel="0" collapsed="false">
      <c r="A183" s="39"/>
      <c r="B183" s="41"/>
      <c r="C183" s="40"/>
      <c r="D183" s="40"/>
      <c r="E183" s="40"/>
      <c r="F183" s="42"/>
      <c r="G183" s="39"/>
      <c r="H183" s="40"/>
      <c r="I183" s="40"/>
      <c r="J183" s="40"/>
      <c r="K183" s="41"/>
      <c r="L183" s="39"/>
      <c r="M183" s="48" t="str">
        <f aca="false">IF($E183="","",IFERROR(INDEX(Parâmetros!$C$15:$C$20,MATCH($P183,Parâmetros!$B$15:$B$20,0)),""))</f>
        <v/>
      </c>
      <c r="N183" s="46" t="str">
        <f aca="false">IF($E183="","",IF($P183="","",IF($P183&gt;=8,"Alta",IF($P183&gt;=5,"Média","Baixa"))))</f>
        <v/>
      </c>
      <c r="O183" s="46" t="str">
        <f aca="false">IF($E183="","",IF(AND(Parâmetros!$C$5&gt;0,$P183&lt;&gt;"",$P183&gt;=Parâmetros!$C$5),"Sim","Não"))</f>
        <v/>
      </c>
      <c r="P183" s="45" t="str">
        <f aca="false">IF($E183="","",IF($G183="","",IF($G183="NOK",$F183,0)))</f>
        <v/>
      </c>
      <c r="Q183" s="46" t="str">
        <f aca="false">IF($E183="","",IF($O183&lt;&gt;"Sim","",COUNTIF($O$3:$O183,"Sim")))</f>
        <v/>
      </c>
      <c r="R183" s="47" t="n">
        <f aca="false">IF($P183="",0,$P183)</f>
        <v>0</v>
      </c>
    </row>
    <row r="184" customFormat="false" ht="18" hidden="false" customHeight="true" outlineLevel="0" collapsed="false">
      <c r="A184" s="39"/>
      <c r="B184" s="41"/>
      <c r="C184" s="40"/>
      <c r="D184" s="40"/>
      <c r="E184" s="40"/>
      <c r="F184" s="42"/>
      <c r="G184" s="39"/>
      <c r="H184" s="40"/>
      <c r="I184" s="40"/>
      <c r="J184" s="40"/>
      <c r="K184" s="41"/>
      <c r="L184" s="39"/>
      <c r="M184" s="48" t="str">
        <f aca="false">IF($E184="","",IFERROR(INDEX(Parâmetros!$C$15:$C$20,MATCH($P184,Parâmetros!$B$15:$B$20,0)),""))</f>
        <v/>
      </c>
      <c r="N184" s="46" t="str">
        <f aca="false">IF($E184="","",IF($P184="","",IF($P184&gt;=8,"Alta",IF($P184&gt;=5,"Média","Baixa"))))</f>
        <v/>
      </c>
      <c r="O184" s="46" t="str">
        <f aca="false">IF($E184="","",IF(AND(Parâmetros!$C$5&gt;0,$P184&lt;&gt;"",$P184&gt;=Parâmetros!$C$5),"Sim","Não"))</f>
        <v/>
      </c>
      <c r="P184" s="45" t="str">
        <f aca="false">IF($E184="","",IF($G184="","",IF($G184="NOK",$F184,0)))</f>
        <v/>
      </c>
      <c r="Q184" s="46" t="str">
        <f aca="false">IF($E184="","",IF($O184&lt;&gt;"Sim","",COUNTIF($O$3:$O184,"Sim")))</f>
        <v/>
      </c>
      <c r="R184" s="47" t="n">
        <f aca="false">IF($P184="",0,$P184)</f>
        <v>0</v>
      </c>
    </row>
    <row r="185" customFormat="false" ht="18" hidden="false" customHeight="true" outlineLevel="0" collapsed="false">
      <c r="A185" s="39"/>
      <c r="B185" s="41"/>
      <c r="C185" s="40"/>
      <c r="D185" s="40"/>
      <c r="E185" s="40"/>
      <c r="F185" s="42"/>
      <c r="G185" s="39"/>
      <c r="H185" s="40"/>
      <c r="I185" s="40"/>
      <c r="J185" s="40"/>
      <c r="K185" s="41"/>
      <c r="L185" s="39"/>
      <c r="M185" s="48" t="str">
        <f aca="false">IF($E185="","",IFERROR(INDEX(Parâmetros!$C$15:$C$20,MATCH($P185,Parâmetros!$B$15:$B$20,0)),""))</f>
        <v/>
      </c>
      <c r="N185" s="46" t="str">
        <f aca="false">IF($E185="","",IF($P185="","",IF($P185&gt;=8,"Alta",IF($P185&gt;=5,"Média","Baixa"))))</f>
        <v/>
      </c>
      <c r="O185" s="46" t="str">
        <f aca="false">IF($E185="","",IF(AND(Parâmetros!$C$5&gt;0,$P185&lt;&gt;"",$P185&gt;=Parâmetros!$C$5),"Sim","Não"))</f>
        <v/>
      </c>
      <c r="P185" s="45" t="str">
        <f aca="false">IF($E185="","",IF($G185="","",IF($G185="NOK",$F185,0)))</f>
        <v/>
      </c>
      <c r="Q185" s="46" t="str">
        <f aca="false">IF($E185="","",IF($O185&lt;&gt;"Sim","",COUNTIF($O$3:$O185,"Sim")))</f>
        <v/>
      </c>
      <c r="R185" s="47" t="n">
        <f aca="false">IF($P185="",0,$P185)</f>
        <v>0</v>
      </c>
    </row>
    <row r="186" customFormat="false" ht="18" hidden="false" customHeight="true" outlineLevel="0" collapsed="false">
      <c r="A186" s="39"/>
      <c r="B186" s="41"/>
      <c r="C186" s="40"/>
      <c r="D186" s="40"/>
      <c r="E186" s="40"/>
      <c r="F186" s="42"/>
      <c r="G186" s="39"/>
      <c r="H186" s="40"/>
      <c r="I186" s="40"/>
      <c r="J186" s="40"/>
      <c r="K186" s="41"/>
      <c r="L186" s="39"/>
      <c r="M186" s="48" t="str">
        <f aca="false">IF($E186="","",IFERROR(INDEX(Parâmetros!$C$15:$C$20,MATCH($P186,Parâmetros!$B$15:$B$20,0)),""))</f>
        <v/>
      </c>
      <c r="N186" s="46" t="str">
        <f aca="false">IF($E186="","",IF($P186="","",IF($P186&gt;=8,"Alta",IF($P186&gt;=5,"Média","Baixa"))))</f>
        <v/>
      </c>
      <c r="O186" s="46" t="str">
        <f aca="false">IF($E186="","",IF(AND(Parâmetros!$C$5&gt;0,$P186&lt;&gt;"",$P186&gt;=Parâmetros!$C$5),"Sim","Não"))</f>
        <v/>
      </c>
      <c r="P186" s="45" t="str">
        <f aca="false">IF($E186="","",IF($G186="","",IF($G186="NOK",$F186,0)))</f>
        <v/>
      </c>
      <c r="Q186" s="46" t="str">
        <f aca="false">IF($E186="","",IF($O186&lt;&gt;"Sim","",COUNTIF($O$3:$O186,"Sim")))</f>
        <v/>
      </c>
      <c r="R186" s="47" t="n">
        <f aca="false">IF($P186="",0,$P186)</f>
        <v>0</v>
      </c>
    </row>
    <row r="187" customFormat="false" ht="18" hidden="false" customHeight="true" outlineLevel="0" collapsed="false">
      <c r="A187" s="39"/>
      <c r="B187" s="41"/>
      <c r="C187" s="40"/>
      <c r="D187" s="40"/>
      <c r="E187" s="40"/>
      <c r="F187" s="42"/>
      <c r="G187" s="39"/>
      <c r="H187" s="40"/>
      <c r="I187" s="40"/>
      <c r="J187" s="40"/>
      <c r="K187" s="41"/>
      <c r="L187" s="39"/>
      <c r="M187" s="48" t="str">
        <f aca="false">IF($E187="","",IFERROR(INDEX(Parâmetros!$C$15:$C$20,MATCH($P187,Parâmetros!$B$15:$B$20,0)),""))</f>
        <v/>
      </c>
      <c r="N187" s="46" t="str">
        <f aca="false">IF($E187="","",IF($P187="","",IF($P187&gt;=8,"Alta",IF($P187&gt;=5,"Média","Baixa"))))</f>
        <v/>
      </c>
      <c r="O187" s="46" t="str">
        <f aca="false">IF($E187="","",IF(AND(Parâmetros!$C$5&gt;0,$P187&lt;&gt;"",$P187&gt;=Parâmetros!$C$5),"Sim","Não"))</f>
        <v/>
      </c>
      <c r="P187" s="45" t="str">
        <f aca="false">IF($E187="","",IF($G187="","",IF($G187="NOK",$F187,0)))</f>
        <v/>
      </c>
      <c r="Q187" s="46" t="str">
        <f aca="false">IF($E187="","",IF($O187&lt;&gt;"Sim","",COUNTIF($O$3:$O187,"Sim")))</f>
        <v/>
      </c>
      <c r="R187" s="47" t="n">
        <f aca="false">IF($P187="",0,$P187)</f>
        <v>0</v>
      </c>
    </row>
    <row r="188" customFormat="false" ht="18" hidden="false" customHeight="true" outlineLevel="0" collapsed="false">
      <c r="A188" s="39"/>
      <c r="B188" s="41"/>
      <c r="C188" s="40"/>
      <c r="D188" s="40"/>
      <c r="E188" s="40"/>
      <c r="F188" s="42"/>
      <c r="G188" s="39"/>
      <c r="H188" s="40"/>
      <c r="I188" s="40"/>
      <c r="J188" s="40"/>
      <c r="K188" s="41"/>
      <c r="L188" s="39"/>
      <c r="M188" s="48" t="str">
        <f aca="false">IF($E188="","",IFERROR(INDEX(Parâmetros!$C$15:$C$20,MATCH($P188,Parâmetros!$B$15:$B$20,0)),""))</f>
        <v/>
      </c>
      <c r="N188" s="46" t="str">
        <f aca="false">IF($E188="","",IF($P188="","",IF($P188&gt;=8,"Alta",IF($P188&gt;=5,"Média","Baixa"))))</f>
        <v/>
      </c>
      <c r="O188" s="46" t="str">
        <f aca="false">IF($E188="","",IF(AND(Parâmetros!$C$5&gt;0,$P188&lt;&gt;"",$P188&gt;=Parâmetros!$C$5),"Sim","Não"))</f>
        <v/>
      </c>
      <c r="P188" s="45" t="str">
        <f aca="false">IF($E188="","",IF($G188="","",IF($G188="NOK",$F188,0)))</f>
        <v/>
      </c>
      <c r="Q188" s="46" t="str">
        <f aca="false">IF($E188="","",IF($O188&lt;&gt;"Sim","",COUNTIF($O$3:$O188,"Sim")))</f>
        <v/>
      </c>
      <c r="R188" s="47" t="n">
        <f aca="false">IF($P188="",0,$P188)</f>
        <v>0</v>
      </c>
    </row>
    <row r="189" customFormat="false" ht="18" hidden="false" customHeight="true" outlineLevel="0" collapsed="false">
      <c r="A189" s="39"/>
      <c r="B189" s="41"/>
      <c r="C189" s="40"/>
      <c r="D189" s="40"/>
      <c r="E189" s="40"/>
      <c r="F189" s="42"/>
      <c r="G189" s="39"/>
      <c r="H189" s="40"/>
      <c r="I189" s="40"/>
      <c r="J189" s="40"/>
      <c r="K189" s="41"/>
      <c r="L189" s="39"/>
      <c r="M189" s="48" t="str">
        <f aca="false">IF($E189="","",IFERROR(INDEX(Parâmetros!$C$15:$C$20,MATCH($P189,Parâmetros!$B$15:$B$20,0)),""))</f>
        <v/>
      </c>
      <c r="N189" s="46" t="str">
        <f aca="false">IF($E189="","",IF($P189="","",IF($P189&gt;=8,"Alta",IF($P189&gt;=5,"Média","Baixa"))))</f>
        <v/>
      </c>
      <c r="O189" s="46" t="str">
        <f aca="false">IF($E189="","",IF(AND(Parâmetros!$C$5&gt;0,$P189&lt;&gt;"",$P189&gt;=Parâmetros!$C$5),"Sim","Não"))</f>
        <v/>
      </c>
      <c r="P189" s="45" t="str">
        <f aca="false">IF($E189="","",IF($G189="","",IF($G189="NOK",$F189,0)))</f>
        <v/>
      </c>
      <c r="Q189" s="46" t="str">
        <f aca="false">IF($E189="","",IF($O189&lt;&gt;"Sim","",COUNTIF($O$3:$O189,"Sim")))</f>
        <v/>
      </c>
      <c r="R189" s="47" t="n">
        <f aca="false">IF($P189="",0,$P189)</f>
        <v>0</v>
      </c>
    </row>
    <row r="190" customFormat="false" ht="18" hidden="false" customHeight="true" outlineLevel="0" collapsed="false">
      <c r="A190" s="39"/>
      <c r="B190" s="41"/>
      <c r="C190" s="40"/>
      <c r="D190" s="40"/>
      <c r="E190" s="40"/>
      <c r="F190" s="42"/>
      <c r="G190" s="39"/>
      <c r="H190" s="40"/>
      <c r="I190" s="40"/>
      <c r="J190" s="40"/>
      <c r="K190" s="41"/>
      <c r="L190" s="39"/>
      <c r="M190" s="48" t="str">
        <f aca="false">IF($E190="","",IFERROR(INDEX(Parâmetros!$C$15:$C$20,MATCH($P190,Parâmetros!$B$15:$B$20,0)),""))</f>
        <v/>
      </c>
      <c r="N190" s="46" t="str">
        <f aca="false">IF($E190="","",IF($P190="","",IF($P190&gt;=8,"Alta",IF($P190&gt;=5,"Média","Baixa"))))</f>
        <v/>
      </c>
      <c r="O190" s="46" t="str">
        <f aca="false">IF($E190="","",IF(AND(Parâmetros!$C$5&gt;0,$P190&lt;&gt;"",$P190&gt;=Parâmetros!$C$5),"Sim","Não"))</f>
        <v/>
      </c>
      <c r="P190" s="45" t="str">
        <f aca="false">IF($E190="","",IF($G190="","",IF($G190="NOK",$F190,0)))</f>
        <v/>
      </c>
      <c r="Q190" s="46" t="str">
        <f aca="false">IF($E190="","",IF($O190&lt;&gt;"Sim","",COUNTIF($O$3:$O190,"Sim")))</f>
        <v/>
      </c>
      <c r="R190" s="47" t="n">
        <f aca="false">IF($P190="",0,$P190)</f>
        <v>0</v>
      </c>
    </row>
    <row r="191" customFormat="false" ht="18" hidden="false" customHeight="true" outlineLevel="0" collapsed="false">
      <c r="A191" s="39"/>
      <c r="B191" s="41"/>
      <c r="C191" s="40"/>
      <c r="D191" s="40"/>
      <c r="E191" s="40"/>
      <c r="F191" s="42"/>
      <c r="G191" s="39"/>
      <c r="H191" s="40"/>
      <c r="I191" s="40"/>
      <c r="J191" s="40"/>
      <c r="K191" s="41"/>
      <c r="L191" s="39"/>
      <c r="M191" s="48" t="str">
        <f aca="false">IF($E191="","",IFERROR(INDEX(Parâmetros!$C$15:$C$20,MATCH($P191,Parâmetros!$B$15:$B$20,0)),""))</f>
        <v/>
      </c>
      <c r="N191" s="46" t="str">
        <f aca="false">IF($E191="","",IF($P191="","",IF($P191&gt;=8,"Alta",IF($P191&gt;=5,"Média","Baixa"))))</f>
        <v/>
      </c>
      <c r="O191" s="46" t="str">
        <f aca="false">IF($E191="","",IF(AND(Parâmetros!$C$5&gt;0,$P191&lt;&gt;"",$P191&gt;=Parâmetros!$C$5),"Sim","Não"))</f>
        <v/>
      </c>
      <c r="P191" s="45" t="str">
        <f aca="false">IF($E191="","",IF($G191="","",IF($G191="NOK",$F191,0)))</f>
        <v/>
      </c>
      <c r="Q191" s="46" t="str">
        <f aca="false">IF($E191="","",IF($O191&lt;&gt;"Sim","",COUNTIF($O$3:$O191,"Sim")))</f>
        <v/>
      </c>
      <c r="R191" s="47" t="n">
        <f aca="false">IF($P191="",0,$P191)</f>
        <v>0</v>
      </c>
    </row>
    <row r="192" customFormat="false" ht="18" hidden="false" customHeight="true" outlineLevel="0" collapsed="false">
      <c r="A192" s="39"/>
      <c r="B192" s="41"/>
      <c r="C192" s="40"/>
      <c r="D192" s="40"/>
      <c r="E192" s="40"/>
      <c r="F192" s="42"/>
      <c r="G192" s="39"/>
      <c r="H192" s="40"/>
      <c r="I192" s="40"/>
      <c r="J192" s="40"/>
      <c r="K192" s="41"/>
      <c r="L192" s="39"/>
      <c r="M192" s="48" t="str">
        <f aca="false">IF($E192="","",IFERROR(INDEX(Parâmetros!$C$15:$C$20,MATCH($P192,Parâmetros!$B$15:$B$20,0)),""))</f>
        <v/>
      </c>
      <c r="N192" s="46" t="str">
        <f aca="false">IF($E192="","",IF($P192="","",IF($P192&gt;=8,"Alta",IF($P192&gt;=5,"Média","Baixa"))))</f>
        <v/>
      </c>
      <c r="O192" s="46" t="str">
        <f aca="false">IF($E192="","",IF(AND(Parâmetros!$C$5&gt;0,$P192&lt;&gt;"",$P192&gt;=Parâmetros!$C$5),"Sim","Não"))</f>
        <v/>
      </c>
      <c r="P192" s="45" t="str">
        <f aca="false">IF($E192="","",IF($G192="","",IF($G192="NOK",$F192,0)))</f>
        <v/>
      </c>
      <c r="Q192" s="46" t="str">
        <f aca="false">IF($E192="","",IF($O192&lt;&gt;"Sim","",COUNTIF($O$3:$O192,"Sim")))</f>
        <v/>
      </c>
      <c r="R192" s="47" t="n">
        <f aca="false">IF($P192="",0,$P192)</f>
        <v>0</v>
      </c>
    </row>
    <row r="193" customFormat="false" ht="18" hidden="false" customHeight="true" outlineLevel="0" collapsed="false">
      <c r="A193" s="39"/>
      <c r="B193" s="41"/>
      <c r="C193" s="40"/>
      <c r="D193" s="40"/>
      <c r="E193" s="40"/>
      <c r="F193" s="42"/>
      <c r="G193" s="39"/>
      <c r="H193" s="40"/>
      <c r="I193" s="40"/>
      <c r="J193" s="40"/>
      <c r="K193" s="41"/>
      <c r="L193" s="39"/>
      <c r="M193" s="48" t="str">
        <f aca="false">IF($E193="","",IFERROR(INDEX(Parâmetros!$C$15:$C$20,MATCH($P193,Parâmetros!$B$15:$B$20,0)),""))</f>
        <v/>
      </c>
      <c r="N193" s="46" t="str">
        <f aca="false">IF($E193="","",IF($P193="","",IF($P193&gt;=8,"Alta",IF($P193&gt;=5,"Média","Baixa"))))</f>
        <v/>
      </c>
      <c r="O193" s="46" t="str">
        <f aca="false">IF($E193="","",IF(AND(Parâmetros!$C$5&gt;0,$P193&lt;&gt;"",$P193&gt;=Parâmetros!$C$5),"Sim","Não"))</f>
        <v/>
      </c>
      <c r="P193" s="45" t="str">
        <f aca="false">IF($E193="","",IF($G193="","",IF($G193="NOK",$F193,0)))</f>
        <v/>
      </c>
      <c r="Q193" s="46" t="str">
        <f aca="false">IF($E193="","",IF($O193&lt;&gt;"Sim","",COUNTIF($O$3:$O193,"Sim")))</f>
        <v/>
      </c>
      <c r="R193" s="47" t="n">
        <f aca="false">IF($P193="",0,$P193)</f>
        <v>0</v>
      </c>
    </row>
    <row r="194" customFormat="false" ht="18" hidden="false" customHeight="true" outlineLevel="0" collapsed="false">
      <c r="A194" s="39"/>
      <c r="B194" s="41"/>
      <c r="C194" s="40"/>
      <c r="D194" s="40"/>
      <c r="E194" s="40"/>
      <c r="F194" s="42"/>
      <c r="G194" s="39"/>
      <c r="H194" s="40"/>
      <c r="I194" s="40"/>
      <c r="J194" s="40"/>
      <c r="K194" s="41"/>
      <c r="L194" s="39"/>
      <c r="M194" s="48" t="str">
        <f aca="false">IF($E194="","",IFERROR(INDEX(Parâmetros!$C$15:$C$20,MATCH($P194,Parâmetros!$B$15:$B$20,0)),""))</f>
        <v/>
      </c>
      <c r="N194" s="46" t="str">
        <f aca="false">IF($E194="","",IF($P194="","",IF($P194&gt;=8,"Alta",IF($P194&gt;=5,"Média","Baixa"))))</f>
        <v/>
      </c>
      <c r="O194" s="46" t="str">
        <f aca="false">IF($E194="","",IF(AND(Parâmetros!$C$5&gt;0,$P194&lt;&gt;"",$P194&gt;=Parâmetros!$C$5),"Sim","Não"))</f>
        <v/>
      </c>
      <c r="P194" s="45" t="str">
        <f aca="false">IF($E194="","",IF($G194="","",IF($G194="NOK",$F194,0)))</f>
        <v/>
      </c>
      <c r="Q194" s="46" t="str">
        <f aca="false">IF($E194="","",IF($O194&lt;&gt;"Sim","",COUNTIF($O$3:$O194,"Sim")))</f>
        <v/>
      </c>
      <c r="R194" s="47" t="n">
        <f aca="false">IF($P194="",0,$P194)</f>
        <v>0</v>
      </c>
    </row>
    <row r="195" customFormat="false" ht="18" hidden="false" customHeight="true" outlineLevel="0" collapsed="false">
      <c r="A195" s="39"/>
      <c r="B195" s="41"/>
      <c r="C195" s="40"/>
      <c r="D195" s="40"/>
      <c r="E195" s="40"/>
      <c r="F195" s="42"/>
      <c r="G195" s="39"/>
      <c r="H195" s="40"/>
      <c r="I195" s="40"/>
      <c r="J195" s="40"/>
      <c r="K195" s="41"/>
      <c r="L195" s="39"/>
      <c r="M195" s="48" t="str">
        <f aca="false">IF($E195="","",IFERROR(INDEX(Parâmetros!$C$15:$C$20,MATCH($P195,Parâmetros!$B$15:$B$20,0)),""))</f>
        <v/>
      </c>
      <c r="N195" s="46" t="str">
        <f aca="false">IF($E195="","",IF($P195="","",IF($P195&gt;=8,"Alta",IF($P195&gt;=5,"Média","Baixa"))))</f>
        <v/>
      </c>
      <c r="O195" s="46" t="str">
        <f aca="false">IF($E195="","",IF(AND(Parâmetros!$C$5&gt;0,$P195&lt;&gt;"",$P195&gt;=Parâmetros!$C$5),"Sim","Não"))</f>
        <v/>
      </c>
      <c r="P195" s="45" t="str">
        <f aca="false">IF($E195="","",IF($G195="","",IF($G195="NOK",$F195,0)))</f>
        <v/>
      </c>
      <c r="Q195" s="46" t="str">
        <f aca="false">IF($E195="","",IF($O195&lt;&gt;"Sim","",COUNTIF($O$3:$O195,"Sim")))</f>
        <v/>
      </c>
      <c r="R195" s="47" t="n">
        <f aca="false">IF($P195="",0,$P195)</f>
        <v>0</v>
      </c>
    </row>
    <row r="196" customFormat="false" ht="18" hidden="false" customHeight="true" outlineLevel="0" collapsed="false">
      <c r="A196" s="39"/>
      <c r="B196" s="41"/>
      <c r="C196" s="40"/>
      <c r="D196" s="40"/>
      <c r="E196" s="40"/>
      <c r="F196" s="42"/>
      <c r="G196" s="39"/>
      <c r="H196" s="40"/>
      <c r="I196" s="40"/>
      <c r="J196" s="40"/>
      <c r="K196" s="41"/>
      <c r="L196" s="39"/>
      <c r="M196" s="48" t="str">
        <f aca="false">IF($E196="","",IFERROR(INDEX(Parâmetros!$C$15:$C$20,MATCH($P196,Parâmetros!$B$15:$B$20,0)),""))</f>
        <v/>
      </c>
      <c r="N196" s="46" t="str">
        <f aca="false">IF($E196="","",IF($P196="","",IF($P196&gt;=8,"Alta",IF($P196&gt;=5,"Média","Baixa"))))</f>
        <v/>
      </c>
      <c r="O196" s="46" t="str">
        <f aca="false">IF($E196="","",IF(AND(Parâmetros!$C$5&gt;0,$P196&lt;&gt;"",$P196&gt;=Parâmetros!$C$5),"Sim","Não"))</f>
        <v/>
      </c>
      <c r="P196" s="45" t="str">
        <f aca="false">IF($E196="","",IF($G196="","",IF($G196="NOK",$F196,0)))</f>
        <v/>
      </c>
      <c r="Q196" s="46" t="str">
        <f aca="false">IF($E196="","",IF($O196&lt;&gt;"Sim","",COUNTIF($O$3:$O196,"Sim")))</f>
        <v/>
      </c>
      <c r="R196" s="47" t="n">
        <f aca="false">IF($P196="",0,$P196)</f>
        <v>0</v>
      </c>
    </row>
    <row r="197" customFormat="false" ht="18" hidden="false" customHeight="true" outlineLevel="0" collapsed="false">
      <c r="A197" s="39"/>
      <c r="B197" s="41"/>
      <c r="C197" s="40"/>
      <c r="D197" s="40"/>
      <c r="E197" s="40"/>
      <c r="F197" s="42"/>
      <c r="G197" s="39"/>
      <c r="H197" s="40"/>
      <c r="I197" s="40"/>
      <c r="J197" s="40"/>
      <c r="K197" s="41"/>
      <c r="L197" s="39"/>
      <c r="M197" s="48" t="str">
        <f aca="false">IF($E197="","",IFERROR(INDEX(Parâmetros!$C$15:$C$20,MATCH($P197,Parâmetros!$B$15:$B$20,0)),""))</f>
        <v/>
      </c>
      <c r="N197" s="46" t="str">
        <f aca="false">IF($E197="","",IF($P197="","",IF($P197&gt;=8,"Alta",IF($P197&gt;=5,"Média","Baixa"))))</f>
        <v/>
      </c>
      <c r="O197" s="46" t="str">
        <f aca="false">IF($E197="","",IF(AND(Parâmetros!$C$5&gt;0,$P197&lt;&gt;"",$P197&gt;=Parâmetros!$C$5),"Sim","Não"))</f>
        <v/>
      </c>
      <c r="P197" s="45" t="str">
        <f aca="false">IF($E197="","",IF($G197="","",IF($G197="NOK",$F197,0)))</f>
        <v/>
      </c>
      <c r="Q197" s="46" t="str">
        <f aca="false">IF($E197="","",IF($O197&lt;&gt;"Sim","",COUNTIF($O$3:$O197,"Sim")))</f>
        <v/>
      </c>
      <c r="R197" s="47" t="n">
        <f aca="false">IF($P197="",0,$P197)</f>
        <v>0</v>
      </c>
    </row>
    <row r="198" customFormat="false" ht="18" hidden="false" customHeight="true" outlineLevel="0" collapsed="false">
      <c r="A198" s="39"/>
      <c r="B198" s="41"/>
      <c r="C198" s="40"/>
      <c r="D198" s="40"/>
      <c r="E198" s="40"/>
      <c r="F198" s="42"/>
      <c r="G198" s="39"/>
      <c r="H198" s="40"/>
      <c r="I198" s="40"/>
      <c r="J198" s="40"/>
      <c r="K198" s="41"/>
      <c r="L198" s="39"/>
      <c r="M198" s="48" t="str">
        <f aca="false">IF($E198="","",IFERROR(INDEX(Parâmetros!$C$15:$C$20,MATCH($P198,Parâmetros!$B$15:$B$20,0)),""))</f>
        <v/>
      </c>
      <c r="N198" s="46" t="str">
        <f aca="false">IF($E198="","",IF($P198="","",IF($P198&gt;=8,"Alta",IF($P198&gt;=5,"Média","Baixa"))))</f>
        <v/>
      </c>
      <c r="O198" s="46" t="str">
        <f aca="false">IF($E198="","",IF(AND(Parâmetros!$C$5&gt;0,$P198&lt;&gt;"",$P198&gt;=Parâmetros!$C$5),"Sim","Não"))</f>
        <v/>
      </c>
      <c r="P198" s="45" t="str">
        <f aca="false">IF($E198="","",IF($G198="","",IF($G198="NOK",$F198,0)))</f>
        <v/>
      </c>
      <c r="Q198" s="46" t="str">
        <f aca="false">IF($E198="","",IF($O198&lt;&gt;"Sim","",COUNTIF($O$3:$O198,"Sim")))</f>
        <v/>
      </c>
      <c r="R198" s="47" t="n">
        <f aca="false">IF($P198="",0,$P198)</f>
        <v>0</v>
      </c>
    </row>
    <row r="199" customFormat="false" ht="18" hidden="false" customHeight="true" outlineLevel="0" collapsed="false">
      <c r="A199" s="39"/>
      <c r="B199" s="41"/>
      <c r="C199" s="40"/>
      <c r="D199" s="40"/>
      <c r="E199" s="40"/>
      <c r="F199" s="42"/>
      <c r="G199" s="39"/>
      <c r="H199" s="40"/>
      <c r="I199" s="40"/>
      <c r="J199" s="40"/>
      <c r="K199" s="41"/>
      <c r="L199" s="39"/>
      <c r="M199" s="48" t="str">
        <f aca="false">IF($E199="","",IFERROR(INDEX(Parâmetros!$C$15:$C$20,MATCH($P199,Parâmetros!$B$15:$B$20,0)),""))</f>
        <v/>
      </c>
      <c r="N199" s="46" t="str">
        <f aca="false">IF($E199="","",IF($P199="","",IF($P199&gt;=8,"Alta",IF($P199&gt;=5,"Média","Baixa"))))</f>
        <v/>
      </c>
      <c r="O199" s="46" t="str">
        <f aca="false">IF($E199="","",IF(AND(Parâmetros!$C$5&gt;0,$P199&lt;&gt;"",$P199&gt;=Parâmetros!$C$5),"Sim","Não"))</f>
        <v/>
      </c>
      <c r="P199" s="45" t="str">
        <f aca="false">IF($E199="","",IF($G199="","",IF($G199="NOK",$F199,0)))</f>
        <v/>
      </c>
      <c r="Q199" s="46" t="str">
        <f aca="false">IF($E199="","",IF($O199&lt;&gt;"Sim","",COUNTIF($O$3:$O199,"Sim")))</f>
        <v/>
      </c>
      <c r="R199" s="47" t="n">
        <f aca="false">IF($P199="",0,$P199)</f>
        <v>0</v>
      </c>
    </row>
    <row r="200" customFormat="false" ht="18" hidden="false" customHeight="true" outlineLevel="0" collapsed="false">
      <c r="A200" s="39"/>
      <c r="B200" s="41"/>
      <c r="C200" s="40"/>
      <c r="D200" s="40"/>
      <c r="E200" s="40"/>
      <c r="F200" s="42"/>
      <c r="G200" s="39"/>
      <c r="H200" s="40"/>
      <c r="I200" s="40"/>
      <c r="J200" s="40"/>
      <c r="K200" s="41"/>
      <c r="L200" s="39"/>
      <c r="M200" s="48" t="str">
        <f aca="false">IF($E200="","",IFERROR(INDEX(Parâmetros!$C$15:$C$20,MATCH($P200,Parâmetros!$B$15:$B$20,0)),""))</f>
        <v/>
      </c>
      <c r="N200" s="46" t="str">
        <f aca="false">IF($E200="","",IF($P200="","",IF($P200&gt;=8,"Alta",IF($P200&gt;=5,"Média","Baixa"))))</f>
        <v/>
      </c>
      <c r="O200" s="46" t="str">
        <f aca="false">IF($E200="","",IF(AND(Parâmetros!$C$5&gt;0,$P200&lt;&gt;"",$P200&gt;=Parâmetros!$C$5),"Sim","Não"))</f>
        <v/>
      </c>
      <c r="P200" s="45" t="str">
        <f aca="false">IF($E200="","",IF($G200="","",IF($G200="NOK",$F200,0)))</f>
        <v/>
      </c>
      <c r="Q200" s="46" t="str">
        <f aca="false">IF($E200="","",IF($O200&lt;&gt;"Sim","",COUNTIF($O$3:$O200,"Sim")))</f>
        <v/>
      </c>
      <c r="R200" s="47" t="n">
        <f aca="false">IF($P200="",0,$P200)</f>
        <v>0</v>
      </c>
    </row>
    <row r="201" customFormat="false" ht="18" hidden="false" customHeight="true" outlineLevel="0" collapsed="false">
      <c r="A201" s="39"/>
      <c r="B201" s="41"/>
      <c r="C201" s="40"/>
      <c r="D201" s="40"/>
      <c r="E201" s="40"/>
      <c r="F201" s="42"/>
      <c r="G201" s="39"/>
      <c r="H201" s="40"/>
      <c r="I201" s="40"/>
      <c r="J201" s="40"/>
      <c r="K201" s="41"/>
      <c r="L201" s="39"/>
      <c r="M201" s="48" t="str">
        <f aca="false">IF($E201="","",IFERROR(INDEX(Parâmetros!$C$15:$C$20,MATCH($P201,Parâmetros!$B$15:$B$20,0)),""))</f>
        <v/>
      </c>
      <c r="N201" s="46" t="str">
        <f aca="false">IF($E201="","",IF($P201="","",IF($P201&gt;=8,"Alta",IF($P201&gt;=5,"Média","Baixa"))))</f>
        <v/>
      </c>
      <c r="O201" s="46" t="str">
        <f aca="false">IF($E201="","",IF(AND(Parâmetros!$C$5&gt;0,$P201&lt;&gt;"",$P201&gt;=Parâmetros!$C$5),"Sim","Não"))</f>
        <v/>
      </c>
      <c r="P201" s="45" t="str">
        <f aca="false">IF($E201="","",IF($G201="","",IF($G201="NOK",$F201,0)))</f>
        <v/>
      </c>
      <c r="Q201" s="46" t="str">
        <f aca="false">IF($E201="","",IF($O201&lt;&gt;"Sim","",COUNTIF($O$3:$O201,"Sim")))</f>
        <v/>
      </c>
      <c r="R201" s="47" t="n">
        <f aca="false">IF($P201="",0,$P201)</f>
        <v>0</v>
      </c>
    </row>
    <row r="202" customFormat="false" ht="18" hidden="false" customHeight="true" outlineLevel="0" collapsed="false">
      <c r="A202" s="39"/>
      <c r="B202" s="41"/>
      <c r="C202" s="40"/>
      <c r="D202" s="40"/>
      <c r="E202" s="40"/>
      <c r="F202" s="42"/>
      <c r="G202" s="39"/>
      <c r="H202" s="40"/>
      <c r="I202" s="40"/>
      <c r="J202" s="40"/>
      <c r="K202" s="41"/>
      <c r="L202" s="39"/>
      <c r="M202" s="48" t="str">
        <f aca="false">IF($E202="","",IFERROR(INDEX(Parâmetros!$C$15:$C$20,MATCH($P202,Parâmetros!$B$15:$B$20,0)),""))</f>
        <v/>
      </c>
      <c r="N202" s="46" t="str">
        <f aca="false">IF($E202="","",IF($P202="","",IF($P202&gt;=8,"Alta",IF($P202&gt;=5,"Média","Baixa"))))</f>
        <v/>
      </c>
      <c r="O202" s="46" t="str">
        <f aca="false">IF($E202="","",IF(AND(Parâmetros!$C$5&gt;0,$P202&lt;&gt;"",$P202&gt;=Parâmetros!$C$5),"Sim","Não"))</f>
        <v/>
      </c>
      <c r="P202" s="45" t="str">
        <f aca="false">IF($E202="","",IF($G202="","",IF($G202="NOK",$F202,0)))</f>
        <v/>
      </c>
      <c r="Q202" s="46" t="str">
        <f aca="false">IF($E202="","",IF($O202&lt;&gt;"Sim","",COUNTIF($O$3:$O202,"Sim")))</f>
        <v/>
      </c>
      <c r="R202" s="47" t="n">
        <f aca="false">IF($P202="",0,$P202)</f>
        <v>0</v>
      </c>
    </row>
    <row r="203" customFormat="false" ht="18" hidden="false" customHeight="true" outlineLevel="0" collapsed="false">
      <c r="A203" s="39"/>
      <c r="B203" s="41"/>
      <c r="C203" s="40"/>
      <c r="D203" s="40"/>
      <c r="E203" s="40"/>
      <c r="F203" s="42"/>
      <c r="G203" s="39"/>
      <c r="H203" s="40"/>
      <c r="I203" s="40"/>
      <c r="J203" s="40"/>
      <c r="K203" s="41"/>
      <c r="L203" s="39"/>
      <c r="M203" s="48" t="str">
        <f aca="false">IF($E203="","",IFERROR(INDEX(Parâmetros!$C$15:$C$20,MATCH($P203,Parâmetros!$B$15:$B$20,0)),""))</f>
        <v/>
      </c>
      <c r="N203" s="46" t="str">
        <f aca="false">IF($E203="","",IF($P203="","",IF($P203&gt;=8,"Alta",IF($P203&gt;=5,"Média","Baixa"))))</f>
        <v/>
      </c>
      <c r="O203" s="46" t="str">
        <f aca="false">IF($E203="","",IF(AND(Parâmetros!$C$5&gt;0,$P203&lt;&gt;"",$P203&gt;=Parâmetros!$C$5),"Sim","Não"))</f>
        <v/>
      </c>
      <c r="P203" s="45" t="str">
        <f aca="false">IF($E203="","",IF($G203="","",IF($G203="NOK",$F203,0)))</f>
        <v/>
      </c>
      <c r="Q203" s="46" t="str">
        <f aca="false">IF($E203="","",IF($O203&lt;&gt;"Sim","",COUNTIF($O$3:$O203,"Sim")))</f>
        <v/>
      </c>
      <c r="R203" s="47" t="n">
        <f aca="false">IF($P203="",0,$P203)</f>
        <v>0</v>
      </c>
    </row>
    <row r="204" customFormat="false" ht="18" hidden="false" customHeight="true" outlineLevel="0" collapsed="false">
      <c r="A204" s="39"/>
      <c r="B204" s="41"/>
      <c r="C204" s="40"/>
      <c r="D204" s="40"/>
      <c r="E204" s="40"/>
      <c r="F204" s="42"/>
      <c r="G204" s="39"/>
      <c r="H204" s="40"/>
      <c r="I204" s="40"/>
      <c r="J204" s="40"/>
      <c r="K204" s="41"/>
      <c r="L204" s="39"/>
      <c r="M204" s="48" t="str">
        <f aca="false">IF($E204="","",IFERROR(INDEX(Parâmetros!$C$15:$C$20,MATCH($P204,Parâmetros!$B$15:$B$20,0)),""))</f>
        <v/>
      </c>
      <c r="N204" s="46" t="str">
        <f aca="false">IF($E204="","",IF($P204="","",IF($P204&gt;=8,"Alta",IF($P204&gt;=5,"Média","Baixa"))))</f>
        <v/>
      </c>
      <c r="O204" s="46" t="str">
        <f aca="false">IF($E204="","",IF(AND(Parâmetros!$C$5&gt;0,$P204&lt;&gt;"",$P204&gt;=Parâmetros!$C$5),"Sim","Não"))</f>
        <v/>
      </c>
      <c r="P204" s="45" t="str">
        <f aca="false">IF($E204="","",IF($G204="","",IF($G204="NOK",$F204,0)))</f>
        <v/>
      </c>
      <c r="Q204" s="46" t="str">
        <f aca="false">IF($E204="","",IF($O204&lt;&gt;"Sim","",COUNTIF($O$3:$O204,"Sim")))</f>
        <v/>
      </c>
      <c r="R204" s="47" t="n">
        <f aca="false">IF($P204="",0,$P204)</f>
        <v>0</v>
      </c>
    </row>
    <row r="205" customFormat="false" ht="18" hidden="false" customHeight="true" outlineLevel="0" collapsed="false">
      <c r="A205" s="39"/>
      <c r="B205" s="41"/>
      <c r="C205" s="40"/>
      <c r="D205" s="40"/>
      <c r="E205" s="40"/>
      <c r="F205" s="42"/>
      <c r="G205" s="39"/>
      <c r="H205" s="40"/>
      <c r="I205" s="40"/>
      <c r="J205" s="40"/>
      <c r="K205" s="41"/>
      <c r="L205" s="39"/>
      <c r="M205" s="48" t="str">
        <f aca="false">IF($E205="","",IFERROR(INDEX(Parâmetros!$C$15:$C$20,MATCH($P205,Parâmetros!$B$15:$B$20,0)),""))</f>
        <v/>
      </c>
      <c r="N205" s="46" t="str">
        <f aca="false">IF($E205="","",IF($P205="","",IF($P205&gt;=8,"Alta",IF($P205&gt;=5,"Média","Baixa"))))</f>
        <v/>
      </c>
      <c r="O205" s="46" t="str">
        <f aca="false">IF($E205="","",IF(AND(Parâmetros!$C$5&gt;0,$P205&lt;&gt;"",$P205&gt;=Parâmetros!$C$5),"Sim","Não"))</f>
        <v/>
      </c>
      <c r="P205" s="45" t="str">
        <f aca="false">IF($E205="","",IF($G205="","",IF($G205="NOK",$F205,0)))</f>
        <v/>
      </c>
      <c r="Q205" s="46" t="str">
        <f aca="false">IF($E205="","",IF($O205&lt;&gt;"Sim","",COUNTIF($O$3:$O205,"Sim")))</f>
        <v/>
      </c>
      <c r="R205" s="47" t="n">
        <f aca="false">IF($P205="",0,$P205)</f>
        <v>0</v>
      </c>
    </row>
    <row r="206" customFormat="false" ht="18" hidden="false" customHeight="true" outlineLevel="0" collapsed="false">
      <c r="A206" s="39"/>
      <c r="B206" s="41"/>
      <c r="C206" s="40"/>
      <c r="D206" s="40"/>
      <c r="E206" s="40"/>
      <c r="F206" s="42"/>
      <c r="G206" s="39"/>
      <c r="H206" s="40"/>
      <c r="I206" s="40"/>
      <c r="J206" s="40"/>
      <c r="K206" s="41"/>
      <c r="L206" s="39"/>
      <c r="M206" s="48" t="str">
        <f aca="false">IF($E206="","",IFERROR(INDEX(Parâmetros!$C$15:$C$20,MATCH($P206,Parâmetros!$B$15:$B$20,0)),""))</f>
        <v/>
      </c>
      <c r="N206" s="46" t="str">
        <f aca="false">IF($E206="","",IF($P206="","",IF($P206&gt;=8,"Alta",IF($P206&gt;=5,"Média","Baixa"))))</f>
        <v/>
      </c>
      <c r="O206" s="46" t="str">
        <f aca="false">IF($E206="","",IF(AND(Parâmetros!$C$5&gt;0,$P206&lt;&gt;"",$P206&gt;=Parâmetros!$C$5),"Sim","Não"))</f>
        <v/>
      </c>
      <c r="P206" s="45" t="str">
        <f aca="false">IF($E206="","",IF($G206="","",IF($G206="NOK",$F206,0)))</f>
        <v/>
      </c>
      <c r="Q206" s="46" t="str">
        <f aca="false">IF($E206="","",IF($O206&lt;&gt;"Sim","",COUNTIF($O$3:$O206,"Sim")))</f>
        <v/>
      </c>
      <c r="R206" s="47" t="n">
        <f aca="false">IF($P206="",0,$P206)</f>
        <v>0</v>
      </c>
    </row>
    <row r="207" customFormat="false" ht="18" hidden="false" customHeight="true" outlineLevel="0" collapsed="false">
      <c r="A207" s="39"/>
      <c r="B207" s="41"/>
      <c r="C207" s="40"/>
      <c r="D207" s="40"/>
      <c r="E207" s="40"/>
      <c r="F207" s="42"/>
      <c r="G207" s="39"/>
      <c r="H207" s="40"/>
      <c r="I207" s="40"/>
      <c r="J207" s="40"/>
      <c r="K207" s="41"/>
      <c r="L207" s="39"/>
      <c r="M207" s="48" t="str">
        <f aca="false">IF($E207="","",IFERROR(INDEX(Parâmetros!$C$15:$C$20,MATCH($P207,Parâmetros!$B$15:$B$20,0)),""))</f>
        <v/>
      </c>
      <c r="N207" s="46" t="str">
        <f aca="false">IF($E207="","",IF($P207="","",IF($P207&gt;=8,"Alta",IF($P207&gt;=5,"Média","Baixa"))))</f>
        <v/>
      </c>
      <c r="O207" s="46" t="str">
        <f aca="false">IF($E207="","",IF(AND(Parâmetros!$C$5&gt;0,$P207&lt;&gt;"",$P207&gt;=Parâmetros!$C$5),"Sim","Não"))</f>
        <v/>
      </c>
      <c r="P207" s="45" t="str">
        <f aca="false">IF($E207="","",IF($G207="","",IF($G207="NOK",$F207,0)))</f>
        <v/>
      </c>
      <c r="Q207" s="46" t="str">
        <f aca="false">IF($E207="","",IF($O207&lt;&gt;"Sim","",COUNTIF($O$3:$O207,"Sim")))</f>
        <v/>
      </c>
      <c r="R207" s="47" t="n">
        <f aca="false">IF($P207="",0,$P207)</f>
        <v>0</v>
      </c>
    </row>
    <row r="208" customFormat="false" ht="18" hidden="false" customHeight="true" outlineLevel="0" collapsed="false">
      <c r="A208" s="39"/>
      <c r="B208" s="41"/>
      <c r="C208" s="40"/>
      <c r="D208" s="40"/>
      <c r="E208" s="40"/>
      <c r="F208" s="42"/>
      <c r="G208" s="39"/>
      <c r="H208" s="40"/>
      <c r="I208" s="40"/>
      <c r="J208" s="40"/>
      <c r="K208" s="41"/>
      <c r="L208" s="39"/>
      <c r="M208" s="48" t="str">
        <f aca="false">IF($E208="","",IFERROR(INDEX(Parâmetros!$C$15:$C$20,MATCH($P208,Parâmetros!$B$15:$B$20,0)),""))</f>
        <v/>
      </c>
      <c r="N208" s="46" t="str">
        <f aca="false">IF($E208="","",IF($P208="","",IF($P208&gt;=8,"Alta",IF($P208&gt;=5,"Média","Baixa"))))</f>
        <v/>
      </c>
      <c r="O208" s="46" t="str">
        <f aca="false">IF($E208="","",IF(AND(Parâmetros!$C$5&gt;0,$P208&lt;&gt;"",$P208&gt;=Parâmetros!$C$5),"Sim","Não"))</f>
        <v/>
      </c>
      <c r="P208" s="45" t="str">
        <f aca="false">IF($E208="","",IF($G208="","",IF($G208="NOK",$F208,0)))</f>
        <v/>
      </c>
      <c r="Q208" s="46" t="str">
        <f aca="false">IF($E208="","",IF($O208&lt;&gt;"Sim","",COUNTIF($O$3:$O208,"Sim")))</f>
        <v/>
      </c>
      <c r="R208" s="47" t="n">
        <f aca="false">IF($P208="",0,$P208)</f>
        <v>0</v>
      </c>
    </row>
    <row r="209" customFormat="false" ht="18" hidden="false" customHeight="true" outlineLevel="0" collapsed="false">
      <c r="A209" s="39"/>
      <c r="B209" s="41"/>
      <c r="C209" s="40"/>
      <c r="D209" s="40"/>
      <c r="E209" s="40"/>
      <c r="F209" s="42"/>
      <c r="G209" s="39"/>
      <c r="H209" s="40"/>
      <c r="I209" s="40"/>
      <c r="J209" s="40"/>
      <c r="K209" s="41"/>
      <c r="L209" s="39"/>
      <c r="M209" s="48" t="str">
        <f aca="false">IF($E209="","",IFERROR(INDEX(Parâmetros!$C$15:$C$20,MATCH($P209,Parâmetros!$B$15:$B$20,0)),""))</f>
        <v/>
      </c>
      <c r="N209" s="46" t="str">
        <f aca="false">IF($E209="","",IF($P209="","",IF($P209&gt;=8,"Alta",IF($P209&gt;=5,"Média","Baixa"))))</f>
        <v/>
      </c>
      <c r="O209" s="46" t="str">
        <f aca="false">IF($E209="","",IF(AND(Parâmetros!$C$5&gt;0,$P209&lt;&gt;"",$P209&gt;=Parâmetros!$C$5),"Sim","Não"))</f>
        <v/>
      </c>
      <c r="P209" s="45" t="str">
        <f aca="false">IF($E209="","",IF($G209="","",IF($G209="NOK",$F209,0)))</f>
        <v/>
      </c>
      <c r="Q209" s="46" t="str">
        <f aca="false">IF($E209="","",IF($O209&lt;&gt;"Sim","",COUNTIF($O$3:$O209,"Sim")))</f>
        <v/>
      </c>
      <c r="R209" s="47" t="n">
        <f aca="false">IF($P209="",0,$P209)</f>
        <v>0</v>
      </c>
    </row>
    <row r="210" customFormat="false" ht="18" hidden="false" customHeight="true" outlineLevel="0" collapsed="false">
      <c r="A210" s="39"/>
      <c r="B210" s="41"/>
      <c r="C210" s="40"/>
      <c r="D210" s="40"/>
      <c r="E210" s="40"/>
      <c r="F210" s="42"/>
      <c r="G210" s="39"/>
      <c r="H210" s="40"/>
      <c r="I210" s="40"/>
      <c r="J210" s="40"/>
      <c r="K210" s="41"/>
      <c r="L210" s="39"/>
      <c r="M210" s="48" t="str">
        <f aca="false">IF($E210="","",IFERROR(INDEX(Parâmetros!$C$15:$C$20,MATCH($P210,Parâmetros!$B$15:$B$20,0)),""))</f>
        <v/>
      </c>
      <c r="N210" s="46" t="str">
        <f aca="false">IF($E210="","",IF($P210="","",IF($P210&gt;=8,"Alta",IF($P210&gt;=5,"Média","Baixa"))))</f>
        <v/>
      </c>
      <c r="O210" s="46" t="str">
        <f aca="false">IF($E210="","",IF(AND(Parâmetros!$C$5&gt;0,$P210&lt;&gt;"",$P210&gt;=Parâmetros!$C$5),"Sim","Não"))</f>
        <v/>
      </c>
      <c r="P210" s="45" t="str">
        <f aca="false">IF($E210="","",IF($G210="","",IF($G210="NOK",$F210,0)))</f>
        <v/>
      </c>
      <c r="Q210" s="46" t="str">
        <f aca="false">IF($E210="","",IF($O210&lt;&gt;"Sim","",COUNTIF($O$3:$O210,"Sim")))</f>
        <v/>
      </c>
      <c r="R210" s="47" t="n">
        <f aca="false">IF($P210="",0,$P210)</f>
        <v>0</v>
      </c>
    </row>
    <row r="211" customFormat="false" ht="18" hidden="false" customHeight="true" outlineLevel="0" collapsed="false">
      <c r="A211" s="39"/>
      <c r="B211" s="41"/>
      <c r="C211" s="40"/>
      <c r="D211" s="40"/>
      <c r="E211" s="40"/>
      <c r="F211" s="42"/>
      <c r="G211" s="39"/>
      <c r="H211" s="40"/>
      <c r="I211" s="40"/>
      <c r="J211" s="40"/>
      <c r="K211" s="41"/>
      <c r="L211" s="39"/>
      <c r="M211" s="48" t="str">
        <f aca="false">IF($E211="","",IFERROR(INDEX(Parâmetros!$C$15:$C$20,MATCH($P211,Parâmetros!$B$15:$B$20,0)),""))</f>
        <v/>
      </c>
      <c r="N211" s="46" t="str">
        <f aca="false">IF($E211="","",IF($P211="","",IF($P211&gt;=8,"Alta",IF($P211&gt;=5,"Média","Baixa"))))</f>
        <v/>
      </c>
      <c r="O211" s="46" t="str">
        <f aca="false">IF($E211="","",IF(AND(Parâmetros!$C$5&gt;0,$P211&lt;&gt;"",$P211&gt;=Parâmetros!$C$5),"Sim","Não"))</f>
        <v/>
      </c>
      <c r="P211" s="45" t="str">
        <f aca="false">IF($E211="","",IF($G211="","",IF($G211="NOK",$F211,0)))</f>
        <v/>
      </c>
      <c r="Q211" s="46" t="str">
        <f aca="false">IF($E211="","",IF($O211&lt;&gt;"Sim","",COUNTIF($O$3:$O211,"Sim")))</f>
        <v/>
      </c>
      <c r="R211" s="47" t="n">
        <f aca="false">IF($P211="",0,$P211)</f>
        <v>0</v>
      </c>
    </row>
    <row r="212" customFormat="false" ht="18" hidden="false" customHeight="true" outlineLevel="0" collapsed="false">
      <c r="A212" s="39"/>
      <c r="B212" s="41"/>
      <c r="C212" s="40"/>
      <c r="D212" s="40"/>
      <c r="E212" s="40"/>
      <c r="F212" s="42"/>
      <c r="G212" s="39"/>
      <c r="H212" s="40"/>
      <c r="I212" s="40"/>
      <c r="J212" s="40"/>
      <c r="K212" s="41"/>
      <c r="L212" s="39"/>
      <c r="M212" s="48" t="str">
        <f aca="false">IF($E212="","",IFERROR(INDEX(Parâmetros!$C$15:$C$20,MATCH($P212,Parâmetros!$B$15:$B$20,0)),""))</f>
        <v/>
      </c>
      <c r="N212" s="46" t="str">
        <f aca="false">IF($E212="","",IF($P212="","",IF($P212&gt;=8,"Alta",IF($P212&gt;=5,"Média","Baixa"))))</f>
        <v/>
      </c>
      <c r="O212" s="46" t="str">
        <f aca="false">IF($E212="","",IF(AND(Parâmetros!$C$5&gt;0,$P212&lt;&gt;"",$P212&gt;=Parâmetros!$C$5),"Sim","Não"))</f>
        <v/>
      </c>
      <c r="P212" s="45" t="str">
        <f aca="false">IF($E212="","",IF($G212="","",IF($G212="NOK",$F212,0)))</f>
        <v/>
      </c>
      <c r="Q212" s="46" t="str">
        <f aca="false">IF($E212="","",IF($O212&lt;&gt;"Sim","",COUNTIF($O$3:$O212,"Sim")))</f>
        <v/>
      </c>
      <c r="R212" s="47" t="n">
        <f aca="false">IF($P212="",0,$P212)</f>
        <v>0</v>
      </c>
    </row>
    <row r="213" customFormat="false" ht="18" hidden="false" customHeight="true" outlineLevel="0" collapsed="false">
      <c r="A213" s="39"/>
      <c r="B213" s="41"/>
      <c r="C213" s="40"/>
      <c r="D213" s="40"/>
      <c r="E213" s="40"/>
      <c r="F213" s="42"/>
      <c r="G213" s="39"/>
      <c r="H213" s="40"/>
      <c r="I213" s="40"/>
      <c r="J213" s="40"/>
      <c r="K213" s="41"/>
      <c r="L213" s="39"/>
      <c r="M213" s="48" t="str">
        <f aca="false">IF($E213="","",IFERROR(INDEX(Parâmetros!$C$15:$C$20,MATCH($P213,Parâmetros!$B$15:$B$20,0)),""))</f>
        <v/>
      </c>
      <c r="N213" s="46" t="str">
        <f aca="false">IF($E213="","",IF($P213="","",IF($P213&gt;=8,"Alta",IF($P213&gt;=5,"Média","Baixa"))))</f>
        <v/>
      </c>
      <c r="O213" s="46" t="str">
        <f aca="false">IF($E213="","",IF(AND(Parâmetros!$C$5&gt;0,$P213&lt;&gt;"",$P213&gt;=Parâmetros!$C$5),"Sim","Não"))</f>
        <v/>
      </c>
      <c r="P213" s="45" t="str">
        <f aca="false">IF($E213="","",IF($G213="","",IF($G213="NOK",$F213,0)))</f>
        <v/>
      </c>
      <c r="Q213" s="46" t="str">
        <f aca="false">IF($E213="","",IF($O213&lt;&gt;"Sim","",COUNTIF($O$3:$O213,"Sim")))</f>
        <v/>
      </c>
      <c r="R213" s="47" t="n">
        <f aca="false">IF($P213="",0,$P213)</f>
        <v>0</v>
      </c>
    </row>
    <row r="214" customFormat="false" ht="18" hidden="false" customHeight="true" outlineLevel="0" collapsed="false">
      <c r="A214" s="39"/>
      <c r="B214" s="41"/>
      <c r="C214" s="40"/>
      <c r="D214" s="40"/>
      <c r="E214" s="40"/>
      <c r="F214" s="42"/>
      <c r="G214" s="39"/>
      <c r="H214" s="40"/>
      <c r="I214" s="40"/>
      <c r="J214" s="40"/>
      <c r="K214" s="41"/>
      <c r="L214" s="39"/>
      <c r="M214" s="48" t="str">
        <f aca="false">IF($E214="","",IFERROR(INDEX(Parâmetros!$C$15:$C$20,MATCH($P214,Parâmetros!$B$15:$B$20,0)),""))</f>
        <v/>
      </c>
      <c r="N214" s="46" t="str">
        <f aca="false">IF($E214="","",IF($P214="","",IF($P214&gt;=8,"Alta",IF($P214&gt;=5,"Média","Baixa"))))</f>
        <v/>
      </c>
      <c r="O214" s="46" t="str">
        <f aca="false">IF($E214="","",IF(AND(Parâmetros!$C$5&gt;0,$P214&lt;&gt;"",$P214&gt;=Parâmetros!$C$5),"Sim","Não"))</f>
        <v/>
      </c>
      <c r="P214" s="45" t="str">
        <f aca="false">IF($E214="","",IF($G214="","",IF($G214="NOK",$F214,0)))</f>
        <v/>
      </c>
      <c r="Q214" s="46" t="str">
        <f aca="false">IF($E214="","",IF($O214&lt;&gt;"Sim","",COUNTIF($O$3:$O214,"Sim")))</f>
        <v/>
      </c>
      <c r="R214" s="47" t="n">
        <f aca="false">IF($P214="",0,$P214)</f>
        <v>0</v>
      </c>
    </row>
    <row r="215" customFormat="false" ht="18" hidden="false" customHeight="true" outlineLevel="0" collapsed="false">
      <c r="A215" s="39"/>
      <c r="B215" s="41"/>
      <c r="C215" s="40"/>
      <c r="D215" s="40"/>
      <c r="E215" s="40"/>
      <c r="F215" s="42"/>
      <c r="G215" s="39"/>
      <c r="H215" s="40"/>
      <c r="I215" s="40"/>
      <c r="J215" s="40"/>
      <c r="K215" s="41"/>
      <c r="L215" s="39"/>
      <c r="M215" s="48" t="str">
        <f aca="false">IF($E215="","",IFERROR(INDEX(Parâmetros!$C$15:$C$20,MATCH($P215,Parâmetros!$B$15:$B$20,0)),""))</f>
        <v/>
      </c>
      <c r="N215" s="46" t="str">
        <f aca="false">IF($E215="","",IF($P215="","",IF($P215&gt;=8,"Alta",IF($P215&gt;=5,"Média","Baixa"))))</f>
        <v/>
      </c>
      <c r="O215" s="46" t="str">
        <f aca="false">IF($E215="","",IF(AND(Parâmetros!$C$5&gt;0,$P215&lt;&gt;"",$P215&gt;=Parâmetros!$C$5),"Sim","Não"))</f>
        <v/>
      </c>
      <c r="P215" s="45" t="str">
        <f aca="false">IF($E215="","",IF($G215="","",IF($G215="NOK",$F215,0)))</f>
        <v/>
      </c>
      <c r="Q215" s="46" t="str">
        <f aca="false">IF($E215="","",IF($O215&lt;&gt;"Sim","",COUNTIF($O$3:$O215,"Sim")))</f>
        <v/>
      </c>
      <c r="R215" s="47" t="n">
        <f aca="false">IF($P215="",0,$P215)</f>
        <v>0</v>
      </c>
    </row>
    <row r="216" customFormat="false" ht="18" hidden="false" customHeight="true" outlineLevel="0" collapsed="false">
      <c r="A216" s="39"/>
      <c r="B216" s="41"/>
      <c r="C216" s="40"/>
      <c r="D216" s="40"/>
      <c r="E216" s="40"/>
      <c r="F216" s="42"/>
      <c r="G216" s="39"/>
      <c r="H216" s="40"/>
      <c r="I216" s="40"/>
      <c r="J216" s="40"/>
      <c r="K216" s="41"/>
      <c r="L216" s="39"/>
      <c r="M216" s="48" t="str">
        <f aca="false">IF($E216="","",IFERROR(INDEX(Parâmetros!$C$15:$C$20,MATCH($P216,Parâmetros!$B$15:$B$20,0)),""))</f>
        <v/>
      </c>
      <c r="N216" s="46" t="str">
        <f aca="false">IF($E216="","",IF($P216="","",IF($P216&gt;=8,"Alta",IF($P216&gt;=5,"Média","Baixa"))))</f>
        <v/>
      </c>
      <c r="O216" s="46" t="str">
        <f aca="false">IF($E216="","",IF(AND(Parâmetros!$C$5&gt;0,$P216&lt;&gt;"",$P216&gt;=Parâmetros!$C$5),"Sim","Não"))</f>
        <v/>
      </c>
      <c r="P216" s="45" t="str">
        <f aca="false">IF($E216="","",IF($G216="","",IF($G216="NOK",$F216,0)))</f>
        <v/>
      </c>
      <c r="Q216" s="46" t="str">
        <f aca="false">IF($E216="","",IF($O216&lt;&gt;"Sim","",COUNTIF($O$3:$O216,"Sim")))</f>
        <v/>
      </c>
      <c r="R216" s="47" t="n">
        <f aca="false">IF($P216="",0,$P216)</f>
        <v>0</v>
      </c>
    </row>
    <row r="217" customFormat="false" ht="18" hidden="false" customHeight="true" outlineLevel="0" collapsed="false">
      <c r="A217" s="39"/>
      <c r="B217" s="41"/>
      <c r="C217" s="40"/>
      <c r="D217" s="40"/>
      <c r="E217" s="40"/>
      <c r="F217" s="42"/>
      <c r="G217" s="39"/>
      <c r="H217" s="40"/>
      <c r="I217" s="40"/>
      <c r="J217" s="40"/>
      <c r="K217" s="41"/>
      <c r="L217" s="39"/>
      <c r="M217" s="48" t="str">
        <f aca="false">IF($E217="","",IFERROR(INDEX(Parâmetros!$C$15:$C$20,MATCH($P217,Parâmetros!$B$15:$B$20,0)),""))</f>
        <v/>
      </c>
      <c r="N217" s="46" t="str">
        <f aca="false">IF($E217="","",IF($P217="","",IF($P217&gt;=8,"Alta",IF($P217&gt;=5,"Média","Baixa"))))</f>
        <v/>
      </c>
      <c r="O217" s="46" t="str">
        <f aca="false">IF($E217="","",IF(AND(Parâmetros!$C$5&gt;0,$P217&lt;&gt;"",$P217&gt;=Parâmetros!$C$5),"Sim","Não"))</f>
        <v/>
      </c>
      <c r="P217" s="45" t="str">
        <f aca="false">IF($E217="","",IF($G217="","",IF($G217="NOK",$F217,0)))</f>
        <v/>
      </c>
      <c r="Q217" s="46" t="str">
        <f aca="false">IF($E217="","",IF($O217&lt;&gt;"Sim","",COUNTIF($O$3:$O217,"Sim")))</f>
        <v/>
      </c>
      <c r="R217" s="47" t="n">
        <f aca="false">IF($P217="",0,$P217)</f>
        <v>0</v>
      </c>
    </row>
    <row r="218" customFormat="false" ht="18" hidden="false" customHeight="true" outlineLevel="0" collapsed="false">
      <c r="A218" s="39"/>
      <c r="B218" s="41"/>
      <c r="C218" s="40"/>
      <c r="D218" s="40"/>
      <c r="E218" s="40"/>
      <c r="F218" s="42"/>
      <c r="G218" s="39"/>
      <c r="H218" s="40"/>
      <c r="I218" s="40"/>
      <c r="J218" s="40"/>
      <c r="K218" s="41"/>
      <c r="L218" s="39"/>
      <c r="M218" s="48" t="str">
        <f aca="false">IF($E218="","",IFERROR(INDEX(Parâmetros!$C$15:$C$20,MATCH($P218,Parâmetros!$B$15:$B$20,0)),""))</f>
        <v/>
      </c>
      <c r="N218" s="46" t="str">
        <f aca="false">IF($E218="","",IF($P218="","",IF($P218&gt;=8,"Alta",IF($P218&gt;=5,"Média","Baixa"))))</f>
        <v/>
      </c>
      <c r="O218" s="46" t="str">
        <f aca="false">IF($E218="","",IF(AND(Parâmetros!$C$5&gt;0,$P218&lt;&gt;"",$P218&gt;=Parâmetros!$C$5),"Sim","Não"))</f>
        <v/>
      </c>
      <c r="P218" s="45" t="str">
        <f aca="false">IF($E218="","",IF($G218="","",IF($G218="NOK",$F218,0)))</f>
        <v/>
      </c>
      <c r="Q218" s="46" t="str">
        <f aca="false">IF($E218="","",IF($O218&lt;&gt;"Sim","",COUNTIF($O$3:$O218,"Sim")))</f>
        <v/>
      </c>
      <c r="R218" s="47" t="n">
        <f aca="false">IF($P218="",0,$P218)</f>
        <v>0</v>
      </c>
    </row>
    <row r="219" customFormat="false" ht="18" hidden="false" customHeight="true" outlineLevel="0" collapsed="false">
      <c r="A219" s="39"/>
      <c r="B219" s="41"/>
      <c r="C219" s="40"/>
      <c r="D219" s="40"/>
      <c r="E219" s="40"/>
      <c r="F219" s="42"/>
      <c r="G219" s="39"/>
      <c r="H219" s="40"/>
      <c r="I219" s="40"/>
      <c r="J219" s="40"/>
      <c r="K219" s="41"/>
      <c r="L219" s="39"/>
      <c r="M219" s="48" t="str">
        <f aca="false">IF($E219="","",IFERROR(INDEX(Parâmetros!$C$15:$C$20,MATCH($P219,Parâmetros!$B$15:$B$20,0)),""))</f>
        <v/>
      </c>
      <c r="N219" s="46" t="str">
        <f aca="false">IF($E219="","",IF($P219="","",IF($P219&gt;=8,"Alta",IF($P219&gt;=5,"Média","Baixa"))))</f>
        <v/>
      </c>
      <c r="O219" s="46" t="str">
        <f aca="false">IF($E219="","",IF(AND(Parâmetros!$C$5&gt;0,$P219&lt;&gt;"",$P219&gt;=Parâmetros!$C$5),"Sim","Não"))</f>
        <v/>
      </c>
      <c r="P219" s="45" t="str">
        <f aca="false">IF($E219="","",IF($G219="","",IF($G219="NOK",$F219,0)))</f>
        <v/>
      </c>
      <c r="Q219" s="46" t="str">
        <f aca="false">IF($E219="","",IF($O219&lt;&gt;"Sim","",COUNTIF($O$3:$O219,"Sim")))</f>
        <v/>
      </c>
      <c r="R219" s="47" t="n">
        <f aca="false">IF($P219="",0,$P219)</f>
        <v>0</v>
      </c>
    </row>
    <row r="220" customFormat="false" ht="18" hidden="false" customHeight="true" outlineLevel="0" collapsed="false">
      <c r="A220" s="39"/>
      <c r="B220" s="41"/>
      <c r="C220" s="40"/>
      <c r="D220" s="40"/>
      <c r="E220" s="40"/>
      <c r="F220" s="42"/>
      <c r="G220" s="39"/>
      <c r="H220" s="40"/>
      <c r="I220" s="40"/>
      <c r="J220" s="40"/>
      <c r="K220" s="41"/>
      <c r="L220" s="39"/>
      <c r="M220" s="48" t="str">
        <f aca="false">IF($E220="","",IFERROR(INDEX(Parâmetros!$C$15:$C$20,MATCH($P220,Parâmetros!$B$15:$B$20,0)),""))</f>
        <v/>
      </c>
      <c r="N220" s="46" t="str">
        <f aca="false">IF($E220="","",IF($P220="","",IF($P220&gt;=8,"Alta",IF($P220&gt;=5,"Média","Baixa"))))</f>
        <v/>
      </c>
      <c r="O220" s="46" t="str">
        <f aca="false">IF($E220="","",IF(AND(Parâmetros!$C$5&gt;0,$P220&lt;&gt;"",$P220&gt;=Parâmetros!$C$5),"Sim","Não"))</f>
        <v/>
      </c>
      <c r="P220" s="45" t="str">
        <f aca="false">IF($E220="","",IF($G220="","",IF($G220="NOK",$F220,0)))</f>
        <v/>
      </c>
      <c r="Q220" s="46" t="str">
        <f aca="false">IF($E220="","",IF($O220&lt;&gt;"Sim","",COUNTIF($O$3:$O220,"Sim")))</f>
        <v/>
      </c>
      <c r="R220" s="47" t="n">
        <f aca="false">IF($P220="",0,$P220)</f>
        <v>0</v>
      </c>
    </row>
    <row r="221" customFormat="false" ht="18" hidden="false" customHeight="true" outlineLevel="0" collapsed="false">
      <c r="A221" s="39"/>
      <c r="B221" s="41"/>
      <c r="C221" s="40"/>
      <c r="D221" s="40"/>
      <c r="E221" s="40"/>
      <c r="F221" s="42"/>
      <c r="G221" s="39"/>
      <c r="H221" s="40"/>
      <c r="I221" s="40"/>
      <c r="J221" s="40"/>
      <c r="K221" s="41"/>
      <c r="L221" s="39"/>
      <c r="M221" s="48" t="str">
        <f aca="false">IF($E221="","",IFERROR(INDEX(Parâmetros!$C$15:$C$20,MATCH($P221,Parâmetros!$B$15:$B$20,0)),""))</f>
        <v/>
      </c>
      <c r="N221" s="46" t="str">
        <f aca="false">IF($E221="","",IF($P221="","",IF($P221&gt;=8,"Alta",IF($P221&gt;=5,"Média","Baixa"))))</f>
        <v/>
      </c>
      <c r="O221" s="46" t="str">
        <f aca="false">IF($E221="","",IF(AND(Parâmetros!$C$5&gt;0,$P221&lt;&gt;"",$P221&gt;=Parâmetros!$C$5),"Sim","Não"))</f>
        <v/>
      </c>
      <c r="P221" s="45" t="str">
        <f aca="false">IF($E221="","",IF($G221="","",IF($G221="NOK",$F221,0)))</f>
        <v/>
      </c>
      <c r="Q221" s="46" t="str">
        <f aca="false">IF($E221="","",IF($O221&lt;&gt;"Sim","",COUNTIF($O$3:$O221,"Sim")))</f>
        <v/>
      </c>
      <c r="R221" s="47" t="n">
        <f aca="false">IF($P221="",0,$P221)</f>
        <v>0</v>
      </c>
    </row>
    <row r="222" customFormat="false" ht="18" hidden="false" customHeight="true" outlineLevel="0" collapsed="false">
      <c r="A222" s="39"/>
      <c r="B222" s="41"/>
      <c r="C222" s="40"/>
      <c r="D222" s="40"/>
      <c r="E222" s="40"/>
      <c r="F222" s="42"/>
      <c r="G222" s="39"/>
      <c r="H222" s="40"/>
      <c r="I222" s="40"/>
      <c r="J222" s="40"/>
      <c r="K222" s="41"/>
      <c r="L222" s="39"/>
      <c r="M222" s="48" t="str">
        <f aca="false">IF($E222="","",IFERROR(INDEX(Parâmetros!$C$15:$C$20,MATCH($P222,Parâmetros!$B$15:$B$20,0)),""))</f>
        <v/>
      </c>
      <c r="N222" s="46" t="str">
        <f aca="false">IF($E222="","",IF($P222="","",IF($P222&gt;=8,"Alta",IF($P222&gt;=5,"Média","Baixa"))))</f>
        <v/>
      </c>
      <c r="O222" s="46" t="str">
        <f aca="false">IF($E222="","",IF(AND(Parâmetros!$C$5&gt;0,$P222&lt;&gt;"",$P222&gt;=Parâmetros!$C$5),"Sim","Não"))</f>
        <v/>
      </c>
      <c r="P222" s="45" t="str">
        <f aca="false">IF($E222="","",IF($G222="","",IF($G222="NOK",$F222,0)))</f>
        <v/>
      </c>
      <c r="Q222" s="46" t="str">
        <f aca="false">IF($E222="","",IF($O222&lt;&gt;"Sim","",COUNTIF($O$3:$O222,"Sim")))</f>
        <v/>
      </c>
      <c r="R222" s="47" t="n">
        <f aca="false">IF($P222="",0,$P222)</f>
        <v>0</v>
      </c>
    </row>
    <row r="223" customFormat="false" ht="18" hidden="false" customHeight="true" outlineLevel="0" collapsed="false">
      <c r="A223" s="39"/>
      <c r="B223" s="41"/>
      <c r="C223" s="40"/>
      <c r="D223" s="40"/>
      <c r="E223" s="40"/>
      <c r="F223" s="42"/>
      <c r="G223" s="39"/>
      <c r="H223" s="40"/>
      <c r="I223" s="40"/>
      <c r="J223" s="40"/>
      <c r="K223" s="41"/>
      <c r="L223" s="39"/>
      <c r="M223" s="48" t="str">
        <f aca="false">IF($E223="","",IFERROR(INDEX(Parâmetros!$C$15:$C$20,MATCH($P223,Parâmetros!$B$15:$B$20,0)),""))</f>
        <v/>
      </c>
      <c r="N223" s="46" t="str">
        <f aca="false">IF($E223="","",IF($P223="","",IF($P223&gt;=8,"Alta",IF($P223&gt;=5,"Média","Baixa"))))</f>
        <v/>
      </c>
      <c r="O223" s="46" t="str">
        <f aca="false">IF($E223="","",IF(AND(Parâmetros!$C$5&gt;0,$P223&lt;&gt;"",$P223&gt;=Parâmetros!$C$5),"Sim","Não"))</f>
        <v/>
      </c>
      <c r="P223" s="45" t="str">
        <f aca="false">IF($E223="","",IF($G223="","",IF($G223="NOK",$F223,0)))</f>
        <v/>
      </c>
      <c r="Q223" s="46" t="str">
        <f aca="false">IF($E223="","",IF($O223&lt;&gt;"Sim","",COUNTIF($O$3:$O223,"Sim")))</f>
        <v/>
      </c>
      <c r="R223" s="47" t="n">
        <f aca="false">IF($P223="",0,$P223)</f>
        <v>0</v>
      </c>
    </row>
    <row r="224" customFormat="false" ht="18" hidden="false" customHeight="true" outlineLevel="0" collapsed="false">
      <c r="A224" s="39"/>
      <c r="B224" s="41"/>
      <c r="C224" s="40"/>
      <c r="D224" s="40"/>
      <c r="E224" s="40"/>
      <c r="F224" s="42"/>
      <c r="G224" s="39"/>
      <c r="H224" s="40"/>
      <c r="I224" s="40"/>
      <c r="J224" s="40"/>
      <c r="K224" s="41"/>
      <c r="L224" s="39"/>
      <c r="M224" s="48" t="str">
        <f aca="false">IF($E224="","",IFERROR(INDEX(Parâmetros!$C$15:$C$20,MATCH($P224,Parâmetros!$B$15:$B$20,0)),""))</f>
        <v/>
      </c>
      <c r="N224" s="46" t="str">
        <f aca="false">IF($E224="","",IF($P224="","",IF($P224&gt;=8,"Alta",IF($P224&gt;=5,"Média","Baixa"))))</f>
        <v/>
      </c>
      <c r="O224" s="46" t="str">
        <f aca="false">IF($E224="","",IF(AND(Parâmetros!$C$5&gt;0,$P224&lt;&gt;"",$P224&gt;=Parâmetros!$C$5),"Sim","Não"))</f>
        <v/>
      </c>
      <c r="P224" s="45" t="str">
        <f aca="false">IF($E224="","",IF($G224="","",IF($G224="NOK",$F224,0)))</f>
        <v/>
      </c>
      <c r="Q224" s="46" t="str">
        <f aca="false">IF($E224="","",IF($O224&lt;&gt;"Sim","",COUNTIF($O$3:$O224,"Sim")))</f>
        <v/>
      </c>
      <c r="R224" s="47" t="n">
        <f aca="false">IF($P224="",0,$P224)</f>
        <v>0</v>
      </c>
    </row>
    <row r="225" customFormat="false" ht="18" hidden="false" customHeight="true" outlineLevel="0" collapsed="false">
      <c r="A225" s="39"/>
      <c r="B225" s="41"/>
      <c r="C225" s="40"/>
      <c r="D225" s="40"/>
      <c r="E225" s="40"/>
      <c r="F225" s="42"/>
      <c r="G225" s="39"/>
      <c r="H225" s="40"/>
      <c r="I225" s="40"/>
      <c r="J225" s="40"/>
      <c r="K225" s="41"/>
      <c r="L225" s="39"/>
      <c r="M225" s="48" t="str">
        <f aca="false">IF($E225="","",IFERROR(INDEX(Parâmetros!$C$15:$C$20,MATCH($P225,Parâmetros!$B$15:$B$20,0)),""))</f>
        <v/>
      </c>
      <c r="N225" s="46" t="str">
        <f aca="false">IF($E225="","",IF($P225="","",IF($P225&gt;=8,"Alta",IF($P225&gt;=5,"Média","Baixa"))))</f>
        <v/>
      </c>
      <c r="O225" s="46" t="str">
        <f aca="false">IF($E225="","",IF(AND(Parâmetros!$C$5&gt;0,$P225&lt;&gt;"",$P225&gt;=Parâmetros!$C$5),"Sim","Não"))</f>
        <v/>
      </c>
      <c r="P225" s="45" t="str">
        <f aca="false">IF($E225="","",IF($G225="","",IF($G225="NOK",$F225,0)))</f>
        <v/>
      </c>
      <c r="Q225" s="46" t="str">
        <f aca="false">IF($E225="","",IF($O225&lt;&gt;"Sim","",COUNTIF($O$3:$O225,"Sim")))</f>
        <v/>
      </c>
      <c r="R225" s="47" t="n">
        <f aca="false">IF($P225="",0,$P225)</f>
        <v>0</v>
      </c>
    </row>
    <row r="226" customFormat="false" ht="18" hidden="false" customHeight="true" outlineLevel="0" collapsed="false">
      <c r="A226" s="39"/>
      <c r="B226" s="41"/>
      <c r="C226" s="40"/>
      <c r="D226" s="40"/>
      <c r="E226" s="40"/>
      <c r="F226" s="42"/>
      <c r="G226" s="39"/>
      <c r="H226" s="40"/>
      <c r="I226" s="40"/>
      <c r="J226" s="40"/>
      <c r="K226" s="41"/>
      <c r="L226" s="39"/>
      <c r="M226" s="48" t="str">
        <f aca="false">IF($E226="","",IFERROR(INDEX(Parâmetros!$C$15:$C$20,MATCH($P226,Parâmetros!$B$15:$B$20,0)),""))</f>
        <v/>
      </c>
      <c r="N226" s="46" t="str">
        <f aca="false">IF($E226="","",IF($P226="","",IF($P226&gt;=8,"Alta",IF($P226&gt;=5,"Média","Baixa"))))</f>
        <v/>
      </c>
      <c r="O226" s="46" t="str">
        <f aca="false">IF($E226="","",IF(AND(Parâmetros!$C$5&gt;0,$P226&lt;&gt;"",$P226&gt;=Parâmetros!$C$5),"Sim","Não"))</f>
        <v/>
      </c>
      <c r="P226" s="45" t="str">
        <f aca="false">IF($E226="","",IF($G226="","",IF($G226="NOK",$F226,0)))</f>
        <v/>
      </c>
      <c r="Q226" s="46" t="str">
        <f aca="false">IF($E226="","",IF($O226&lt;&gt;"Sim","",COUNTIF($O$3:$O226,"Sim")))</f>
        <v/>
      </c>
      <c r="R226" s="47" t="n">
        <f aca="false">IF($P226="",0,$P226)</f>
        <v>0</v>
      </c>
    </row>
    <row r="227" customFormat="false" ht="18" hidden="false" customHeight="true" outlineLevel="0" collapsed="false">
      <c r="A227" s="39"/>
      <c r="B227" s="41"/>
      <c r="C227" s="40"/>
      <c r="D227" s="40"/>
      <c r="E227" s="40"/>
      <c r="F227" s="42"/>
      <c r="G227" s="39"/>
      <c r="H227" s="40"/>
      <c r="I227" s="40"/>
      <c r="J227" s="40"/>
      <c r="K227" s="41"/>
      <c r="L227" s="39"/>
      <c r="M227" s="48" t="str">
        <f aca="false">IF($E227="","",IFERROR(INDEX(Parâmetros!$C$15:$C$20,MATCH($P227,Parâmetros!$B$15:$B$20,0)),""))</f>
        <v/>
      </c>
      <c r="N227" s="46" t="str">
        <f aca="false">IF($E227="","",IF($P227="","",IF($P227&gt;=8,"Alta",IF($P227&gt;=5,"Média","Baixa"))))</f>
        <v/>
      </c>
      <c r="O227" s="46" t="str">
        <f aca="false">IF($E227="","",IF(AND(Parâmetros!$C$5&gt;0,$P227&lt;&gt;"",$P227&gt;=Parâmetros!$C$5),"Sim","Não"))</f>
        <v/>
      </c>
      <c r="P227" s="45" t="str">
        <f aca="false">IF($E227="","",IF($G227="","",IF($G227="NOK",$F227,0)))</f>
        <v/>
      </c>
      <c r="Q227" s="46" t="str">
        <f aca="false">IF($E227="","",IF($O227&lt;&gt;"Sim","",COUNTIF($O$3:$O227,"Sim")))</f>
        <v/>
      </c>
      <c r="R227" s="47" t="n">
        <f aca="false">IF($P227="",0,$P227)</f>
        <v>0</v>
      </c>
    </row>
    <row r="228" customFormat="false" ht="18" hidden="false" customHeight="true" outlineLevel="0" collapsed="false">
      <c r="A228" s="39"/>
      <c r="B228" s="41"/>
      <c r="C228" s="40"/>
      <c r="D228" s="40"/>
      <c r="E228" s="40"/>
      <c r="F228" s="42"/>
      <c r="G228" s="39"/>
      <c r="H228" s="40"/>
      <c r="I228" s="40"/>
      <c r="J228" s="40"/>
      <c r="K228" s="41"/>
      <c r="L228" s="39"/>
      <c r="M228" s="48" t="str">
        <f aca="false">IF($E228="","",IFERROR(INDEX(Parâmetros!$C$15:$C$20,MATCH($P228,Parâmetros!$B$15:$B$20,0)),""))</f>
        <v/>
      </c>
      <c r="N228" s="46" t="str">
        <f aca="false">IF($E228="","",IF($P228="","",IF($P228&gt;=8,"Alta",IF($P228&gt;=5,"Média","Baixa"))))</f>
        <v/>
      </c>
      <c r="O228" s="46" t="str">
        <f aca="false">IF($E228="","",IF(AND(Parâmetros!$C$5&gt;0,$P228&lt;&gt;"",$P228&gt;=Parâmetros!$C$5),"Sim","Não"))</f>
        <v/>
      </c>
      <c r="P228" s="45" t="str">
        <f aca="false">IF($E228="","",IF($G228="","",IF($G228="NOK",$F228,0)))</f>
        <v/>
      </c>
      <c r="Q228" s="46" t="str">
        <f aca="false">IF($E228="","",IF($O228&lt;&gt;"Sim","",COUNTIF($O$3:$O228,"Sim")))</f>
        <v/>
      </c>
      <c r="R228" s="47" t="n">
        <f aca="false">IF($P228="",0,$P228)</f>
        <v>0</v>
      </c>
    </row>
    <row r="229" customFormat="false" ht="18" hidden="false" customHeight="true" outlineLevel="0" collapsed="false">
      <c r="A229" s="39"/>
      <c r="B229" s="41"/>
      <c r="C229" s="40"/>
      <c r="D229" s="40"/>
      <c r="E229" s="40"/>
      <c r="F229" s="42"/>
      <c r="G229" s="39"/>
      <c r="H229" s="40"/>
      <c r="I229" s="40"/>
      <c r="J229" s="40"/>
      <c r="K229" s="41"/>
      <c r="L229" s="39"/>
      <c r="M229" s="48" t="str">
        <f aca="false">IF($E229="","",IFERROR(INDEX(Parâmetros!$C$15:$C$20,MATCH($P229,Parâmetros!$B$15:$B$20,0)),""))</f>
        <v/>
      </c>
      <c r="N229" s="46" t="str">
        <f aca="false">IF($E229="","",IF($P229="","",IF($P229&gt;=8,"Alta",IF($P229&gt;=5,"Média","Baixa"))))</f>
        <v/>
      </c>
      <c r="O229" s="46" t="str">
        <f aca="false">IF($E229="","",IF(AND(Parâmetros!$C$5&gt;0,$P229&lt;&gt;"",$P229&gt;=Parâmetros!$C$5),"Sim","Não"))</f>
        <v/>
      </c>
      <c r="P229" s="45" t="str">
        <f aca="false">IF($E229="","",IF($G229="","",IF($G229="NOK",$F229,0)))</f>
        <v/>
      </c>
      <c r="Q229" s="46" t="str">
        <f aca="false">IF($E229="","",IF($O229&lt;&gt;"Sim","",COUNTIF($O$3:$O229,"Sim")))</f>
        <v/>
      </c>
      <c r="R229" s="47" t="n">
        <f aca="false">IF($P229="",0,$P229)</f>
        <v>0</v>
      </c>
    </row>
    <row r="230" customFormat="false" ht="18" hidden="false" customHeight="true" outlineLevel="0" collapsed="false">
      <c r="A230" s="39"/>
      <c r="B230" s="41"/>
      <c r="C230" s="40"/>
      <c r="D230" s="40"/>
      <c r="E230" s="40"/>
      <c r="F230" s="42"/>
      <c r="G230" s="39"/>
      <c r="H230" s="40"/>
      <c r="I230" s="40"/>
      <c r="J230" s="40"/>
      <c r="K230" s="41"/>
      <c r="L230" s="39"/>
      <c r="M230" s="48" t="str">
        <f aca="false">IF($E230="","",IFERROR(INDEX(Parâmetros!$C$15:$C$20,MATCH($P230,Parâmetros!$B$15:$B$20,0)),""))</f>
        <v/>
      </c>
      <c r="N230" s="46" t="str">
        <f aca="false">IF($E230="","",IF($P230="","",IF($P230&gt;=8,"Alta",IF($P230&gt;=5,"Média","Baixa"))))</f>
        <v/>
      </c>
      <c r="O230" s="46" t="str">
        <f aca="false">IF($E230="","",IF(AND(Parâmetros!$C$5&gt;0,$P230&lt;&gt;"",$P230&gt;=Parâmetros!$C$5),"Sim","Não"))</f>
        <v/>
      </c>
      <c r="P230" s="45" t="str">
        <f aca="false">IF($E230="","",IF($G230="","",IF($G230="NOK",$F230,0)))</f>
        <v/>
      </c>
      <c r="Q230" s="46" t="str">
        <f aca="false">IF($E230="","",IF($O230&lt;&gt;"Sim","",COUNTIF($O$3:$O230,"Sim")))</f>
        <v/>
      </c>
      <c r="R230" s="47" t="n">
        <f aca="false">IF($P230="",0,$P230)</f>
        <v>0</v>
      </c>
    </row>
    <row r="231" customFormat="false" ht="18" hidden="false" customHeight="true" outlineLevel="0" collapsed="false">
      <c r="A231" s="39"/>
      <c r="B231" s="41"/>
      <c r="C231" s="40"/>
      <c r="D231" s="40"/>
      <c r="E231" s="40"/>
      <c r="F231" s="42"/>
      <c r="G231" s="39"/>
      <c r="H231" s="40"/>
      <c r="I231" s="40"/>
      <c r="J231" s="40"/>
      <c r="K231" s="41"/>
      <c r="L231" s="39"/>
      <c r="M231" s="48" t="str">
        <f aca="false">IF($E231="","",IFERROR(INDEX(Parâmetros!$C$15:$C$20,MATCH($P231,Parâmetros!$B$15:$B$20,0)),""))</f>
        <v/>
      </c>
      <c r="N231" s="46" t="str">
        <f aca="false">IF($E231="","",IF($P231="","",IF($P231&gt;=8,"Alta",IF($P231&gt;=5,"Média","Baixa"))))</f>
        <v/>
      </c>
      <c r="O231" s="46" t="str">
        <f aca="false">IF($E231="","",IF(AND(Parâmetros!$C$5&gt;0,$P231&lt;&gt;"",$P231&gt;=Parâmetros!$C$5),"Sim","Não"))</f>
        <v/>
      </c>
      <c r="P231" s="45" t="str">
        <f aca="false">IF($E231="","",IF($G231="","",IF($G231="NOK",$F231,0)))</f>
        <v/>
      </c>
      <c r="Q231" s="46" t="str">
        <f aca="false">IF($E231="","",IF($O231&lt;&gt;"Sim","",COUNTIF($O$3:$O231,"Sim")))</f>
        <v/>
      </c>
      <c r="R231" s="47" t="n">
        <f aca="false">IF($P231="",0,$P231)</f>
        <v>0</v>
      </c>
    </row>
    <row r="232" customFormat="false" ht="18" hidden="false" customHeight="true" outlineLevel="0" collapsed="false">
      <c r="A232" s="39"/>
      <c r="B232" s="41"/>
      <c r="C232" s="40"/>
      <c r="D232" s="40"/>
      <c r="E232" s="40"/>
      <c r="F232" s="42"/>
      <c r="G232" s="39"/>
      <c r="H232" s="40"/>
      <c r="I232" s="40"/>
      <c r="J232" s="40"/>
      <c r="K232" s="41"/>
      <c r="L232" s="39"/>
      <c r="M232" s="48" t="str">
        <f aca="false">IF($E232="","",IFERROR(INDEX(Parâmetros!$C$15:$C$20,MATCH($P232,Parâmetros!$B$15:$B$20,0)),""))</f>
        <v/>
      </c>
      <c r="N232" s="46" t="str">
        <f aca="false">IF($E232="","",IF($P232="","",IF($P232&gt;=8,"Alta",IF($P232&gt;=5,"Média","Baixa"))))</f>
        <v/>
      </c>
      <c r="O232" s="46" t="str">
        <f aca="false">IF($E232="","",IF(AND(Parâmetros!$C$5&gt;0,$P232&lt;&gt;"",$P232&gt;=Parâmetros!$C$5),"Sim","Não"))</f>
        <v/>
      </c>
      <c r="P232" s="45" t="str">
        <f aca="false">IF($E232="","",IF($G232="","",IF($G232="NOK",$F232,0)))</f>
        <v/>
      </c>
      <c r="Q232" s="46" t="str">
        <f aca="false">IF($E232="","",IF($O232&lt;&gt;"Sim","",COUNTIF($O$3:$O232,"Sim")))</f>
        <v/>
      </c>
      <c r="R232" s="47" t="n">
        <f aca="false">IF($P232="",0,$P232)</f>
        <v>0</v>
      </c>
    </row>
    <row r="233" customFormat="false" ht="18" hidden="false" customHeight="true" outlineLevel="0" collapsed="false">
      <c r="A233" s="39"/>
      <c r="B233" s="41"/>
      <c r="C233" s="40"/>
      <c r="D233" s="40"/>
      <c r="E233" s="40"/>
      <c r="F233" s="42"/>
      <c r="G233" s="39"/>
      <c r="H233" s="40"/>
      <c r="I233" s="40"/>
      <c r="J233" s="40"/>
      <c r="K233" s="41"/>
      <c r="L233" s="39"/>
      <c r="M233" s="48" t="str">
        <f aca="false">IF($E233="","",IFERROR(INDEX(Parâmetros!$C$15:$C$20,MATCH($P233,Parâmetros!$B$15:$B$20,0)),""))</f>
        <v/>
      </c>
      <c r="N233" s="46" t="str">
        <f aca="false">IF($E233="","",IF($P233="","",IF($P233&gt;=8,"Alta",IF($P233&gt;=5,"Média","Baixa"))))</f>
        <v/>
      </c>
      <c r="O233" s="46" t="str">
        <f aca="false">IF($E233="","",IF(AND(Parâmetros!$C$5&gt;0,$P233&lt;&gt;"",$P233&gt;=Parâmetros!$C$5),"Sim","Não"))</f>
        <v/>
      </c>
      <c r="P233" s="45" t="str">
        <f aca="false">IF($E233="","",IF($G233="","",IF($G233="NOK",$F233,0)))</f>
        <v/>
      </c>
      <c r="Q233" s="46" t="str">
        <f aca="false">IF($E233="","",IF($O233&lt;&gt;"Sim","",COUNTIF($O$3:$O233,"Sim")))</f>
        <v/>
      </c>
      <c r="R233" s="47" t="n">
        <f aca="false">IF($P233="",0,$P233)</f>
        <v>0</v>
      </c>
    </row>
    <row r="234" customFormat="false" ht="18" hidden="false" customHeight="true" outlineLevel="0" collapsed="false">
      <c r="A234" s="39"/>
      <c r="B234" s="41"/>
      <c r="C234" s="40"/>
      <c r="D234" s="40"/>
      <c r="E234" s="40"/>
      <c r="F234" s="42"/>
      <c r="G234" s="39"/>
      <c r="H234" s="40"/>
      <c r="I234" s="40"/>
      <c r="J234" s="40"/>
      <c r="K234" s="41"/>
      <c r="L234" s="39"/>
      <c r="M234" s="48" t="str">
        <f aca="false">IF($E234="","",IFERROR(INDEX(Parâmetros!$C$15:$C$20,MATCH($P234,Parâmetros!$B$15:$B$20,0)),""))</f>
        <v/>
      </c>
      <c r="N234" s="46" t="str">
        <f aca="false">IF($E234="","",IF($P234="","",IF($P234&gt;=8,"Alta",IF($P234&gt;=5,"Média","Baixa"))))</f>
        <v/>
      </c>
      <c r="O234" s="46" t="str">
        <f aca="false">IF($E234="","",IF(AND(Parâmetros!$C$5&gt;0,$P234&lt;&gt;"",$P234&gt;=Parâmetros!$C$5),"Sim","Não"))</f>
        <v/>
      </c>
      <c r="P234" s="45" t="str">
        <f aca="false">IF($E234="","",IF($G234="","",IF($G234="NOK",$F234,0)))</f>
        <v/>
      </c>
      <c r="Q234" s="46" t="str">
        <f aca="false">IF($E234="","",IF($O234&lt;&gt;"Sim","",COUNTIF($O$3:$O234,"Sim")))</f>
        <v/>
      </c>
      <c r="R234" s="47" t="n">
        <f aca="false">IF($P234="",0,$P234)</f>
        <v>0</v>
      </c>
    </row>
    <row r="235" customFormat="false" ht="18" hidden="false" customHeight="true" outlineLevel="0" collapsed="false">
      <c r="A235" s="39"/>
      <c r="B235" s="41"/>
      <c r="C235" s="40"/>
      <c r="D235" s="40"/>
      <c r="E235" s="40"/>
      <c r="F235" s="42"/>
      <c r="G235" s="39"/>
      <c r="H235" s="40"/>
      <c r="I235" s="40"/>
      <c r="J235" s="40"/>
      <c r="K235" s="41"/>
      <c r="L235" s="39"/>
      <c r="M235" s="48" t="str">
        <f aca="false">IF($E235="","",IFERROR(INDEX(Parâmetros!$C$15:$C$20,MATCH($P235,Parâmetros!$B$15:$B$20,0)),""))</f>
        <v/>
      </c>
      <c r="N235" s="46" t="str">
        <f aca="false">IF($E235="","",IF($P235="","",IF($P235&gt;=8,"Alta",IF($P235&gt;=5,"Média","Baixa"))))</f>
        <v/>
      </c>
      <c r="O235" s="46" t="str">
        <f aca="false">IF($E235="","",IF(AND(Parâmetros!$C$5&gt;0,$P235&lt;&gt;"",$P235&gt;=Parâmetros!$C$5),"Sim","Não"))</f>
        <v/>
      </c>
      <c r="P235" s="45" t="str">
        <f aca="false">IF($E235="","",IF($G235="","",IF($G235="NOK",$F235,0)))</f>
        <v/>
      </c>
      <c r="Q235" s="46" t="str">
        <f aca="false">IF($E235="","",IF($O235&lt;&gt;"Sim","",COUNTIF($O$3:$O235,"Sim")))</f>
        <v/>
      </c>
      <c r="R235" s="47" t="n">
        <f aca="false">IF($P235="",0,$P235)</f>
        <v>0</v>
      </c>
    </row>
    <row r="236" customFormat="false" ht="18" hidden="false" customHeight="true" outlineLevel="0" collapsed="false">
      <c r="A236" s="39"/>
      <c r="B236" s="41"/>
      <c r="C236" s="40"/>
      <c r="D236" s="40"/>
      <c r="E236" s="40"/>
      <c r="F236" s="42"/>
      <c r="G236" s="39"/>
      <c r="H236" s="40"/>
      <c r="I236" s="40"/>
      <c r="J236" s="40"/>
      <c r="K236" s="41"/>
      <c r="L236" s="39"/>
      <c r="M236" s="48" t="str">
        <f aca="false">IF($E236="","",IFERROR(INDEX(Parâmetros!$C$15:$C$20,MATCH($P236,Parâmetros!$B$15:$B$20,0)),""))</f>
        <v/>
      </c>
      <c r="N236" s="46" t="str">
        <f aca="false">IF($E236="","",IF($P236="","",IF($P236&gt;=8,"Alta",IF($P236&gt;=5,"Média","Baixa"))))</f>
        <v/>
      </c>
      <c r="O236" s="46" t="str">
        <f aca="false">IF($E236="","",IF(AND(Parâmetros!$C$5&gt;0,$P236&lt;&gt;"",$P236&gt;=Parâmetros!$C$5),"Sim","Não"))</f>
        <v/>
      </c>
      <c r="P236" s="45" t="str">
        <f aca="false">IF($E236="","",IF($G236="","",IF($G236="NOK",$F236,0)))</f>
        <v/>
      </c>
      <c r="Q236" s="46" t="str">
        <f aca="false">IF($E236="","",IF($O236&lt;&gt;"Sim","",COUNTIF($O$3:$O236,"Sim")))</f>
        <v/>
      </c>
      <c r="R236" s="47" t="n">
        <f aca="false">IF($P236="",0,$P236)</f>
        <v>0</v>
      </c>
    </row>
    <row r="237" customFormat="false" ht="18" hidden="false" customHeight="true" outlineLevel="0" collapsed="false">
      <c r="A237" s="39"/>
      <c r="B237" s="41"/>
      <c r="C237" s="40"/>
      <c r="D237" s="40"/>
      <c r="E237" s="40"/>
      <c r="F237" s="42"/>
      <c r="G237" s="39"/>
      <c r="H237" s="40"/>
      <c r="I237" s="40"/>
      <c r="J237" s="40"/>
      <c r="K237" s="41"/>
      <c r="L237" s="39"/>
      <c r="M237" s="48" t="str">
        <f aca="false">IF($E237="","",IFERROR(INDEX(Parâmetros!$C$15:$C$20,MATCH($P237,Parâmetros!$B$15:$B$20,0)),""))</f>
        <v/>
      </c>
      <c r="N237" s="46" t="str">
        <f aca="false">IF($E237="","",IF($P237="","",IF($P237&gt;=8,"Alta",IF($P237&gt;=5,"Média","Baixa"))))</f>
        <v/>
      </c>
      <c r="O237" s="46" t="str">
        <f aca="false">IF($E237="","",IF(AND(Parâmetros!$C$5&gt;0,$P237&lt;&gt;"",$P237&gt;=Parâmetros!$C$5),"Sim","Não"))</f>
        <v/>
      </c>
      <c r="P237" s="45" t="str">
        <f aca="false">IF($E237="","",IF($G237="","",IF($G237="NOK",$F237,0)))</f>
        <v/>
      </c>
      <c r="Q237" s="46" t="str">
        <f aca="false">IF($E237="","",IF($O237&lt;&gt;"Sim","",COUNTIF($O$3:$O237,"Sim")))</f>
        <v/>
      </c>
      <c r="R237" s="47" t="n">
        <f aca="false">IF($P237="",0,$P237)</f>
        <v>0</v>
      </c>
    </row>
    <row r="238" customFormat="false" ht="18" hidden="false" customHeight="true" outlineLevel="0" collapsed="false">
      <c r="A238" s="39"/>
      <c r="B238" s="41"/>
      <c r="C238" s="40"/>
      <c r="D238" s="40"/>
      <c r="E238" s="40"/>
      <c r="F238" s="42"/>
      <c r="G238" s="39"/>
      <c r="H238" s="40"/>
      <c r="I238" s="40"/>
      <c r="J238" s="40"/>
      <c r="K238" s="41"/>
      <c r="L238" s="39"/>
      <c r="M238" s="48" t="str">
        <f aca="false">IF($E238="","",IFERROR(INDEX(Parâmetros!$C$15:$C$20,MATCH($P238,Parâmetros!$B$15:$B$20,0)),""))</f>
        <v/>
      </c>
      <c r="N238" s="46" t="str">
        <f aca="false">IF($E238="","",IF($P238="","",IF($P238&gt;=8,"Alta",IF($P238&gt;=5,"Média","Baixa"))))</f>
        <v/>
      </c>
      <c r="O238" s="46" t="str">
        <f aca="false">IF($E238="","",IF(AND(Parâmetros!$C$5&gt;0,$P238&lt;&gt;"",$P238&gt;=Parâmetros!$C$5),"Sim","Não"))</f>
        <v/>
      </c>
      <c r="P238" s="45" t="str">
        <f aca="false">IF($E238="","",IF($G238="","",IF($G238="NOK",$F238,0)))</f>
        <v/>
      </c>
      <c r="Q238" s="46" t="str">
        <f aca="false">IF($E238="","",IF($O238&lt;&gt;"Sim","",COUNTIF($O$3:$O238,"Sim")))</f>
        <v/>
      </c>
      <c r="R238" s="47" t="n">
        <f aca="false">IF($P238="",0,$P238)</f>
        <v>0</v>
      </c>
    </row>
    <row r="239" customFormat="false" ht="18" hidden="false" customHeight="true" outlineLevel="0" collapsed="false">
      <c r="A239" s="39"/>
      <c r="B239" s="41"/>
      <c r="C239" s="40"/>
      <c r="D239" s="40"/>
      <c r="E239" s="40"/>
      <c r="F239" s="42"/>
      <c r="G239" s="39"/>
      <c r="H239" s="40"/>
      <c r="I239" s="40"/>
      <c r="J239" s="40"/>
      <c r="K239" s="41"/>
      <c r="L239" s="39"/>
      <c r="M239" s="48" t="str">
        <f aca="false">IF($E239="","",IFERROR(INDEX(Parâmetros!$C$15:$C$20,MATCH($P239,Parâmetros!$B$15:$B$20,0)),""))</f>
        <v/>
      </c>
      <c r="N239" s="46" t="str">
        <f aca="false">IF($E239="","",IF($P239="","",IF($P239&gt;=8,"Alta",IF($P239&gt;=5,"Média","Baixa"))))</f>
        <v/>
      </c>
      <c r="O239" s="46" t="str">
        <f aca="false">IF($E239="","",IF(AND(Parâmetros!$C$5&gt;0,$P239&lt;&gt;"",$P239&gt;=Parâmetros!$C$5),"Sim","Não"))</f>
        <v/>
      </c>
      <c r="P239" s="45" t="str">
        <f aca="false">IF($E239="","",IF($G239="","",IF($G239="NOK",$F239,0)))</f>
        <v/>
      </c>
      <c r="Q239" s="46" t="str">
        <f aca="false">IF($E239="","",IF($O239&lt;&gt;"Sim","",COUNTIF($O$3:$O239,"Sim")))</f>
        <v/>
      </c>
      <c r="R239" s="47" t="n">
        <f aca="false">IF($P239="",0,$P239)</f>
        <v>0</v>
      </c>
    </row>
    <row r="240" customFormat="false" ht="18" hidden="false" customHeight="true" outlineLevel="0" collapsed="false">
      <c r="A240" s="39"/>
      <c r="B240" s="41"/>
      <c r="C240" s="40"/>
      <c r="D240" s="40"/>
      <c r="E240" s="40"/>
      <c r="F240" s="42"/>
      <c r="G240" s="39"/>
      <c r="H240" s="40"/>
      <c r="I240" s="40"/>
      <c r="J240" s="40"/>
      <c r="K240" s="41"/>
      <c r="L240" s="39"/>
      <c r="M240" s="48" t="str">
        <f aca="false">IF($E240="","",IFERROR(INDEX(Parâmetros!$C$15:$C$20,MATCH($P240,Parâmetros!$B$15:$B$20,0)),""))</f>
        <v/>
      </c>
      <c r="N240" s="46" t="str">
        <f aca="false">IF($E240="","",IF($P240="","",IF($P240&gt;=8,"Alta",IF($P240&gt;=5,"Média","Baixa"))))</f>
        <v/>
      </c>
      <c r="O240" s="46" t="str">
        <f aca="false">IF($E240="","",IF(AND(Parâmetros!$C$5&gt;0,$P240&lt;&gt;"",$P240&gt;=Parâmetros!$C$5),"Sim","Não"))</f>
        <v/>
      </c>
      <c r="P240" s="45" t="str">
        <f aca="false">IF($E240="","",IF($G240="","",IF($G240="NOK",$F240,0)))</f>
        <v/>
      </c>
      <c r="Q240" s="46" t="str">
        <f aca="false">IF($E240="","",IF($O240&lt;&gt;"Sim","",COUNTIF($O$3:$O240,"Sim")))</f>
        <v/>
      </c>
      <c r="R240" s="47" t="n">
        <f aca="false">IF($P240="",0,$P240)</f>
        <v>0</v>
      </c>
    </row>
    <row r="241" customFormat="false" ht="18" hidden="false" customHeight="true" outlineLevel="0" collapsed="false">
      <c r="A241" s="39"/>
      <c r="B241" s="41"/>
      <c r="C241" s="40"/>
      <c r="D241" s="40"/>
      <c r="E241" s="40"/>
      <c r="F241" s="42"/>
      <c r="G241" s="39"/>
      <c r="H241" s="40"/>
      <c r="I241" s="40"/>
      <c r="J241" s="40"/>
      <c r="K241" s="41"/>
      <c r="L241" s="39"/>
      <c r="M241" s="48" t="str">
        <f aca="false">IF($E241="","",IFERROR(INDEX(Parâmetros!$C$15:$C$20,MATCH($P241,Parâmetros!$B$15:$B$20,0)),""))</f>
        <v/>
      </c>
      <c r="N241" s="46" t="str">
        <f aca="false">IF($E241="","",IF($P241="","",IF($P241&gt;=8,"Alta",IF($P241&gt;=5,"Média","Baixa"))))</f>
        <v/>
      </c>
      <c r="O241" s="46" t="str">
        <f aca="false">IF($E241="","",IF(AND(Parâmetros!$C$5&gt;0,$P241&lt;&gt;"",$P241&gt;=Parâmetros!$C$5),"Sim","Não"))</f>
        <v/>
      </c>
      <c r="P241" s="45" t="str">
        <f aca="false">IF($E241="","",IF($G241="","",IF($G241="NOK",$F241,0)))</f>
        <v/>
      </c>
      <c r="Q241" s="46" t="str">
        <f aca="false">IF($E241="","",IF($O241&lt;&gt;"Sim","",COUNTIF($O$3:$O241,"Sim")))</f>
        <v/>
      </c>
      <c r="R241" s="47" t="n">
        <f aca="false">IF($P241="",0,$P241)</f>
        <v>0</v>
      </c>
    </row>
    <row r="242" customFormat="false" ht="18" hidden="false" customHeight="true" outlineLevel="0" collapsed="false">
      <c r="A242" s="39"/>
      <c r="B242" s="41"/>
      <c r="C242" s="40"/>
      <c r="D242" s="40"/>
      <c r="E242" s="40"/>
      <c r="F242" s="42"/>
      <c r="G242" s="39"/>
      <c r="H242" s="40"/>
      <c r="I242" s="40"/>
      <c r="J242" s="40"/>
      <c r="K242" s="41"/>
      <c r="L242" s="39"/>
      <c r="M242" s="48" t="str">
        <f aca="false">IF($E242="","",IFERROR(INDEX(Parâmetros!$C$15:$C$20,MATCH($P242,Parâmetros!$B$15:$B$20,0)),""))</f>
        <v/>
      </c>
      <c r="N242" s="46" t="str">
        <f aca="false">IF($E242="","",IF($P242="","",IF($P242&gt;=8,"Alta",IF($P242&gt;=5,"Média","Baixa"))))</f>
        <v/>
      </c>
      <c r="O242" s="46" t="str">
        <f aca="false">IF($E242="","",IF(AND(Parâmetros!$C$5&gt;0,$P242&lt;&gt;"",$P242&gt;=Parâmetros!$C$5),"Sim","Não"))</f>
        <v/>
      </c>
      <c r="P242" s="45" t="str">
        <f aca="false">IF($E242="","",IF($G242="","",IF($G242="NOK",$F242,0)))</f>
        <v/>
      </c>
      <c r="Q242" s="46" t="str">
        <f aca="false">IF($E242="","",IF($O242&lt;&gt;"Sim","",COUNTIF($O$3:$O242,"Sim")))</f>
        <v/>
      </c>
      <c r="R242" s="47" t="n">
        <f aca="false">IF($P242="",0,$P242)</f>
        <v>0</v>
      </c>
    </row>
    <row r="243" customFormat="false" ht="18" hidden="false" customHeight="true" outlineLevel="0" collapsed="false">
      <c r="A243" s="39"/>
      <c r="B243" s="41"/>
      <c r="C243" s="40"/>
      <c r="D243" s="40"/>
      <c r="E243" s="40"/>
      <c r="F243" s="42"/>
      <c r="G243" s="39"/>
      <c r="H243" s="40"/>
      <c r="I243" s="40"/>
      <c r="J243" s="40"/>
      <c r="K243" s="41"/>
      <c r="L243" s="39"/>
      <c r="M243" s="48" t="str">
        <f aca="false">IF($E243="","",IFERROR(INDEX(Parâmetros!$C$15:$C$20,MATCH($P243,Parâmetros!$B$15:$B$20,0)),""))</f>
        <v/>
      </c>
      <c r="N243" s="46" t="str">
        <f aca="false">IF($E243="","",IF($P243="","",IF($P243&gt;=8,"Alta",IF($P243&gt;=5,"Média","Baixa"))))</f>
        <v/>
      </c>
      <c r="O243" s="46" t="str">
        <f aca="false">IF($E243="","",IF(AND(Parâmetros!$C$5&gt;0,$P243&lt;&gt;"",$P243&gt;=Parâmetros!$C$5),"Sim","Não"))</f>
        <v/>
      </c>
      <c r="P243" s="45" t="str">
        <f aca="false">IF($E243="","",IF($G243="","",IF($G243="NOK",$F243,0)))</f>
        <v/>
      </c>
      <c r="Q243" s="46" t="str">
        <f aca="false">IF($E243="","",IF($O243&lt;&gt;"Sim","",COUNTIF($O$3:$O243,"Sim")))</f>
        <v/>
      </c>
      <c r="R243" s="47" t="n">
        <f aca="false">IF($P243="",0,$P243)</f>
        <v>0</v>
      </c>
    </row>
    <row r="244" customFormat="false" ht="18" hidden="false" customHeight="true" outlineLevel="0" collapsed="false">
      <c r="A244" s="39"/>
      <c r="B244" s="41"/>
      <c r="C244" s="40"/>
      <c r="D244" s="40"/>
      <c r="E244" s="40"/>
      <c r="F244" s="42"/>
      <c r="G244" s="39"/>
      <c r="H244" s="40"/>
      <c r="I244" s="40"/>
      <c r="J244" s="40"/>
      <c r="K244" s="41"/>
      <c r="L244" s="39"/>
      <c r="M244" s="48" t="str">
        <f aca="false">IF($E244="","",IFERROR(INDEX(Parâmetros!$C$15:$C$20,MATCH($P244,Parâmetros!$B$15:$B$20,0)),""))</f>
        <v/>
      </c>
      <c r="N244" s="46" t="str">
        <f aca="false">IF($E244="","",IF($P244="","",IF($P244&gt;=8,"Alta",IF($P244&gt;=5,"Média","Baixa"))))</f>
        <v/>
      </c>
      <c r="O244" s="46" t="str">
        <f aca="false">IF($E244="","",IF(AND(Parâmetros!$C$5&gt;0,$P244&lt;&gt;"",$P244&gt;=Parâmetros!$C$5),"Sim","Não"))</f>
        <v/>
      </c>
      <c r="P244" s="45" t="str">
        <f aca="false">IF($E244="","",IF($G244="","",IF($G244="NOK",$F244,0)))</f>
        <v/>
      </c>
      <c r="Q244" s="46" t="str">
        <f aca="false">IF($E244="","",IF($O244&lt;&gt;"Sim","",COUNTIF($O$3:$O244,"Sim")))</f>
        <v/>
      </c>
      <c r="R244" s="47" t="n">
        <f aca="false">IF($P244="",0,$P244)</f>
        <v>0</v>
      </c>
    </row>
    <row r="245" customFormat="false" ht="18" hidden="false" customHeight="true" outlineLevel="0" collapsed="false">
      <c r="A245" s="39"/>
      <c r="B245" s="41"/>
      <c r="C245" s="40"/>
      <c r="D245" s="40"/>
      <c r="E245" s="40"/>
      <c r="F245" s="42"/>
      <c r="G245" s="39"/>
      <c r="H245" s="40"/>
      <c r="I245" s="40"/>
      <c r="J245" s="40"/>
      <c r="K245" s="41"/>
      <c r="L245" s="39"/>
      <c r="M245" s="48" t="str">
        <f aca="false">IF($E245="","",IFERROR(INDEX(Parâmetros!$C$15:$C$20,MATCH($P245,Parâmetros!$B$15:$B$20,0)),""))</f>
        <v/>
      </c>
      <c r="N245" s="46" t="str">
        <f aca="false">IF($E245="","",IF($P245="","",IF($P245&gt;=8,"Alta",IF($P245&gt;=5,"Média","Baixa"))))</f>
        <v/>
      </c>
      <c r="O245" s="46" t="str">
        <f aca="false">IF($E245="","",IF(AND(Parâmetros!$C$5&gt;0,$P245&lt;&gt;"",$P245&gt;=Parâmetros!$C$5),"Sim","Não"))</f>
        <v/>
      </c>
      <c r="P245" s="45" t="str">
        <f aca="false">IF($E245="","",IF($G245="","",IF($G245="NOK",$F245,0)))</f>
        <v/>
      </c>
      <c r="Q245" s="46" t="str">
        <f aca="false">IF($E245="","",IF($O245&lt;&gt;"Sim","",COUNTIF($O$3:$O245,"Sim")))</f>
        <v/>
      </c>
      <c r="R245" s="47" t="n">
        <f aca="false">IF($P245="",0,$P245)</f>
        <v>0</v>
      </c>
    </row>
    <row r="246" customFormat="false" ht="18" hidden="false" customHeight="true" outlineLevel="0" collapsed="false">
      <c r="A246" s="39"/>
      <c r="B246" s="41"/>
      <c r="C246" s="40"/>
      <c r="D246" s="40"/>
      <c r="E246" s="40"/>
      <c r="F246" s="42"/>
      <c r="G246" s="39"/>
      <c r="H246" s="40"/>
      <c r="I246" s="40"/>
      <c r="J246" s="40"/>
      <c r="K246" s="41"/>
      <c r="L246" s="39"/>
      <c r="M246" s="48" t="str">
        <f aca="false">IF($E246="","",IFERROR(INDEX(Parâmetros!$C$15:$C$20,MATCH($P246,Parâmetros!$B$15:$B$20,0)),""))</f>
        <v/>
      </c>
      <c r="N246" s="46" t="str">
        <f aca="false">IF($E246="","",IF($P246="","",IF($P246&gt;=8,"Alta",IF($P246&gt;=5,"Média","Baixa"))))</f>
        <v/>
      </c>
      <c r="O246" s="46" t="str">
        <f aca="false">IF($E246="","",IF(AND(Parâmetros!$C$5&gt;0,$P246&lt;&gt;"",$P246&gt;=Parâmetros!$C$5),"Sim","Não"))</f>
        <v/>
      </c>
      <c r="P246" s="45" t="str">
        <f aca="false">IF($E246="","",IF($G246="","",IF($G246="NOK",$F246,0)))</f>
        <v/>
      </c>
      <c r="Q246" s="46" t="str">
        <f aca="false">IF($E246="","",IF($O246&lt;&gt;"Sim","",COUNTIF($O$3:$O246,"Sim")))</f>
        <v/>
      </c>
      <c r="R246" s="47" t="n">
        <f aca="false">IF($P246="",0,$P246)</f>
        <v>0</v>
      </c>
    </row>
    <row r="247" customFormat="false" ht="18" hidden="false" customHeight="true" outlineLevel="0" collapsed="false">
      <c r="A247" s="39"/>
      <c r="B247" s="41"/>
      <c r="C247" s="40"/>
      <c r="D247" s="40"/>
      <c r="E247" s="40"/>
      <c r="F247" s="42"/>
      <c r="G247" s="39"/>
      <c r="H247" s="40"/>
      <c r="I247" s="40"/>
      <c r="J247" s="40"/>
      <c r="K247" s="41"/>
      <c r="L247" s="39"/>
      <c r="M247" s="48" t="str">
        <f aca="false">IF($E247="","",IFERROR(INDEX(Parâmetros!$C$15:$C$20,MATCH($P247,Parâmetros!$B$15:$B$20,0)),""))</f>
        <v/>
      </c>
      <c r="N247" s="46" t="str">
        <f aca="false">IF($E247="","",IF($P247="","",IF($P247&gt;=8,"Alta",IF($P247&gt;=5,"Média","Baixa"))))</f>
        <v/>
      </c>
      <c r="O247" s="46" t="str">
        <f aca="false">IF($E247="","",IF(AND(Parâmetros!$C$5&gt;0,$P247&lt;&gt;"",$P247&gt;=Parâmetros!$C$5),"Sim","Não"))</f>
        <v/>
      </c>
      <c r="P247" s="45" t="str">
        <f aca="false">IF($E247="","",IF($G247="","",IF($G247="NOK",$F247,0)))</f>
        <v/>
      </c>
      <c r="Q247" s="46" t="str">
        <f aca="false">IF($E247="","",IF($O247&lt;&gt;"Sim","",COUNTIF($O$3:$O247,"Sim")))</f>
        <v/>
      </c>
      <c r="R247" s="47" t="n">
        <f aca="false">IF($P247="",0,$P247)</f>
        <v>0</v>
      </c>
    </row>
    <row r="248" customFormat="false" ht="18" hidden="false" customHeight="true" outlineLevel="0" collapsed="false">
      <c r="A248" s="39"/>
      <c r="B248" s="41"/>
      <c r="C248" s="40"/>
      <c r="D248" s="40"/>
      <c r="E248" s="40"/>
      <c r="F248" s="42"/>
      <c r="G248" s="39"/>
      <c r="H248" s="40"/>
      <c r="I248" s="40"/>
      <c r="J248" s="40"/>
      <c r="K248" s="41"/>
      <c r="L248" s="39"/>
      <c r="M248" s="48" t="str">
        <f aca="false">IF($E248="","",IFERROR(INDEX(Parâmetros!$C$15:$C$20,MATCH($P248,Parâmetros!$B$15:$B$20,0)),""))</f>
        <v/>
      </c>
      <c r="N248" s="46" t="str">
        <f aca="false">IF($E248="","",IF($P248="","",IF($P248&gt;=8,"Alta",IF($P248&gt;=5,"Média","Baixa"))))</f>
        <v/>
      </c>
      <c r="O248" s="46" t="str">
        <f aca="false">IF($E248="","",IF(AND(Parâmetros!$C$5&gt;0,$P248&lt;&gt;"",$P248&gt;=Parâmetros!$C$5),"Sim","Não"))</f>
        <v/>
      </c>
      <c r="P248" s="45" t="str">
        <f aca="false">IF($E248="","",IF($G248="","",IF($G248="NOK",$F248,0)))</f>
        <v/>
      </c>
      <c r="Q248" s="46" t="str">
        <f aca="false">IF($E248="","",IF($O248&lt;&gt;"Sim","",COUNTIF($O$3:$O248,"Sim")))</f>
        <v/>
      </c>
      <c r="R248" s="47" t="n">
        <f aca="false">IF($P248="",0,$P248)</f>
        <v>0</v>
      </c>
    </row>
    <row r="249" customFormat="false" ht="18" hidden="false" customHeight="true" outlineLevel="0" collapsed="false">
      <c r="A249" s="39"/>
      <c r="B249" s="41"/>
      <c r="C249" s="40"/>
      <c r="D249" s="40"/>
      <c r="E249" s="40"/>
      <c r="F249" s="42"/>
      <c r="G249" s="39"/>
      <c r="H249" s="40"/>
      <c r="I249" s="40"/>
      <c r="J249" s="40"/>
      <c r="K249" s="41"/>
      <c r="L249" s="39"/>
      <c r="M249" s="48" t="str">
        <f aca="false">IF($E249="","",IFERROR(INDEX(Parâmetros!$C$15:$C$20,MATCH($P249,Parâmetros!$B$15:$B$20,0)),""))</f>
        <v/>
      </c>
      <c r="N249" s="46" t="str">
        <f aca="false">IF($E249="","",IF($P249="","",IF($P249&gt;=8,"Alta",IF($P249&gt;=5,"Média","Baixa"))))</f>
        <v/>
      </c>
      <c r="O249" s="46" t="str">
        <f aca="false">IF($E249="","",IF(AND(Parâmetros!$C$5&gt;0,$P249&lt;&gt;"",$P249&gt;=Parâmetros!$C$5),"Sim","Não"))</f>
        <v/>
      </c>
      <c r="P249" s="45" t="str">
        <f aca="false">IF($E249="","",IF($G249="","",IF($G249="NOK",$F249,0)))</f>
        <v/>
      </c>
      <c r="Q249" s="46" t="str">
        <f aca="false">IF($E249="","",IF($O249&lt;&gt;"Sim","",COUNTIF($O$3:$O249,"Sim")))</f>
        <v/>
      </c>
      <c r="R249" s="47" t="n">
        <f aca="false">IF($P249="",0,$P249)</f>
        <v>0</v>
      </c>
    </row>
    <row r="250" customFormat="false" ht="18" hidden="false" customHeight="true" outlineLevel="0" collapsed="false">
      <c r="A250" s="39"/>
      <c r="B250" s="41"/>
      <c r="C250" s="40"/>
      <c r="D250" s="40"/>
      <c r="E250" s="40"/>
      <c r="F250" s="42"/>
      <c r="G250" s="39"/>
      <c r="H250" s="40"/>
      <c r="I250" s="40"/>
      <c r="J250" s="40"/>
      <c r="K250" s="41"/>
      <c r="L250" s="39"/>
      <c r="M250" s="48" t="str">
        <f aca="false">IF($E250="","",IFERROR(INDEX(Parâmetros!$C$15:$C$20,MATCH($P250,Parâmetros!$B$15:$B$20,0)),""))</f>
        <v/>
      </c>
      <c r="N250" s="46" t="str">
        <f aca="false">IF($E250="","",IF($P250="","",IF($P250&gt;=8,"Alta",IF($P250&gt;=5,"Média","Baixa"))))</f>
        <v/>
      </c>
      <c r="O250" s="46" t="str">
        <f aca="false">IF($E250="","",IF(AND(Parâmetros!$C$5&gt;0,$P250&lt;&gt;"",$P250&gt;=Parâmetros!$C$5),"Sim","Não"))</f>
        <v/>
      </c>
      <c r="P250" s="45" t="str">
        <f aca="false">IF($E250="","",IF($G250="","",IF($G250="NOK",$F250,0)))</f>
        <v/>
      </c>
      <c r="Q250" s="46" t="str">
        <f aca="false">IF($E250="","",IF($O250&lt;&gt;"Sim","",COUNTIF($O$3:$O250,"Sim")))</f>
        <v/>
      </c>
      <c r="R250" s="47" t="n">
        <f aca="false">IF($P250="",0,$P250)</f>
        <v>0</v>
      </c>
    </row>
    <row r="251" customFormat="false" ht="18" hidden="false" customHeight="true" outlineLevel="0" collapsed="false">
      <c r="A251" s="39"/>
      <c r="B251" s="41"/>
      <c r="C251" s="40"/>
      <c r="D251" s="40"/>
      <c r="E251" s="40"/>
      <c r="F251" s="42"/>
      <c r="G251" s="39"/>
      <c r="H251" s="40"/>
      <c r="I251" s="40"/>
      <c r="J251" s="40"/>
      <c r="K251" s="41"/>
      <c r="L251" s="39"/>
      <c r="M251" s="48" t="str">
        <f aca="false">IF($E251="","",IFERROR(INDEX(Parâmetros!$C$15:$C$20,MATCH($P251,Parâmetros!$B$15:$B$20,0)),""))</f>
        <v/>
      </c>
      <c r="N251" s="46" t="str">
        <f aca="false">IF($E251="","",IF($P251="","",IF($P251&gt;=8,"Alta",IF($P251&gt;=5,"Média","Baixa"))))</f>
        <v/>
      </c>
      <c r="O251" s="46" t="str">
        <f aca="false">IF($E251="","",IF(AND(Parâmetros!$C$5&gt;0,$P251&lt;&gt;"",$P251&gt;=Parâmetros!$C$5),"Sim","Não"))</f>
        <v/>
      </c>
      <c r="P251" s="45" t="str">
        <f aca="false">IF($E251="","",IF($G251="","",IF($G251="NOK",$F251,0)))</f>
        <v/>
      </c>
      <c r="Q251" s="46" t="str">
        <f aca="false">IF($E251="","",IF($O251&lt;&gt;"Sim","",COUNTIF($O$3:$O251,"Sim")))</f>
        <v/>
      </c>
      <c r="R251" s="47" t="n">
        <f aca="false">IF($P251="",0,$P251)</f>
        <v>0</v>
      </c>
    </row>
    <row r="252" customFormat="false" ht="18" hidden="false" customHeight="true" outlineLevel="0" collapsed="false">
      <c r="A252" s="39"/>
      <c r="B252" s="41"/>
      <c r="C252" s="40"/>
      <c r="D252" s="40"/>
      <c r="E252" s="40"/>
      <c r="F252" s="42"/>
      <c r="G252" s="39"/>
      <c r="H252" s="40"/>
      <c r="I252" s="40"/>
      <c r="J252" s="40"/>
      <c r="K252" s="41"/>
      <c r="L252" s="39"/>
      <c r="M252" s="48" t="str">
        <f aca="false">IF($E252="","",IFERROR(INDEX(Parâmetros!$C$15:$C$20,MATCH($P252,Parâmetros!$B$15:$B$20,0)),""))</f>
        <v/>
      </c>
      <c r="N252" s="46" t="str">
        <f aca="false">IF($E252="","",IF($P252="","",IF($P252&gt;=8,"Alta",IF($P252&gt;=5,"Média","Baixa"))))</f>
        <v/>
      </c>
      <c r="O252" s="46" t="str">
        <f aca="false">IF($E252="","",IF(AND(Parâmetros!$C$5&gt;0,$P252&lt;&gt;"",$P252&gt;=Parâmetros!$C$5),"Sim","Não"))</f>
        <v/>
      </c>
      <c r="P252" s="45" t="str">
        <f aca="false">IF($E252="","",IF($G252="","",IF($G252="NOK",$F252,0)))</f>
        <v/>
      </c>
      <c r="Q252" s="46" t="str">
        <f aca="false">IF($E252="","",IF($O252&lt;&gt;"Sim","",COUNTIF($O$3:$O252,"Sim")))</f>
        <v/>
      </c>
      <c r="R252" s="47" t="n">
        <f aca="false">IF($P252="",0,$P252)</f>
        <v>0</v>
      </c>
    </row>
    <row r="253" customFormat="false" ht="18" hidden="false" customHeight="true" outlineLevel="0" collapsed="false">
      <c r="A253" s="39"/>
      <c r="B253" s="41"/>
      <c r="C253" s="40"/>
      <c r="D253" s="40"/>
      <c r="E253" s="40"/>
      <c r="F253" s="42"/>
      <c r="G253" s="39"/>
      <c r="H253" s="40"/>
      <c r="I253" s="40"/>
      <c r="J253" s="40"/>
      <c r="K253" s="41"/>
      <c r="L253" s="39"/>
      <c r="M253" s="48" t="str">
        <f aca="false">IF($E253="","",IFERROR(INDEX(Parâmetros!$C$15:$C$20,MATCH($P253,Parâmetros!$B$15:$B$20,0)),""))</f>
        <v/>
      </c>
      <c r="N253" s="46" t="str">
        <f aca="false">IF($E253="","",IF($P253="","",IF($P253&gt;=8,"Alta",IF($P253&gt;=5,"Média","Baixa"))))</f>
        <v/>
      </c>
      <c r="O253" s="46" t="str">
        <f aca="false">IF($E253="","",IF(AND(Parâmetros!$C$5&gt;0,$P253&lt;&gt;"",$P253&gt;=Parâmetros!$C$5),"Sim","Não"))</f>
        <v/>
      </c>
      <c r="P253" s="45" t="str">
        <f aca="false">IF($E253="","",IF($G253="","",IF($G253="NOK",$F253,0)))</f>
        <v/>
      </c>
      <c r="Q253" s="46" t="str">
        <f aca="false">IF($E253="","",IF($O253&lt;&gt;"Sim","",COUNTIF($O$3:$O253,"Sim")))</f>
        <v/>
      </c>
      <c r="R253" s="47" t="n">
        <f aca="false">IF($P253="",0,$P253)</f>
        <v>0</v>
      </c>
    </row>
    <row r="254" customFormat="false" ht="18" hidden="false" customHeight="true" outlineLevel="0" collapsed="false">
      <c r="A254" s="39"/>
      <c r="B254" s="41"/>
      <c r="C254" s="40"/>
      <c r="D254" s="40"/>
      <c r="E254" s="40"/>
      <c r="F254" s="42"/>
      <c r="G254" s="39"/>
      <c r="H254" s="40"/>
      <c r="I254" s="40"/>
      <c r="J254" s="40"/>
      <c r="K254" s="41"/>
      <c r="L254" s="39"/>
      <c r="M254" s="48" t="str">
        <f aca="false">IF($E254="","",IFERROR(INDEX(Parâmetros!$C$15:$C$20,MATCH($P254,Parâmetros!$B$15:$B$20,0)),""))</f>
        <v/>
      </c>
      <c r="N254" s="46" t="str">
        <f aca="false">IF($E254="","",IF($P254="","",IF($P254&gt;=8,"Alta",IF($P254&gt;=5,"Média","Baixa"))))</f>
        <v/>
      </c>
      <c r="O254" s="46" t="str">
        <f aca="false">IF($E254="","",IF(AND(Parâmetros!$C$5&gt;0,$P254&lt;&gt;"",$P254&gt;=Parâmetros!$C$5),"Sim","Não"))</f>
        <v/>
      </c>
      <c r="P254" s="45" t="str">
        <f aca="false">IF($E254="","",IF($G254="","",IF($G254="NOK",$F254,0)))</f>
        <v/>
      </c>
      <c r="Q254" s="46" t="str">
        <f aca="false">IF($E254="","",IF($O254&lt;&gt;"Sim","",COUNTIF($O$3:$O254,"Sim")))</f>
        <v/>
      </c>
      <c r="R254" s="47" t="n">
        <f aca="false">IF($P254="",0,$P254)</f>
        <v>0</v>
      </c>
    </row>
    <row r="255" customFormat="false" ht="18" hidden="false" customHeight="true" outlineLevel="0" collapsed="false">
      <c r="A255" s="39"/>
      <c r="B255" s="41"/>
      <c r="C255" s="40"/>
      <c r="D255" s="40"/>
      <c r="E255" s="40"/>
      <c r="F255" s="42"/>
      <c r="G255" s="39"/>
      <c r="H255" s="40"/>
      <c r="I255" s="40"/>
      <c r="J255" s="40"/>
      <c r="K255" s="41"/>
      <c r="L255" s="39"/>
      <c r="M255" s="48" t="str">
        <f aca="false">IF($E255="","",IFERROR(INDEX(Parâmetros!$C$15:$C$20,MATCH($P255,Parâmetros!$B$15:$B$20,0)),""))</f>
        <v/>
      </c>
      <c r="N255" s="46" t="str">
        <f aca="false">IF($E255="","",IF($P255="","",IF($P255&gt;=8,"Alta",IF($P255&gt;=5,"Média","Baixa"))))</f>
        <v/>
      </c>
      <c r="O255" s="46" t="str">
        <f aca="false">IF($E255="","",IF(AND(Parâmetros!$C$5&gt;0,$P255&lt;&gt;"",$P255&gt;=Parâmetros!$C$5),"Sim","Não"))</f>
        <v/>
      </c>
      <c r="P255" s="45" t="str">
        <f aca="false">IF($E255="","",IF($G255="","",IF($G255="NOK",$F255,0)))</f>
        <v/>
      </c>
      <c r="Q255" s="46" t="str">
        <f aca="false">IF($E255="","",IF($O255&lt;&gt;"Sim","",COUNTIF($O$3:$O255,"Sim")))</f>
        <v/>
      </c>
      <c r="R255" s="47" t="n">
        <f aca="false">IF($P255="",0,$P255)</f>
        <v>0</v>
      </c>
    </row>
    <row r="256" customFormat="false" ht="18" hidden="false" customHeight="true" outlineLevel="0" collapsed="false">
      <c r="A256" s="39"/>
      <c r="B256" s="41"/>
      <c r="C256" s="40"/>
      <c r="D256" s="40"/>
      <c r="E256" s="40"/>
      <c r="F256" s="42"/>
      <c r="G256" s="39"/>
      <c r="H256" s="40"/>
      <c r="I256" s="40"/>
      <c r="J256" s="40"/>
      <c r="K256" s="41"/>
      <c r="L256" s="39"/>
      <c r="M256" s="48" t="str">
        <f aca="false">IF($E256="","",IFERROR(INDEX(Parâmetros!$C$15:$C$20,MATCH($P256,Parâmetros!$B$15:$B$20,0)),""))</f>
        <v/>
      </c>
      <c r="N256" s="46" t="str">
        <f aca="false">IF($E256="","",IF($P256="","",IF($P256&gt;=8,"Alta",IF($P256&gt;=5,"Média","Baixa"))))</f>
        <v/>
      </c>
      <c r="O256" s="46" t="str">
        <f aca="false">IF($E256="","",IF(AND(Parâmetros!$C$5&gt;0,$P256&lt;&gt;"",$P256&gt;=Parâmetros!$C$5),"Sim","Não"))</f>
        <v/>
      </c>
      <c r="P256" s="45" t="str">
        <f aca="false">IF($E256="","",IF($G256="","",IF($G256="NOK",$F256,0)))</f>
        <v/>
      </c>
      <c r="Q256" s="46" t="str">
        <f aca="false">IF($E256="","",IF($O256&lt;&gt;"Sim","",COUNTIF($O$3:$O256,"Sim")))</f>
        <v/>
      </c>
      <c r="R256" s="47" t="n">
        <f aca="false">IF($P256="",0,$P256)</f>
        <v>0</v>
      </c>
    </row>
    <row r="257" customFormat="false" ht="18" hidden="false" customHeight="true" outlineLevel="0" collapsed="false">
      <c r="A257" s="39"/>
      <c r="B257" s="41"/>
      <c r="C257" s="40"/>
      <c r="D257" s="40"/>
      <c r="E257" s="40"/>
      <c r="F257" s="42"/>
      <c r="G257" s="39"/>
      <c r="H257" s="40"/>
      <c r="I257" s="40"/>
      <c r="J257" s="40"/>
      <c r="K257" s="41"/>
      <c r="L257" s="39"/>
      <c r="M257" s="48" t="str">
        <f aca="false">IF($E257="","",IFERROR(INDEX(Parâmetros!$C$15:$C$20,MATCH($P257,Parâmetros!$B$15:$B$20,0)),""))</f>
        <v/>
      </c>
      <c r="N257" s="46" t="str">
        <f aca="false">IF($E257="","",IF($P257="","",IF($P257&gt;=8,"Alta",IF($P257&gt;=5,"Média","Baixa"))))</f>
        <v/>
      </c>
      <c r="O257" s="46" t="str">
        <f aca="false">IF($E257="","",IF(AND(Parâmetros!$C$5&gt;0,$P257&lt;&gt;"",$P257&gt;=Parâmetros!$C$5),"Sim","Não"))</f>
        <v/>
      </c>
      <c r="P257" s="45" t="str">
        <f aca="false">IF($E257="","",IF($G257="","",IF($G257="NOK",$F257,0)))</f>
        <v/>
      </c>
      <c r="Q257" s="46" t="str">
        <f aca="false">IF($E257="","",IF($O257&lt;&gt;"Sim","",COUNTIF($O$3:$O257,"Sim")))</f>
        <v/>
      </c>
      <c r="R257" s="47" t="n">
        <f aca="false">IF($P257="",0,$P257)</f>
        <v>0</v>
      </c>
    </row>
    <row r="258" customFormat="false" ht="18" hidden="false" customHeight="true" outlineLevel="0" collapsed="false">
      <c r="A258" s="39"/>
      <c r="B258" s="41"/>
      <c r="C258" s="40"/>
      <c r="D258" s="40"/>
      <c r="E258" s="40"/>
      <c r="F258" s="42"/>
      <c r="G258" s="39"/>
      <c r="H258" s="40"/>
      <c r="I258" s="40"/>
      <c r="J258" s="40"/>
      <c r="K258" s="41"/>
      <c r="L258" s="39"/>
      <c r="M258" s="48" t="str">
        <f aca="false">IF($E258="","",IFERROR(INDEX(Parâmetros!$C$15:$C$20,MATCH($P258,Parâmetros!$B$15:$B$20,0)),""))</f>
        <v/>
      </c>
      <c r="N258" s="46" t="str">
        <f aca="false">IF($E258="","",IF($P258="","",IF($P258&gt;=8,"Alta",IF($P258&gt;=5,"Média","Baixa"))))</f>
        <v/>
      </c>
      <c r="O258" s="46" t="str">
        <f aca="false">IF($E258="","",IF(AND(Parâmetros!$C$5&gt;0,$P258&lt;&gt;"",$P258&gt;=Parâmetros!$C$5),"Sim","Não"))</f>
        <v/>
      </c>
      <c r="P258" s="45" t="str">
        <f aca="false">IF($E258="","",IF($G258="","",IF($G258="NOK",$F258,0)))</f>
        <v/>
      </c>
      <c r="Q258" s="46" t="str">
        <f aca="false">IF($E258="","",IF($O258&lt;&gt;"Sim","",COUNTIF($O$3:$O258,"Sim")))</f>
        <v/>
      </c>
      <c r="R258" s="47" t="n">
        <f aca="false">IF($P258="",0,$P258)</f>
        <v>0</v>
      </c>
    </row>
    <row r="259" customFormat="false" ht="18" hidden="false" customHeight="true" outlineLevel="0" collapsed="false">
      <c r="A259" s="39"/>
      <c r="B259" s="41"/>
      <c r="C259" s="40"/>
      <c r="D259" s="40"/>
      <c r="E259" s="40"/>
      <c r="F259" s="42"/>
      <c r="G259" s="39"/>
      <c r="H259" s="40"/>
      <c r="I259" s="40"/>
      <c r="J259" s="40"/>
      <c r="K259" s="41"/>
      <c r="L259" s="39"/>
      <c r="M259" s="48" t="str">
        <f aca="false">IF($E259="","",IFERROR(INDEX(Parâmetros!$C$15:$C$20,MATCH($P259,Parâmetros!$B$15:$B$20,0)),""))</f>
        <v/>
      </c>
      <c r="N259" s="46" t="str">
        <f aca="false">IF($E259="","",IF($P259="","",IF($P259&gt;=8,"Alta",IF($P259&gt;=5,"Média","Baixa"))))</f>
        <v/>
      </c>
      <c r="O259" s="46" t="str">
        <f aca="false">IF($E259="","",IF(AND(Parâmetros!$C$5&gt;0,$P259&lt;&gt;"",$P259&gt;=Parâmetros!$C$5),"Sim","Não"))</f>
        <v/>
      </c>
      <c r="P259" s="45" t="str">
        <f aca="false">IF($E259="","",IF($G259="","",IF($G259="NOK",$F259,0)))</f>
        <v/>
      </c>
      <c r="Q259" s="46" t="str">
        <f aca="false">IF($E259="","",IF($O259&lt;&gt;"Sim","",COUNTIF($O$3:$O259,"Sim")))</f>
        <v/>
      </c>
      <c r="R259" s="47" t="n">
        <f aca="false">IF($P259="",0,$P259)</f>
        <v>0</v>
      </c>
    </row>
    <row r="260" customFormat="false" ht="18" hidden="false" customHeight="true" outlineLevel="0" collapsed="false">
      <c r="A260" s="39"/>
      <c r="B260" s="41"/>
      <c r="C260" s="40"/>
      <c r="D260" s="40"/>
      <c r="E260" s="40"/>
      <c r="F260" s="42"/>
      <c r="G260" s="39"/>
      <c r="H260" s="40"/>
      <c r="I260" s="40"/>
      <c r="J260" s="40"/>
      <c r="K260" s="41"/>
      <c r="L260" s="39"/>
      <c r="M260" s="48" t="str">
        <f aca="false">IF($E260="","",IFERROR(INDEX(Parâmetros!$C$15:$C$20,MATCH($P260,Parâmetros!$B$15:$B$20,0)),""))</f>
        <v/>
      </c>
      <c r="N260" s="46" t="str">
        <f aca="false">IF($E260="","",IF($P260="","",IF($P260&gt;=8,"Alta",IF($P260&gt;=5,"Média","Baixa"))))</f>
        <v/>
      </c>
      <c r="O260" s="46" t="str">
        <f aca="false">IF($E260="","",IF(AND(Parâmetros!$C$5&gt;0,$P260&lt;&gt;"",$P260&gt;=Parâmetros!$C$5),"Sim","Não"))</f>
        <v/>
      </c>
      <c r="P260" s="45" t="str">
        <f aca="false">IF($E260="","",IF($G260="","",IF($G260="NOK",$F260,0)))</f>
        <v/>
      </c>
      <c r="Q260" s="46" t="str">
        <f aca="false">IF($E260="","",IF($O260&lt;&gt;"Sim","",COUNTIF($O$3:$O260,"Sim")))</f>
        <v/>
      </c>
      <c r="R260" s="47" t="n">
        <f aca="false">IF($P260="",0,$P260)</f>
        <v>0</v>
      </c>
    </row>
    <row r="261" customFormat="false" ht="18" hidden="false" customHeight="true" outlineLevel="0" collapsed="false">
      <c r="A261" s="39"/>
      <c r="B261" s="41"/>
      <c r="C261" s="40"/>
      <c r="D261" s="40"/>
      <c r="E261" s="40"/>
      <c r="F261" s="42"/>
      <c r="G261" s="39"/>
      <c r="H261" s="40"/>
      <c r="I261" s="40"/>
      <c r="J261" s="40"/>
      <c r="K261" s="41"/>
      <c r="L261" s="39"/>
      <c r="M261" s="48" t="str">
        <f aca="false">IF($E261="","",IFERROR(INDEX(Parâmetros!$C$15:$C$20,MATCH($P261,Parâmetros!$B$15:$B$20,0)),""))</f>
        <v/>
      </c>
      <c r="N261" s="46" t="str">
        <f aca="false">IF($E261="","",IF($P261="","",IF($P261&gt;=8,"Alta",IF($P261&gt;=5,"Média","Baixa"))))</f>
        <v/>
      </c>
      <c r="O261" s="46" t="str">
        <f aca="false">IF($E261="","",IF(AND(Parâmetros!$C$5&gt;0,$P261&lt;&gt;"",$P261&gt;=Parâmetros!$C$5),"Sim","Não"))</f>
        <v/>
      </c>
      <c r="P261" s="45" t="str">
        <f aca="false">IF($E261="","",IF($G261="","",IF($G261="NOK",$F261,0)))</f>
        <v/>
      </c>
      <c r="Q261" s="46" t="str">
        <f aca="false">IF($E261="","",IF($O261&lt;&gt;"Sim","",COUNTIF($O$3:$O261,"Sim")))</f>
        <v/>
      </c>
      <c r="R261" s="47" t="n">
        <f aca="false">IF($P261="",0,$P261)</f>
        <v>0</v>
      </c>
    </row>
    <row r="262" customFormat="false" ht="18" hidden="false" customHeight="true" outlineLevel="0" collapsed="false">
      <c r="A262" s="39"/>
      <c r="B262" s="41"/>
      <c r="C262" s="40"/>
      <c r="D262" s="40"/>
      <c r="E262" s="40"/>
      <c r="F262" s="42"/>
      <c r="G262" s="39"/>
      <c r="H262" s="40"/>
      <c r="I262" s="40"/>
      <c r="J262" s="40"/>
      <c r="K262" s="41"/>
      <c r="L262" s="39"/>
      <c r="M262" s="48" t="str">
        <f aca="false">IF($E262="","",IFERROR(INDEX(Parâmetros!$C$15:$C$20,MATCH($P262,Parâmetros!$B$15:$B$20,0)),""))</f>
        <v/>
      </c>
      <c r="N262" s="46" t="str">
        <f aca="false">IF($E262="","",IF($P262="","",IF($P262&gt;=8,"Alta",IF($P262&gt;=5,"Média","Baixa"))))</f>
        <v/>
      </c>
      <c r="O262" s="46" t="str">
        <f aca="false">IF($E262="","",IF(AND(Parâmetros!$C$5&gt;0,$P262&lt;&gt;"",$P262&gt;=Parâmetros!$C$5),"Sim","Não"))</f>
        <v/>
      </c>
      <c r="P262" s="45" t="str">
        <f aca="false">IF($E262="","",IF($G262="","",IF($G262="NOK",$F262,0)))</f>
        <v/>
      </c>
      <c r="Q262" s="46" t="str">
        <f aca="false">IF($E262="","",IF($O262&lt;&gt;"Sim","",COUNTIF($O$3:$O262,"Sim")))</f>
        <v/>
      </c>
      <c r="R262" s="47" t="n">
        <f aca="false">IF($P262="",0,$P262)</f>
        <v>0</v>
      </c>
    </row>
    <row r="263" customFormat="false" ht="18" hidden="false" customHeight="true" outlineLevel="0" collapsed="false">
      <c r="A263" s="39"/>
      <c r="B263" s="41"/>
      <c r="C263" s="40"/>
      <c r="D263" s="40"/>
      <c r="E263" s="40"/>
      <c r="F263" s="42"/>
      <c r="G263" s="39"/>
      <c r="H263" s="40"/>
      <c r="I263" s="40"/>
      <c r="J263" s="40"/>
      <c r="K263" s="41"/>
      <c r="L263" s="39"/>
      <c r="M263" s="48" t="str">
        <f aca="false">IF($E263="","",IFERROR(INDEX(Parâmetros!$C$15:$C$20,MATCH($P263,Parâmetros!$B$15:$B$20,0)),""))</f>
        <v/>
      </c>
      <c r="N263" s="46" t="str">
        <f aca="false">IF($E263="","",IF($P263="","",IF($P263&gt;=8,"Alta",IF($P263&gt;=5,"Média","Baixa"))))</f>
        <v/>
      </c>
      <c r="O263" s="46" t="str">
        <f aca="false">IF($E263="","",IF(AND(Parâmetros!$C$5&gt;0,$P263&lt;&gt;"",$P263&gt;=Parâmetros!$C$5),"Sim","Não"))</f>
        <v/>
      </c>
      <c r="P263" s="45" t="str">
        <f aca="false">IF($E263="","",IF($G263="","",IF($G263="NOK",$F263,0)))</f>
        <v/>
      </c>
      <c r="Q263" s="46" t="str">
        <f aca="false">IF($E263="","",IF($O263&lt;&gt;"Sim","",COUNTIF($O$3:$O263,"Sim")))</f>
        <v/>
      </c>
      <c r="R263" s="47" t="n">
        <f aca="false">IF($P263="",0,$P263)</f>
        <v>0</v>
      </c>
    </row>
    <row r="264" customFormat="false" ht="18" hidden="false" customHeight="true" outlineLevel="0" collapsed="false">
      <c r="A264" s="39"/>
      <c r="B264" s="41"/>
      <c r="C264" s="40"/>
      <c r="D264" s="40"/>
      <c r="E264" s="40"/>
      <c r="F264" s="42"/>
      <c r="G264" s="39"/>
      <c r="H264" s="40"/>
      <c r="I264" s="40"/>
      <c r="J264" s="40"/>
      <c r="K264" s="41"/>
      <c r="L264" s="39"/>
      <c r="M264" s="48" t="str">
        <f aca="false">IF($E264="","",IFERROR(INDEX(Parâmetros!$C$15:$C$20,MATCH($P264,Parâmetros!$B$15:$B$20,0)),""))</f>
        <v/>
      </c>
      <c r="N264" s="46" t="str">
        <f aca="false">IF($E264="","",IF($P264="","",IF($P264&gt;=8,"Alta",IF($P264&gt;=5,"Média","Baixa"))))</f>
        <v/>
      </c>
      <c r="O264" s="46" t="str">
        <f aca="false">IF($E264="","",IF(AND(Parâmetros!$C$5&gt;0,$P264&lt;&gt;"",$P264&gt;=Parâmetros!$C$5),"Sim","Não"))</f>
        <v/>
      </c>
      <c r="P264" s="45" t="str">
        <f aca="false">IF($E264="","",IF($G264="","",IF($G264="NOK",$F264,0)))</f>
        <v/>
      </c>
      <c r="Q264" s="46" t="str">
        <f aca="false">IF($E264="","",IF($O264&lt;&gt;"Sim","",COUNTIF($O$3:$O264,"Sim")))</f>
        <v/>
      </c>
      <c r="R264" s="47" t="n">
        <f aca="false">IF($P264="",0,$P264)</f>
        <v>0</v>
      </c>
    </row>
    <row r="265" customFormat="false" ht="18" hidden="false" customHeight="true" outlineLevel="0" collapsed="false">
      <c r="A265" s="39"/>
      <c r="B265" s="41"/>
      <c r="C265" s="40"/>
      <c r="D265" s="40"/>
      <c r="E265" s="40"/>
      <c r="F265" s="42"/>
      <c r="G265" s="39"/>
      <c r="H265" s="40"/>
      <c r="I265" s="40"/>
      <c r="J265" s="40"/>
      <c r="K265" s="41"/>
      <c r="L265" s="39"/>
      <c r="M265" s="48" t="str">
        <f aca="false">IF($E265="","",IFERROR(INDEX(Parâmetros!$C$15:$C$20,MATCH($P265,Parâmetros!$B$15:$B$20,0)),""))</f>
        <v/>
      </c>
      <c r="N265" s="46" t="str">
        <f aca="false">IF($E265="","",IF($P265="","",IF($P265&gt;=8,"Alta",IF($P265&gt;=5,"Média","Baixa"))))</f>
        <v/>
      </c>
      <c r="O265" s="46" t="str">
        <f aca="false">IF($E265="","",IF(AND(Parâmetros!$C$5&gt;0,$P265&lt;&gt;"",$P265&gt;=Parâmetros!$C$5),"Sim","Não"))</f>
        <v/>
      </c>
      <c r="P265" s="45" t="str">
        <f aca="false">IF($E265="","",IF($G265="","",IF($G265="NOK",$F265,0)))</f>
        <v/>
      </c>
      <c r="Q265" s="46" t="str">
        <f aca="false">IF($E265="","",IF($O265&lt;&gt;"Sim","",COUNTIF($O$3:$O265,"Sim")))</f>
        <v/>
      </c>
      <c r="R265" s="47" t="n">
        <f aca="false">IF($P265="",0,$P265)</f>
        <v>0</v>
      </c>
    </row>
    <row r="266" customFormat="false" ht="18" hidden="false" customHeight="true" outlineLevel="0" collapsed="false">
      <c r="A266" s="39"/>
      <c r="B266" s="41"/>
      <c r="C266" s="40"/>
      <c r="D266" s="40"/>
      <c r="E266" s="40"/>
      <c r="F266" s="42"/>
      <c r="G266" s="39"/>
      <c r="H266" s="40"/>
      <c r="I266" s="40"/>
      <c r="J266" s="40"/>
      <c r="K266" s="41"/>
      <c r="L266" s="39"/>
      <c r="M266" s="48" t="str">
        <f aca="false">IF($E266="","",IFERROR(INDEX(Parâmetros!$C$15:$C$20,MATCH($P266,Parâmetros!$B$15:$B$20,0)),""))</f>
        <v/>
      </c>
      <c r="N266" s="46" t="str">
        <f aca="false">IF($E266="","",IF($P266="","",IF($P266&gt;=8,"Alta",IF($P266&gt;=5,"Média","Baixa"))))</f>
        <v/>
      </c>
      <c r="O266" s="46" t="str">
        <f aca="false">IF($E266="","",IF(AND(Parâmetros!$C$5&gt;0,$P266&lt;&gt;"",$P266&gt;=Parâmetros!$C$5),"Sim","Não"))</f>
        <v/>
      </c>
      <c r="P266" s="45" t="str">
        <f aca="false">IF($E266="","",IF($G266="","",IF($G266="NOK",$F266,0)))</f>
        <v/>
      </c>
      <c r="Q266" s="46" t="str">
        <f aca="false">IF($E266="","",IF($O266&lt;&gt;"Sim","",COUNTIF($O$3:$O266,"Sim")))</f>
        <v/>
      </c>
      <c r="R266" s="47" t="n">
        <f aca="false">IF($P266="",0,$P266)</f>
        <v>0</v>
      </c>
    </row>
    <row r="267" customFormat="false" ht="18" hidden="false" customHeight="true" outlineLevel="0" collapsed="false">
      <c r="A267" s="39"/>
      <c r="B267" s="41"/>
      <c r="C267" s="40"/>
      <c r="D267" s="40"/>
      <c r="E267" s="40"/>
      <c r="F267" s="42"/>
      <c r="G267" s="39"/>
      <c r="H267" s="40"/>
      <c r="I267" s="40"/>
      <c r="J267" s="40"/>
      <c r="K267" s="41"/>
      <c r="L267" s="39"/>
      <c r="M267" s="48" t="str">
        <f aca="false">IF($E267="","",IFERROR(INDEX(Parâmetros!$C$15:$C$20,MATCH($P267,Parâmetros!$B$15:$B$20,0)),""))</f>
        <v/>
      </c>
      <c r="N267" s="46" t="str">
        <f aca="false">IF($E267="","",IF($P267="","",IF($P267&gt;=8,"Alta",IF($P267&gt;=5,"Média","Baixa"))))</f>
        <v/>
      </c>
      <c r="O267" s="46" t="str">
        <f aca="false">IF($E267="","",IF(AND(Parâmetros!$C$5&gt;0,$P267&lt;&gt;"",$P267&gt;=Parâmetros!$C$5),"Sim","Não"))</f>
        <v/>
      </c>
      <c r="P267" s="45" t="str">
        <f aca="false">IF($E267="","",IF($G267="","",IF($G267="NOK",$F267,0)))</f>
        <v/>
      </c>
      <c r="Q267" s="46" t="str">
        <f aca="false">IF($E267="","",IF($O267&lt;&gt;"Sim","",COUNTIF($O$3:$O267,"Sim")))</f>
        <v/>
      </c>
      <c r="R267" s="47" t="n">
        <f aca="false">IF($P267="",0,$P267)</f>
        <v>0</v>
      </c>
    </row>
    <row r="268" customFormat="false" ht="18" hidden="false" customHeight="true" outlineLevel="0" collapsed="false">
      <c r="A268" s="39"/>
      <c r="B268" s="41"/>
      <c r="C268" s="40"/>
      <c r="D268" s="40"/>
      <c r="E268" s="40"/>
      <c r="F268" s="42"/>
      <c r="G268" s="39"/>
      <c r="H268" s="40"/>
      <c r="I268" s="40"/>
      <c r="J268" s="40"/>
      <c r="K268" s="41"/>
      <c r="L268" s="39"/>
      <c r="M268" s="48" t="str">
        <f aca="false">IF($E268="","",IFERROR(INDEX(Parâmetros!$C$15:$C$20,MATCH($P268,Parâmetros!$B$15:$B$20,0)),""))</f>
        <v/>
      </c>
      <c r="N268" s="46" t="str">
        <f aca="false">IF($E268="","",IF($P268="","",IF($P268&gt;=8,"Alta",IF($P268&gt;=5,"Média","Baixa"))))</f>
        <v/>
      </c>
      <c r="O268" s="46" t="str">
        <f aca="false">IF($E268="","",IF(AND(Parâmetros!$C$5&gt;0,$P268&lt;&gt;"",$P268&gt;=Parâmetros!$C$5),"Sim","Não"))</f>
        <v/>
      </c>
      <c r="P268" s="45" t="str">
        <f aca="false">IF($E268="","",IF($G268="","",IF($G268="NOK",$F268,0)))</f>
        <v/>
      </c>
      <c r="Q268" s="46" t="str">
        <f aca="false">IF($E268="","",IF($O268&lt;&gt;"Sim","",COUNTIF($O$3:$O268,"Sim")))</f>
        <v/>
      </c>
      <c r="R268" s="47" t="n">
        <f aca="false">IF($P268="",0,$P268)</f>
        <v>0</v>
      </c>
    </row>
    <row r="269" customFormat="false" ht="18" hidden="false" customHeight="true" outlineLevel="0" collapsed="false">
      <c r="A269" s="39"/>
      <c r="B269" s="41"/>
      <c r="C269" s="40"/>
      <c r="D269" s="40"/>
      <c r="E269" s="40"/>
      <c r="F269" s="42"/>
      <c r="G269" s="39"/>
      <c r="H269" s="40"/>
      <c r="I269" s="40"/>
      <c r="J269" s="40"/>
      <c r="K269" s="41"/>
      <c r="L269" s="39"/>
      <c r="M269" s="48" t="str">
        <f aca="false">IF($E269="","",IFERROR(INDEX(Parâmetros!$C$15:$C$20,MATCH($P269,Parâmetros!$B$15:$B$20,0)),""))</f>
        <v/>
      </c>
      <c r="N269" s="46" t="str">
        <f aca="false">IF($E269="","",IF($P269="","",IF($P269&gt;=8,"Alta",IF($P269&gt;=5,"Média","Baixa"))))</f>
        <v/>
      </c>
      <c r="O269" s="46" t="str">
        <f aca="false">IF($E269="","",IF(AND(Parâmetros!$C$5&gt;0,$P269&lt;&gt;"",$P269&gt;=Parâmetros!$C$5),"Sim","Não"))</f>
        <v/>
      </c>
      <c r="P269" s="45" t="str">
        <f aca="false">IF($E269="","",IF($G269="","",IF($G269="NOK",$F269,0)))</f>
        <v/>
      </c>
      <c r="Q269" s="46" t="str">
        <f aca="false">IF($E269="","",IF($O269&lt;&gt;"Sim","",COUNTIF($O$3:$O269,"Sim")))</f>
        <v/>
      </c>
      <c r="R269" s="47" t="n">
        <f aca="false">IF($P269="",0,$P269)</f>
        <v>0</v>
      </c>
    </row>
    <row r="270" customFormat="false" ht="18" hidden="false" customHeight="true" outlineLevel="0" collapsed="false">
      <c r="A270" s="39"/>
      <c r="B270" s="41"/>
      <c r="C270" s="40"/>
      <c r="D270" s="40"/>
      <c r="E270" s="40"/>
      <c r="F270" s="42"/>
      <c r="G270" s="39"/>
      <c r="H270" s="40"/>
      <c r="I270" s="40"/>
      <c r="J270" s="40"/>
      <c r="K270" s="41"/>
      <c r="L270" s="39"/>
      <c r="M270" s="48" t="str">
        <f aca="false">IF($E270="","",IFERROR(INDEX(Parâmetros!$C$15:$C$20,MATCH($P270,Parâmetros!$B$15:$B$20,0)),""))</f>
        <v/>
      </c>
      <c r="N270" s="46" t="str">
        <f aca="false">IF($E270="","",IF($P270="","",IF($P270&gt;=8,"Alta",IF($P270&gt;=5,"Média","Baixa"))))</f>
        <v/>
      </c>
      <c r="O270" s="46" t="str">
        <f aca="false">IF($E270="","",IF(AND(Parâmetros!$C$5&gt;0,$P270&lt;&gt;"",$P270&gt;=Parâmetros!$C$5),"Sim","Não"))</f>
        <v/>
      </c>
      <c r="P270" s="45" t="str">
        <f aca="false">IF($E270="","",IF($G270="","",IF($G270="NOK",$F270,0)))</f>
        <v/>
      </c>
      <c r="Q270" s="46" t="str">
        <f aca="false">IF($E270="","",IF($O270&lt;&gt;"Sim","",COUNTIF($O$3:$O270,"Sim")))</f>
        <v/>
      </c>
      <c r="R270" s="47" t="n">
        <f aca="false">IF($P270="",0,$P270)</f>
        <v>0</v>
      </c>
    </row>
    <row r="271" customFormat="false" ht="18" hidden="false" customHeight="true" outlineLevel="0" collapsed="false">
      <c r="A271" s="39"/>
      <c r="B271" s="41"/>
      <c r="C271" s="40"/>
      <c r="D271" s="40"/>
      <c r="E271" s="40"/>
      <c r="F271" s="42"/>
      <c r="G271" s="39"/>
      <c r="H271" s="40"/>
      <c r="I271" s="40"/>
      <c r="J271" s="40"/>
      <c r="K271" s="41"/>
      <c r="L271" s="39"/>
      <c r="M271" s="48" t="str">
        <f aca="false">IF($E271="","",IFERROR(INDEX(Parâmetros!$C$15:$C$20,MATCH($P271,Parâmetros!$B$15:$B$20,0)),""))</f>
        <v/>
      </c>
      <c r="N271" s="46" t="str">
        <f aca="false">IF($E271="","",IF($P271="","",IF($P271&gt;=8,"Alta",IF($P271&gt;=5,"Média","Baixa"))))</f>
        <v/>
      </c>
      <c r="O271" s="46" t="str">
        <f aca="false">IF($E271="","",IF(AND(Parâmetros!$C$5&gt;0,$P271&lt;&gt;"",$P271&gt;=Parâmetros!$C$5),"Sim","Não"))</f>
        <v/>
      </c>
      <c r="P271" s="45" t="str">
        <f aca="false">IF($E271="","",IF($G271="","",IF($G271="NOK",$F271,0)))</f>
        <v/>
      </c>
      <c r="Q271" s="46" t="str">
        <f aca="false">IF($E271="","",IF($O271&lt;&gt;"Sim","",COUNTIF($O$3:$O271,"Sim")))</f>
        <v/>
      </c>
      <c r="R271" s="47" t="n">
        <f aca="false">IF($P271="",0,$P271)</f>
        <v>0</v>
      </c>
    </row>
    <row r="272" customFormat="false" ht="18" hidden="false" customHeight="true" outlineLevel="0" collapsed="false">
      <c r="A272" s="39"/>
      <c r="B272" s="41"/>
      <c r="C272" s="40"/>
      <c r="D272" s="40"/>
      <c r="E272" s="40"/>
      <c r="F272" s="42"/>
      <c r="G272" s="39"/>
      <c r="H272" s="40"/>
      <c r="I272" s="40"/>
      <c r="J272" s="40"/>
      <c r="K272" s="41"/>
      <c r="L272" s="39"/>
      <c r="M272" s="48" t="str">
        <f aca="false">IF($E272="","",IFERROR(INDEX(Parâmetros!$C$15:$C$20,MATCH($P272,Parâmetros!$B$15:$B$20,0)),""))</f>
        <v/>
      </c>
      <c r="N272" s="46" t="str">
        <f aca="false">IF($E272="","",IF($P272="","",IF($P272&gt;=8,"Alta",IF($P272&gt;=5,"Média","Baixa"))))</f>
        <v/>
      </c>
      <c r="O272" s="46" t="str">
        <f aca="false">IF($E272="","",IF(AND(Parâmetros!$C$5&gt;0,$P272&lt;&gt;"",$P272&gt;=Parâmetros!$C$5),"Sim","Não"))</f>
        <v/>
      </c>
      <c r="P272" s="45" t="str">
        <f aca="false">IF($E272="","",IF($G272="","",IF($G272="NOK",$F272,0)))</f>
        <v/>
      </c>
      <c r="Q272" s="46" t="str">
        <f aca="false">IF($E272="","",IF($O272&lt;&gt;"Sim","",COUNTIF($O$3:$O272,"Sim")))</f>
        <v/>
      </c>
      <c r="R272" s="47" t="n">
        <f aca="false">IF($P272="",0,$P272)</f>
        <v>0</v>
      </c>
    </row>
    <row r="273" customFormat="false" ht="18" hidden="false" customHeight="true" outlineLevel="0" collapsed="false">
      <c r="A273" s="39"/>
      <c r="B273" s="41"/>
      <c r="C273" s="40"/>
      <c r="D273" s="40"/>
      <c r="E273" s="40"/>
      <c r="F273" s="42"/>
      <c r="G273" s="39"/>
      <c r="H273" s="40"/>
      <c r="I273" s="40"/>
      <c r="J273" s="40"/>
      <c r="K273" s="41"/>
      <c r="L273" s="39"/>
      <c r="M273" s="48" t="str">
        <f aca="false">IF($E273="","",IFERROR(INDEX(Parâmetros!$C$15:$C$20,MATCH($P273,Parâmetros!$B$15:$B$20,0)),""))</f>
        <v/>
      </c>
      <c r="N273" s="46" t="str">
        <f aca="false">IF($E273="","",IF($P273="","",IF($P273&gt;=8,"Alta",IF($P273&gt;=5,"Média","Baixa"))))</f>
        <v/>
      </c>
      <c r="O273" s="46" t="str">
        <f aca="false">IF($E273="","",IF(AND(Parâmetros!$C$5&gt;0,$P273&lt;&gt;"",$P273&gt;=Parâmetros!$C$5),"Sim","Não"))</f>
        <v/>
      </c>
      <c r="P273" s="45" t="str">
        <f aca="false">IF($E273="","",IF($G273="","",IF($G273="NOK",$F273,0)))</f>
        <v/>
      </c>
      <c r="Q273" s="46" t="str">
        <f aca="false">IF($E273="","",IF($O273&lt;&gt;"Sim","",COUNTIF($O$3:$O273,"Sim")))</f>
        <v/>
      </c>
      <c r="R273" s="47" t="n">
        <f aca="false">IF($P273="",0,$P273)</f>
        <v>0</v>
      </c>
    </row>
    <row r="274" customFormat="false" ht="18" hidden="false" customHeight="true" outlineLevel="0" collapsed="false">
      <c r="A274" s="39"/>
      <c r="B274" s="41"/>
      <c r="C274" s="40"/>
      <c r="D274" s="40"/>
      <c r="E274" s="40"/>
      <c r="F274" s="42"/>
      <c r="G274" s="39"/>
      <c r="H274" s="40"/>
      <c r="I274" s="40"/>
      <c r="J274" s="40"/>
      <c r="K274" s="41"/>
      <c r="L274" s="39"/>
      <c r="M274" s="48" t="str">
        <f aca="false">IF($E274="","",IFERROR(INDEX(Parâmetros!$C$15:$C$20,MATCH($P274,Parâmetros!$B$15:$B$20,0)),""))</f>
        <v/>
      </c>
      <c r="N274" s="46" t="str">
        <f aca="false">IF($E274="","",IF($P274="","",IF($P274&gt;=8,"Alta",IF($P274&gt;=5,"Média","Baixa"))))</f>
        <v/>
      </c>
      <c r="O274" s="46" t="str">
        <f aca="false">IF($E274="","",IF(AND(Parâmetros!$C$5&gt;0,$P274&lt;&gt;"",$P274&gt;=Parâmetros!$C$5),"Sim","Não"))</f>
        <v/>
      </c>
      <c r="P274" s="45" t="str">
        <f aca="false">IF($E274="","",IF($G274="","",IF($G274="NOK",$F274,0)))</f>
        <v/>
      </c>
      <c r="Q274" s="46" t="str">
        <f aca="false">IF($E274="","",IF($O274&lt;&gt;"Sim","",COUNTIF($O$3:$O274,"Sim")))</f>
        <v/>
      </c>
      <c r="R274" s="47" t="n">
        <f aca="false">IF($P274="",0,$P274)</f>
        <v>0</v>
      </c>
    </row>
    <row r="275" customFormat="false" ht="18" hidden="false" customHeight="true" outlineLevel="0" collapsed="false">
      <c r="A275" s="39"/>
      <c r="B275" s="41"/>
      <c r="C275" s="40"/>
      <c r="D275" s="40"/>
      <c r="E275" s="40"/>
      <c r="F275" s="42"/>
      <c r="G275" s="39"/>
      <c r="H275" s="40"/>
      <c r="I275" s="40"/>
      <c r="J275" s="40"/>
      <c r="K275" s="41"/>
      <c r="L275" s="39"/>
      <c r="M275" s="48" t="str">
        <f aca="false">IF($E275="","",IFERROR(INDEX(Parâmetros!$C$15:$C$20,MATCH($P275,Parâmetros!$B$15:$B$20,0)),""))</f>
        <v/>
      </c>
      <c r="N275" s="46" t="str">
        <f aca="false">IF($E275="","",IF($P275="","",IF($P275&gt;=8,"Alta",IF($P275&gt;=5,"Média","Baixa"))))</f>
        <v/>
      </c>
      <c r="O275" s="46" t="str">
        <f aca="false">IF($E275="","",IF(AND(Parâmetros!$C$5&gt;0,$P275&lt;&gt;"",$P275&gt;=Parâmetros!$C$5),"Sim","Não"))</f>
        <v/>
      </c>
      <c r="P275" s="45" t="str">
        <f aca="false">IF($E275="","",IF($G275="","",IF($G275="NOK",$F275,0)))</f>
        <v/>
      </c>
      <c r="Q275" s="46" t="str">
        <f aca="false">IF($E275="","",IF($O275&lt;&gt;"Sim","",COUNTIF($O$3:$O275,"Sim")))</f>
        <v/>
      </c>
      <c r="R275" s="47" t="n">
        <f aca="false">IF($P275="",0,$P275)</f>
        <v>0</v>
      </c>
    </row>
    <row r="276" customFormat="false" ht="18" hidden="false" customHeight="true" outlineLevel="0" collapsed="false">
      <c r="A276" s="39"/>
      <c r="B276" s="41"/>
      <c r="C276" s="40"/>
      <c r="D276" s="40"/>
      <c r="E276" s="40"/>
      <c r="F276" s="42"/>
      <c r="G276" s="39"/>
      <c r="H276" s="40"/>
      <c r="I276" s="40"/>
      <c r="J276" s="40"/>
      <c r="K276" s="41"/>
      <c r="L276" s="39"/>
      <c r="M276" s="48" t="str">
        <f aca="false">IF($E276="","",IFERROR(INDEX(Parâmetros!$C$15:$C$20,MATCH($P276,Parâmetros!$B$15:$B$20,0)),""))</f>
        <v/>
      </c>
      <c r="N276" s="46" t="str">
        <f aca="false">IF($E276="","",IF($P276="","",IF($P276&gt;=8,"Alta",IF($P276&gt;=5,"Média","Baixa"))))</f>
        <v/>
      </c>
      <c r="O276" s="46" t="str">
        <f aca="false">IF($E276="","",IF(AND(Parâmetros!$C$5&gt;0,$P276&lt;&gt;"",$P276&gt;=Parâmetros!$C$5),"Sim","Não"))</f>
        <v/>
      </c>
      <c r="P276" s="45" t="str">
        <f aca="false">IF($E276="","",IF($G276="","",IF($G276="NOK",$F276,0)))</f>
        <v/>
      </c>
      <c r="Q276" s="46" t="str">
        <f aca="false">IF($E276="","",IF($O276&lt;&gt;"Sim","",COUNTIF($O$3:$O276,"Sim")))</f>
        <v/>
      </c>
      <c r="R276" s="47" t="n">
        <f aca="false">IF($P276="",0,$P276)</f>
        <v>0</v>
      </c>
    </row>
    <row r="277" customFormat="false" ht="18" hidden="false" customHeight="true" outlineLevel="0" collapsed="false">
      <c r="A277" s="39"/>
      <c r="B277" s="41"/>
      <c r="C277" s="40"/>
      <c r="D277" s="40"/>
      <c r="E277" s="40"/>
      <c r="F277" s="42"/>
      <c r="G277" s="39"/>
      <c r="H277" s="40"/>
      <c r="I277" s="40"/>
      <c r="J277" s="40"/>
      <c r="K277" s="41"/>
      <c r="L277" s="39"/>
      <c r="M277" s="48" t="str">
        <f aca="false">IF($E277="","",IFERROR(INDEX(Parâmetros!$C$15:$C$20,MATCH($P277,Parâmetros!$B$15:$B$20,0)),""))</f>
        <v/>
      </c>
      <c r="N277" s="46" t="str">
        <f aca="false">IF($E277="","",IF($P277="","",IF($P277&gt;=8,"Alta",IF($P277&gt;=5,"Média","Baixa"))))</f>
        <v/>
      </c>
      <c r="O277" s="46" t="str">
        <f aca="false">IF($E277="","",IF(AND(Parâmetros!$C$5&gt;0,$P277&lt;&gt;"",$P277&gt;=Parâmetros!$C$5),"Sim","Não"))</f>
        <v/>
      </c>
      <c r="P277" s="45" t="str">
        <f aca="false">IF($E277="","",IF($G277="","",IF($G277="NOK",$F277,0)))</f>
        <v/>
      </c>
      <c r="Q277" s="46" t="str">
        <f aca="false">IF($E277="","",IF($O277&lt;&gt;"Sim","",COUNTIF($O$3:$O277,"Sim")))</f>
        <v/>
      </c>
      <c r="R277" s="47" t="n">
        <f aca="false">IF($P277="",0,$P277)</f>
        <v>0</v>
      </c>
    </row>
    <row r="278" customFormat="false" ht="18" hidden="false" customHeight="true" outlineLevel="0" collapsed="false">
      <c r="A278" s="39"/>
      <c r="B278" s="41"/>
      <c r="C278" s="40"/>
      <c r="D278" s="40"/>
      <c r="E278" s="40"/>
      <c r="F278" s="42"/>
      <c r="G278" s="39"/>
      <c r="H278" s="40"/>
      <c r="I278" s="40"/>
      <c r="J278" s="40"/>
      <c r="K278" s="41"/>
      <c r="L278" s="39"/>
      <c r="M278" s="48" t="str">
        <f aca="false">IF($E278="","",IFERROR(INDEX(Parâmetros!$C$15:$C$20,MATCH($P278,Parâmetros!$B$15:$B$20,0)),""))</f>
        <v/>
      </c>
      <c r="N278" s="46" t="str">
        <f aca="false">IF($E278="","",IF($P278="","",IF($P278&gt;=8,"Alta",IF($P278&gt;=5,"Média","Baixa"))))</f>
        <v/>
      </c>
      <c r="O278" s="46" t="str">
        <f aca="false">IF($E278="","",IF(AND(Parâmetros!$C$5&gt;0,$P278&lt;&gt;"",$P278&gt;=Parâmetros!$C$5),"Sim","Não"))</f>
        <v/>
      </c>
      <c r="P278" s="45" t="str">
        <f aca="false">IF($E278="","",IF($G278="","",IF($G278="NOK",$F278,0)))</f>
        <v/>
      </c>
      <c r="Q278" s="46" t="str">
        <f aca="false">IF($E278="","",IF($O278&lt;&gt;"Sim","",COUNTIF($O$3:$O278,"Sim")))</f>
        <v/>
      </c>
      <c r="R278" s="47" t="n">
        <f aca="false">IF($P278="",0,$P278)</f>
        <v>0</v>
      </c>
    </row>
    <row r="279" customFormat="false" ht="18" hidden="false" customHeight="true" outlineLevel="0" collapsed="false">
      <c r="A279" s="39"/>
      <c r="B279" s="41"/>
      <c r="C279" s="40"/>
      <c r="D279" s="40"/>
      <c r="E279" s="40"/>
      <c r="F279" s="42"/>
      <c r="G279" s="39"/>
      <c r="H279" s="40"/>
      <c r="I279" s="40"/>
      <c r="J279" s="40"/>
      <c r="K279" s="41"/>
      <c r="L279" s="39"/>
      <c r="M279" s="48" t="str">
        <f aca="false">IF($E279="","",IFERROR(INDEX(Parâmetros!$C$15:$C$20,MATCH($P279,Parâmetros!$B$15:$B$20,0)),""))</f>
        <v/>
      </c>
      <c r="N279" s="46" t="str">
        <f aca="false">IF($E279="","",IF($P279="","",IF($P279&gt;=8,"Alta",IF($P279&gt;=5,"Média","Baixa"))))</f>
        <v/>
      </c>
      <c r="O279" s="46" t="str">
        <f aca="false">IF($E279="","",IF(AND(Parâmetros!$C$5&gt;0,$P279&lt;&gt;"",$P279&gt;=Parâmetros!$C$5),"Sim","Não"))</f>
        <v/>
      </c>
      <c r="P279" s="45" t="str">
        <f aca="false">IF($E279="","",IF($G279="","",IF($G279="NOK",$F279,0)))</f>
        <v/>
      </c>
      <c r="Q279" s="46" t="str">
        <f aca="false">IF($E279="","",IF($O279&lt;&gt;"Sim","",COUNTIF($O$3:$O279,"Sim")))</f>
        <v/>
      </c>
      <c r="R279" s="47" t="n">
        <f aca="false">IF($P279="",0,$P279)</f>
        <v>0</v>
      </c>
    </row>
    <row r="280" customFormat="false" ht="18" hidden="false" customHeight="true" outlineLevel="0" collapsed="false">
      <c r="A280" s="39"/>
      <c r="B280" s="41"/>
      <c r="C280" s="40"/>
      <c r="D280" s="40"/>
      <c r="E280" s="40"/>
      <c r="F280" s="42"/>
      <c r="G280" s="39"/>
      <c r="H280" s="40"/>
      <c r="I280" s="40"/>
      <c r="J280" s="40"/>
      <c r="K280" s="41"/>
      <c r="L280" s="39"/>
      <c r="M280" s="48" t="str">
        <f aca="false">IF($E280="","",IFERROR(INDEX(Parâmetros!$C$15:$C$20,MATCH($P280,Parâmetros!$B$15:$B$20,0)),""))</f>
        <v/>
      </c>
      <c r="N280" s="46" t="str">
        <f aca="false">IF($E280="","",IF($P280="","",IF($P280&gt;=8,"Alta",IF($P280&gt;=5,"Média","Baixa"))))</f>
        <v/>
      </c>
      <c r="O280" s="46" t="str">
        <f aca="false">IF($E280="","",IF(AND(Parâmetros!$C$5&gt;0,$P280&lt;&gt;"",$P280&gt;=Parâmetros!$C$5),"Sim","Não"))</f>
        <v/>
      </c>
      <c r="P280" s="45" t="str">
        <f aca="false">IF($E280="","",IF($G280="","",IF($G280="NOK",$F280,0)))</f>
        <v/>
      </c>
      <c r="Q280" s="46" t="str">
        <f aca="false">IF($E280="","",IF($O280&lt;&gt;"Sim","",COUNTIF($O$3:$O280,"Sim")))</f>
        <v/>
      </c>
      <c r="R280" s="47" t="n">
        <f aca="false">IF($P280="",0,$P280)</f>
        <v>0</v>
      </c>
    </row>
    <row r="281" customFormat="false" ht="18" hidden="false" customHeight="true" outlineLevel="0" collapsed="false">
      <c r="A281" s="39"/>
      <c r="B281" s="41"/>
      <c r="C281" s="40"/>
      <c r="D281" s="40"/>
      <c r="E281" s="40"/>
      <c r="F281" s="42"/>
      <c r="G281" s="39"/>
      <c r="H281" s="40"/>
      <c r="I281" s="40"/>
      <c r="J281" s="40"/>
      <c r="K281" s="41"/>
      <c r="L281" s="39"/>
      <c r="M281" s="48" t="str">
        <f aca="false">IF($E281="","",IFERROR(INDEX(Parâmetros!$C$15:$C$20,MATCH($P281,Parâmetros!$B$15:$B$20,0)),""))</f>
        <v/>
      </c>
      <c r="N281" s="46" t="str">
        <f aca="false">IF($E281="","",IF($P281="","",IF($P281&gt;=8,"Alta",IF($P281&gt;=5,"Média","Baixa"))))</f>
        <v/>
      </c>
      <c r="O281" s="46" t="str">
        <f aca="false">IF($E281="","",IF(AND(Parâmetros!$C$5&gt;0,$P281&lt;&gt;"",$P281&gt;=Parâmetros!$C$5),"Sim","Não"))</f>
        <v/>
      </c>
      <c r="P281" s="45" t="str">
        <f aca="false">IF($E281="","",IF($G281="","",IF($G281="NOK",$F281,0)))</f>
        <v/>
      </c>
      <c r="Q281" s="46" t="str">
        <f aca="false">IF($E281="","",IF($O281&lt;&gt;"Sim","",COUNTIF($O$3:$O281,"Sim")))</f>
        <v/>
      </c>
      <c r="R281" s="47" t="n">
        <f aca="false">IF($P281="",0,$P281)</f>
        <v>0</v>
      </c>
    </row>
    <row r="282" customFormat="false" ht="18" hidden="false" customHeight="true" outlineLevel="0" collapsed="false">
      <c r="A282" s="39"/>
      <c r="B282" s="41"/>
      <c r="C282" s="40"/>
      <c r="D282" s="40"/>
      <c r="E282" s="40"/>
      <c r="F282" s="42"/>
      <c r="G282" s="39"/>
      <c r="H282" s="40"/>
      <c r="I282" s="40"/>
      <c r="J282" s="40"/>
      <c r="K282" s="41"/>
      <c r="L282" s="39"/>
      <c r="M282" s="48" t="str">
        <f aca="false">IF($E282="","",IFERROR(INDEX(Parâmetros!$C$15:$C$20,MATCH($P282,Parâmetros!$B$15:$B$20,0)),""))</f>
        <v/>
      </c>
      <c r="N282" s="46" t="str">
        <f aca="false">IF($E282="","",IF($P282="","",IF($P282&gt;=8,"Alta",IF($P282&gt;=5,"Média","Baixa"))))</f>
        <v/>
      </c>
      <c r="O282" s="46" t="str">
        <f aca="false">IF($E282="","",IF(AND(Parâmetros!$C$5&gt;0,$P282&lt;&gt;"",$P282&gt;=Parâmetros!$C$5),"Sim","Não"))</f>
        <v/>
      </c>
      <c r="P282" s="45" t="str">
        <f aca="false">IF($E282="","",IF($G282="","",IF($G282="NOK",$F282,0)))</f>
        <v/>
      </c>
      <c r="Q282" s="46" t="str">
        <f aca="false">IF($E282="","",IF($O282&lt;&gt;"Sim","",COUNTIF($O$3:$O282,"Sim")))</f>
        <v/>
      </c>
      <c r="R282" s="47" t="n">
        <f aca="false">IF($P282="",0,$P282)</f>
        <v>0</v>
      </c>
    </row>
    <row r="283" customFormat="false" ht="18" hidden="false" customHeight="true" outlineLevel="0" collapsed="false">
      <c r="A283" s="39"/>
      <c r="B283" s="41"/>
      <c r="C283" s="40"/>
      <c r="D283" s="40"/>
      <c r="E283" s="40"/>
      <c r="F283" s="42"/>
      <c r="G283" s="39"/>
      <c r="H283" s="40"/>
      <c r="I283" s="40"/>
      <c r="J283" s="40"/>
      <c r="K283" s="41"/>
      <c r="L283" s="39"/>
      <c r="M283" s="48" t="str">
        <f aca="false">IF($E283="","",IFERROR(INDEX(Parâmetros!$C$15:$C$20,MATCH($P283,Parâmetros!$B$15:$B$20,0)),""))</f>
        <v/>
      </c>
      <c r="N283" s="46" t="str">
        <f aca="false">IF($E283="","",IF($P283="","",IF($P283&gt;=8,"Alta",IF($P283&gt;=5,"Média","Baixa"))))</f>
        <v/>
      </c>
      <c r="O283" s="46" t="str">
        <f aca="false">IF($E283="","",IF(AND(Parâmetros!$C$5&gt;0,$P283&lt;&gt;"",$P283&gt;=Parâmetros!$C$5),"Sim","Não"))</f>
        <v/>
      </c>
      <c r="P283" s="45" t="str">
        <f aca="false">IF($E283="","",IF($G283="","",IF($G283="NOK",$F283,0)))</f>
        <v/>
      </c>
      <c r="Q283" s="46" t="str">
        <f aca="false">IF($E283="","",IF($O283&lt;&gt;"Sim","",COUNTIF($O$3:$O283,"Sim")))</f>
        <v/>
      </c>
      <c r="R283" s="47" t="n">
        <f aca="false">IF($P283="",0,$P283)</f>
        <v>0</v>
      </c>
    </row>
    <row r="284" customFormat="false" ht="18" hidden="false" customHeight="true" outlineLevel="0" collapsed="false">
      <c r="A284" s="39"/>
      <c r="B284" s="41"/>
      <c r="C284" s="40"/>
      <c r="D284" s="40"/>
      <c r="E284" s="40"/>
      <c r="F284" s="42"/>
      <c r="G284" s="39"/>
      <c r="H284" s="40"/>
      <c r="I284" s="40"/>
      <c r="J284" s="40"/>
      <c r="K284" s="41"/>
      <c r="L284" s="39"/>
      <c r="M284" s="48" t="str">
        <f aca="false">IF($E284="","",IFERROR(INDEX(Parâmetros!$C$15:$C$20,MATCH($P284,Parâmetros!$B$15:$B$20,0)),""))</f>
        <v/>
      </c>
      <c r="N284" s="46" t="str">
        <f aca="false">IF($E284="","",IF($P284="","",IF($P284&gt;=8,"Alta",IF($P284&gt;=5,"Média","Baixa"))))</f>
        <v/>
      </c>
      <c r="O284" s="46" t="str">
        <f aca="false">IF($E284="","",IF(AND(Parâmetros!$C$5&gt;0,$P284&lt;&gt;"",$P284&gt;=Parâmetros!$C$5),"Sim","Não"))</f>
        <v/>
      </c>
      <c r="P284" s="45" t="str">
        <f aca="false">IF($E284="","",IF($G284="","",IF($G284="NOK",$F284,0)))</f>
        <v/>
      </c>
      <c r="Q284" s="46" t="str">
        <f aca="false">IF($E284="","",IF($O284&lt;&gt;"Sim","",COUNTIF($O$3:$O284,"Sim")))</f>
        <v/>
      </c>
      <c r="R284" s="47" t="n">
        <f aca="false">IF($P284="",0,$P284)</f>
        <v>0</v>
      </c>
    </row>
    <row r="285" customFormat="false" ht="18" hidden="false" customHeight="true" outlineLevel="0" collapsed="false">
      <c r="A285" s="39"/>
      <c r="B285" s="41"/>
      <c r="C285" s="40"/>
      <c r="D285" s="40"/>
      <c r="E285" s="40"/>
      <c r="F285" s="42"/>
      <c r="G285" s="39"/>
      <c r="H285" s="40"/>
      <c r="I285" s="40"/>
      <c r="J285" s="40"/>
      <c r="K285" s="41"/>
      <c r="L285" s="39"/>
      <c r="M285" s="48" t="str">
        <f aca="false">IF($E285="","",IFERROR(INDEX(Parâmetros!$C$15:$C$20,MATCH($P285,Parâmetros!$B$15:$B$20,0)),""))</f>
        <v/>
      </c>
      <c r="N285" s="46" t="str">
        <f aca="false">IF($E285="","",IF($P285="","",IF($P285&gt;=8,"Alta",IF($P285&gt;=5,"Média","Baixa"))))</f>
        <v/>
      </c>
      <c r="O285" s="46" t="str">
        <f aca="false">IF($E285="","",IF(AND(Parâmetros!$C$5&gt;0,$P285&lt;&gt;"",$P285&gt;=Parâmetros!$C$5),"Sim","Não"))</f>
        <v/>
      </c>
      <c r="P285" s="45" t="str">
        <f aca="false">IF($E285="","",IF($G285="","",IF($G285="NOK",$F285,0)))</f>
        <v/>
      </c>
      <c r="Q285" s="46" t="str">
        <f aca="false">IF($E285="","",IF($O285&lt;&gt;"Sim","",COUNTIF($O$3:$O285,"Sim")))</f>
        <v/>
      </c>
      <c r="R285" s="47" t="n">
        <f aca="false">IF($P285="",0,$P285)</f>
        <v>0</v>
      </c>
    </row>
    <row r="286" customFormat="false" ht="18" hidden="false" customHeight="true" outlineLevel="0" collapsed="false">
      <c r="A286" s="39"/>
      <c r="B286" s="41"/>
      <c r="C286" s="40"/>
      <c r="D286" s="40"/>
      <c r="E286" s="40"/>
      <c r="F286" s="42"/>
      <c r="G286" s="39"/>
      <c r="H286" s="40"/>
      <c r="I286" s="40"/>
      <c r="J286" s="40"/>
      <c r="K286" s="41"/>
      <c r="L286" s="39"/>
      <c r="M286" s="48" t="str">
        <f aca="false">IF($E286="","",IFERROR(INDEX(Parâmetros!$C$15:$C$20,MATCH($P286,Parâmetros!$B$15:$B$20,0)),""))</f>
        <v/>
      </c>
      <c r="N286" s="46" t="str">
        <f aca="false">IF($E286="","",IF($P286="","",IF($P286&gt;=8,"Alta",IF($P286&gt;=5,"Média","Baixa"))))</f>
        <v/>
      </c>
      <c r="O286" s="46" t="str">
        <f aca="false">IF($E286="","",IF(AND(Parâmetros!$C$5&gt;0,$P286&lt;&gt;"",$P286&gt;=Parâmetros!$C$5),"Sim","Não"))</f>
        <v/>
      </c>
      <c r="P286" s="45" t="str">
        <f aca="false">IF($E286="","",IF($G286="","",IF($G286="NOK",$F286,0)))</f>
        <v/>
      </c>
      <c r="Q286" s="46" t="str">
        <f aca="false">IF($E286="","",IF($O286&lt;&gt;"Sim","",COUNTIF($O$3:$O286,"Sim")))</f>
        <v/>
      </c>
      <c r="R286" s="47" t="n">
        <f aca="false">IF($P286="",0,$P286)</f>
        <v>0</v>
      </c>
    </row>
    <row r="287" customFormat="false" ht="18" hidden="false" customHeight="true" outlineLevel="0" collapsed="false">
      <c r="A287" s="39"/>
      <c r="B287" s="41"/>
      <c r="C287" s="40"/>
      <c r="D287" s="40"/>
      <c r="E287" s="40"/>
      <c r="F287" s="42"/>
      <c r="G287" s="39"/>
      <c r="H287" s="40"/>
      <c r="I287" s="40"/>
      <c r="J287" s="40"/>
      <c r="K287" s="41"/>
      <c r="L287" s="39"/>
      <c r="M287" s="48" t="str">
        <f aca="false">IF($E287="","",IFERROR(INDEX(Parâmetros!$C$15:$C$20,MATCH($P287,Parâmetros!$B$15:$B$20,0)),""))</f>
        <v/>
      </c>
      <c r="N287" s="46" t="str">
        <f aca="false">IF($E287="","",IF($P287="","",IF($P287&gt;=8,"Alta",IF($P287&gt;=5,"Média","Baixa"))))</f>
        <v/>
      </c>
      <c r="O287" s="46" t="str">
        <f aca="false">IF($E287="","",IF(AND(Parâmetros!$C$5&gt;0,$P287&lt;&gt;"",$P287&gt;=Parâmetros!$C$5),"Sim","Não"))</f>
        <v/>
      </c>
      <c r="P287" s="45" t="str">
        <f aca="false">IF($E287="","",IF($G287="","",IF($G287="NOK",$F287,0)))</f>
        <v/>
      </c>
      <c r="Q287" s="46" t="str">
        <f aca="false">IF($E287="","",IF($O287&lt;&gt;"Sim","",COUNTIF($O$3:$O287,"Sim")))</f>
        <v/>
      </c>
      <c r="R287" s="47" t="n">
        <f aca="false">IF($P287="",0,$P287)</f>
        <v>0</v>
      </c>
    </row>
    <row r="288" customFormat="false" ht="18" hidden="false" customHeight="true" outlineLevel="0" collapsed="false">
      <c r="A288" s="39"/>
      <c r="B288" s="41"/>
      <c r="C288" s="40"/>
      <c r="D288" s="40"/>
      <c r="E288" s="40"/>
      <c r="F288" s="42"/>
      <c r="G288" s="39"/>
      <c r="H288" s="40"/>
      <c r="I288" s="40"/>
      <c r="J288" s="40"/>
      <c r="K288" s="41"/>
      <c r="L288" s="39"/>
      <c r="M288" s="48" t="str">
        <f aca="false">IF($E288="","",IFERROR(INDEX(Parâmetros!$C$15:$C$20,MATCH($P288,Parâmetros!$B$15:$B$20,0)),""))</f>
        <v/>
      </c>
      <c r="N288" s="46" t="str">
        <f aca="false">IF($E288="","",IF($P288="","",IF($P288&gt;=8,"Alta",IF($P288&gt;=5,"Média","Baixa"))))</f>
        <v/>
      </c>
      <c r="O288" s="46" t="str">
        <f aca="false">IF($E288="","",IF(AND(Parâmetros!$C$5&gt;0,$P288&lt;&gt;"",$P288&gt;=Parâmetros!$C$5),"Sim","Não"))</f>
        <v/>
      </c>
      <c r="P288" s="45" t="str">
        <f aca="false">IF($E288="","",IF($G288="","",IF($G288="NOK",$F288,0)))</f>
        <v/>
      </c>
      <c r="Q288" s="46" t="str">
        <f aca="false">IF($E288="","",IF($O288&lt;&gt;"Sim","",COUNTIF($O$3:$O288,"Sim")))</f>
        <v/>
      </c>
      <c r="R288" s="47" t="n">
        <f aca="false">IF($P288="",0,$P288)</f>
        <v>0</v>
      </c>
    </row>
    <row r="289" customFormat="false" ht="18" hidden="false" customHeight="true" outlineLevel="0" collapsed="false">
      <c r="A289" s="39"/>
      <c r="B289" s="41"/>
      <c r="C289" s="40"/>
      <c r="D289" s="40"/>
      <c r="E289" s="40"/>
      <c r="F289" s="42"/>
      <c r="G289" s="39"/>
      <c r="H289" s="40"/>
      <c r="I289" s="40"/>
      <c r="J289" s="40"/>
      <c r="K289" s="41"/>
      <c r="L289" s="39"/>
      <c r="M289" s="48" t="str">
        <f aca="false">IF($E289="","",IFERROR(INDEX(Parâmetros!$C$15:$C$20,MATCH($P289,Parâmetros!$B$15:$B$20,0)),""))</f>
        <v/>
      </c>
      <c r="N289" s="46" t="str">
        <f aca="false">IF($E289="","",IF($P289="","",IF($P289&gt;=8,"Alta",IF($P289&gt;=5,"Média","Baixa"))))</f>
        <v/>
      </c>
      <c r="O289" s="46" t="str">
        <f aca="false">IF($E289="","",IF(AND(Parâmetros!$C$5&gt;0,$P289&lt;&gt;"",$P289&gt;=Parâmetros!$C$5),"Sim","Não"))</f>
        <v/>
      </c>
      <c r="P289" s="45" t="str">
        <f aca="false">IF($E289="","",IF($G289="","",IF($G289="NOK",$F289,0)))</f>
        <v/>
      </c>
      <c r="Q289" s="46" t="str">
        <f aca="false">IF($E289="","",IF($O289&lt;&gt;"Sim","",COUNTIF($O$3:$O289,"Sim")))</f>
        <v/>
      </c>
      <c r="R289" s="47" t="n">
        <f aca="false">IF($P289="",0,$P289)</f>
        <v>0</v>
      </c>
    </row>
    <row r="290" customFormat="false" ht="18" hidden="false" customHeight="true" outlineLevel="0" collapsed="false">
      <c r="A290" s="39"/>
      <c r="B290" s="41"/>
      <c r="C290" s="40"/>
      <c r="D290" s="40"/>
      <c r="E290" s="40"/>
      <c r="F290" s="42"/>
      <c r="G290" s="39"/>
      <c r="H290" s="40"/>
      <c r="I290" s="40"/>
      <c r="J290" s="40"/>
      <c r="K290" s="41"/>
      <c r="L290" s="39"/>
      <c r="M290" s="48" t="str">
        <f aca="false">IF($E290="","",IFERROR(INDEX(Parâmetros!$C$15:$C$20,MATCH($P290,Parâmetros!$B$15:$B$20,0)),""))</f>
        <v/>
      </c>
      <c r="N290" s="46" t="str">
        <f aca="false">IF($E290="","",IF($P290="","",IF($P290&gt;=8,"Alta",IF($P290&gt;=5,"Média","Baixa"))))</f>
        <v/>
      </c>
      <c r="O290" s="46" t="str">
        <f aca="false">IF($E290="","",IF(AND(Parâmetros!$C$5&gt;0,$P290&lt;&gt;"",$P290&gt;=Parâmetros!$C$5),"Sim","Não"))</f>
        <v/>
      </c>
      <c r="P290" s="45" t="str">
        <f aca="false">IF($E290="","",IF($G290="","",IF($G290="NOK",$F290,0)))</f>
        <v/>
      </c>
      <c r="Q290" s="46" t="str">
        <f aca="false">IF($E290="","",IF($O290&lt;&gt;"Sim","",COUNTIF($O$3:$O290,"Sim")))</f>
        <v/>
      </c>
      <c r="R290" s="47" t="n">
        <f aca="false">IF($P290="",0,$P290)</f>
        <v>0</v>
      </c>
    </row>
    <row r="291" customFormat="false" ht="18" hidden="false" customHeight="true" outlineLevel="0" collapsed="false">
      <c r="A291" s="39"/>
      <c r="B291" s="41"/>
      <c r="C291" s="40"/>
      <c r="D291" s="40"/>
      <c r="E291" s="40"/>
      <c r="F291" s="42"/>
      <c r="G291" s="39"/>
      <c r="H291" s="40"/>
      <c r="I291" s="40"/>
      <c r="J291" s="40"/>
      <c r="K291" s="41"/>
      <c r="L291" s="39"/>
      <c r="M291" s="48" t="str">
        <f aca="false">IF($E291="","",IFERROR(INDEX(Parâmetros!$C$15:$C$20,MATCH($P291,Parâmetros!$B$15:$B$20,0)),""))</f>
        <v/>
      </c>
      <c r="N291" s="46" t="str">
        <f aca="false">IF($E291="","",IF($P291="","",IF($P291&gt;=8,"Alta",IF($P291&gt;=5,"Média","Baixa"))))</f>
        <v/>
      </c>
      <c r="O291" s="46" t="str">
        <f aca="false">IF($E291="","",IF(AND(Parâmetros!$C$5&gt;0,$P291&lt;&gt;"",$P291&gt;=Parâmetros!$C$5),"Sim","Não"))</f>
        <v/>
      </c>
      <c r="P291" s="45" t="str">
        <f aca="false">IF($E291="","",IF($G291="","",IF($G291="NOK",$F291,0)))</f>
        <v/>
      </c>
      <c r="Q291" s="46" t="str">
        <f aca="false">IF($E291="","",IF($O291&lt;&gt;"Sim","",COUNTIF($O$3:$O291,"Sim")))</f>
        <v/>
      </c>
      <c r="R291" s="47" t="n">
        <f aca="false">IF($P291="",0,$P291)</f>
        <v>0</v>
      </c>
    </row>
    <row r="292" customFormat="false" ht="18" hidden="false" customHeight="true" outlineLevel="0" collapsed="false">
      <c r="A292" s="39"/>
      <c r="B292" s="41"/>
      <c r="C292" s="40"/>
      <c r="D292" s="40"/>
      <c r="E292" s="40"/>
      <c r="F292" s="42"/>
      <c r="G292" s="39"/>
      <c r="H292" s="40"/>
      <c r="I292" s="40"/>
      <c r="J292" s="40"/>
      <c r="K292" s="41"/>
      <c r="L292" s="39"/>
      <c r="M292" s="48" t="str">
        <f aca="false">IF($E292="","",IFERROR(INDEX(Parâmetros!$C$15:$C$20,MATCH($P292,Parâmetros!$B$15:$B$20,0)),""))</f>
        <v/>
      </c>
      <c r="N292" s="46" t="str">
        <f aca="false">IF($E292="","",IF($P292="","",IF($P292&gt;=8,"Alta",IF($P292&gt;=5,"Média","Baixa"))))</f>
        <v/>
      </c>
      <c r="O292" s="46" t="str">
        <f aca="false">IF($E292="","",IF(AND(Parâmetros!$C$5&gt;0,$P292&lt;&gt;"",$P292&gt;=Parâmetros!$C$5),"Sim","Não"))</f>
        <v/>
      </c>
      <c r="P292" s="45" t="str">
        <f aca="false">IF($E292="","",IF($G292="","",IF($G292="NOK",$F292,0)))</f>
        <v/>
      </c>
      <c r="Q292" s="46" t="str">
        <f aca="false">IF($E292="","",IF($O292&lt;&gt;"Sim","",COUNTIF($O$3:$O292,"Sim")))</f>
        <v/>
      </c>
      <c r="R292" s="47" t="n">
        <f aca="false">IF($P292="",0,$P292)</f>
        <v>0</v>
      </c>
    </row>
    <row r="293" customFormat="false" ht="18" hidden="false" customHeight="true" outlineLevel="0" collapsed="false">
      <c r="A293" s="39"/>
      <c r="B293" s="41"/>
      <c r="C293" s="40"/>
      <c r="D293" s="40"/>
      <c r="E293" s="40"/>
      <c r="F293" s="42"/>
      <c r="G293" s="39"/>
      <c r="H293" s="40"/>
      <c r="I293" s="40"/>
      <c r="J293" s="40"/>
      <c r="K293" s="41"/>
      <c r="L293" s="39"/>
      <c r="M293" s="48" t="str">
        <f aca="false">IF($E293="","",IFERROR(INDEX(Parâmetros!$C$15:$C$20,MATCH($P293,Parâmetros!$B$15:$B$20,0)),""))</f>
        <v/>
      </c>
      <c r="N293" s="46" t="str">
        <f aca="false">IF($E293="","",IF($P293="","",IF($P293&gt;=8,"Alta",IF($P293&gt;=5,"Média","Baixa"))))</f>
        <v/>
      </c>
      <c r="O293" s="46" t="str">
        <f aca="false">IF($E293="","",IF(AND(Parâmetros!$C$5&gt;0,$P293&lt;&gt;"",$P293&gt;=Parâmetros!$C$5),"Sim","Não"))</f>
        <v/>
      </c>
      <c r="P293" s="45" t="str">
        <f aca="false">IF($E293="","",IF($G293="","",IF($G293="NOK",$F293,0)))</f>
        <v/>
      </c>
      <c r="Q293" s="46" t="str">
        <f aca="false">IF($E293="","",IF($O293&lt;&gt;"Sim","",COUNTIF($O$3:$O293,"Sim")))</f>
        <v/>
      </c>
      <c r="R293" s="47" t="n">
        <f aca="false">IF($P293="",0,$P293)</f>
        <v>0</v>
      </c>
    </row>
    <row r="294" customFormat="false" ht="18" hidden="false" customHeight="true" outlineLevel="0" collapsed="false">
      <c r="A294" s="39"/>
      <c r="B294" s="41"/>
      <c r="C294" s="40"/>
      <c r="D294" s="40"/>
      <c r="E294" s="40"/>
      <c r="F294" s="42"/>
      <c r="G294" s="39"/>
      <c r="H294" s="40"/>
      <c r="I294" s="40"/>
      <c r="J294" s="40"/>
      <c r="K294" s="41"/>
      <c r="L294" s="39"/>
      <c r="M294" s="48" t="str">
        <f aca="false">IF($E294="","",IFERROR(INDEX(Parâmetros!$C$15:$C$20,MATCH($P294,Parâmetros!$B$15:$B$20,0)),""))</f>
        <v/>
      </c>
      <c r="N294" s="46" t="str">
        <f aca="false">IF($E294="","",IF($P294="","",IF($P294&gt;=8,"Alta",IF($P294&gt;=5,"Média","Baixa"))))</f>
        <v/>
      </c>
      <c r="O294" s="46" t="str">
        <f aca="false">IF($E294="","",IF(AND(Parâmetros!$C$5&gt;0,$P294&lt;&gt;"",$P294&gt;=Parâmetros!$C$5),"Sim","Não"))</f>
        <v/>
      </c>
      <c r="P294" s="45" t="str">
        <f aca="false">IF($E294="","",IF($G294="","",IF($G294="NOK",$F294,0)))</f>
        <v/>
      </c>
      <c r="Q294" s="46" t="str">
        <f aca="false">IF($E294="","",IF($O294&lt;&gt;"Sim","",COUNTIF($O$3:$O294,"Sim")))</f>
        <v/>
      </c>
      <c r="R294" s="47" t="n">
        <f aca="false">IF($P294="",0,$P294)</f>
        <v>0</v>
      </c>
    </row>
    <row r="295" customFormat="false" ht="18" hidden="false" customHeight="true" outlineLevel="0" collapsed="false">
      <c r="A295" s="39"/>
      <c r="B295" s="41"/>
      <c r="C295" s="40"/>
      <c r="D295" s="40"/>
      <c r="E295" s="40"/>
      <c r="F295" s="42"/>
      <c r="G295" s="39"/>
      <c r="H295" s="40"/>
      <c r="I295" s="40"/>
      <c r="J295" s="40"/>
      <c r="K295" s="41"/>
      <c r="L295" s="39"/>
      <c r="M295" s="48" t="str">
        <f aca="false">IF($E295="","",IFERROR(INDEX(Parâmetros!$C$15:$C$20,MATCH($P295,Parâmetros!$B$15:$B$20,0)),""))</f>
        <v/>
      </c>
      <c r="N295" s="46" t="str">
        <f aca="false">IF($E295="","",IF($P295="","",IF($P295&gt;=8,"Alta",IF($P295&gt;=5,"Média","Baixa"))))</f>
        <v/>
      </c>
      <c r="O295" s="46" t="str">
        <f aca="false">IF($E295="","",IF(AND(Parâmetros!$C$5&gt;0,$P295&lt;&gt;"",$P295&gt;=Parâmetros!$C$5),"Sim","Não"))</f>
        <v/>
      </c>
      <c r="P295" s="45" t="str">
        <f aca="false">IF($E295="","",IF($G295="","",IF($G295="NOK",$F295,0)))</f>
        <v/>
      </c>
      <c r="Q295" s="46" t="str">
        <f aca="false">IF($E295="","",IF($O295&lt;&gt;"Sim","",COUNTIF($O$3:$O295,"Sim")))</f>
        <v/>
      </c>
      <c r="R295" s="47" t="n">
        <f aca="false">IF($P295="",0,$P295)</f>
        <v>0</v>
      </c>
    </row>
    <row r="296" customFormat="false" ht="18" hidden="false" customHeight="true" outlineLevel="0" collapsed="false">
      <c r="A296" s="39"/>
      <c r="B296" s="41"/>
      <c r="C296" s="40"/>
      <c r="D296" s="40"/>
      <c r="E296" s="40"/>
      <c r="F296" s="42"/>
      <c r="G296" s="39"/>
      <c r="H296" s="40"/>
      <c r="I296" s="40"/>
      <c r="J296" s="40"/>
      <c r="K296" s="41"/>
      <c r="L296" s="39"/>
      <c r="M296" s="48" t="str">
        <f aca="false">IF($E296="","",IFERROR(INDEX(Parâmetros!$C$15:$C$20,MATCH($P296,Parâmetros!$B$15:$B$20,0)),""))</f>
        <v/>
      </c>
      <c r="N296" s="46" t="str">
        <f aca="false">IF($E296="","",IF($P296="","",IF($P296&gt;=8,"Alta",IF($P296&gt;=5,"Média","Baixa"))))</f>
        <v/>
      </c>
      <c r="O296" s="46" t="str">
        <f aca="false">IF($E296="","",IF(AND(Parâmetros!$C$5&gt;0,$P296&lt;&gt;"",$P296&gt;=Parâmetros!$C$5),"Sim","Não"))</f>
        <v/>
      </c>
      <c r="P296" s="45" t="str">
        <f aca="false">IF($E296="","",IF($G296="","",IF($G296="NOK",$F296,0)))</f>
        <v/>
      </c>
      <c r="Q296" s="46" t="str">
        <f aca="false">IF($E296="","",IF($O296&lt;&gt;"Sim","",COUNTIF($O$3:$O296,"Sim")))</f>
        <v/>
      </c>
      <c r="R296" s="47" t="n">
        <f aca="false">IF($P296="",0,$P296)</f>
        <v>0</v>
      </c>
    </row>
    <row r="297" customFormat="false" ht="18" hidden="false" customHeight="true" outlineLevel="0" collapsed="false">
      <c r="A297" s="39"/>
      <c r="B297" s="41"/>
      <c r="C297" s="40"/>
      <c r="D297" s="40"/>
      <c r="E297" s="40"/>
      <c r="F297" s="42"/>
      <c r="G297" s="39"/>
      <c r="H297" s="40"/>
      <c r="I297" s="40"/>
      <c r="J297" s="40"/>
      <c r="K297" s="41"/>
      <c r="L297" s="39"/>
      <c r="M297" s="48" t="str">
        <f aca="false">IF($E297="","",IFERROR(INDEX(Parâmetros!$C$15:$C$20,MATCH($P297,Parâmetros!$B$15:$B$20,0)),""))</f>
        <v/>
      </c>
      <c r="N297" s="46" t="str">
        <f aca="false">IF($E297="","",IF($P297="","",IF($P297&gt;=8,"Alta",IF($P297&gt;=5,"Média","Baixa"))))</f>
        <v/>
      </c>
      <c r="O297" s="46" t="str">
        <f aca="false">IF($E297="","",IF(AND(Parâmetros!$C$5&gt;0,$P297&lt;&gt;"",$P297&gt;=Parâmetros!$C$5),"Sim","Não"))</f>
        <v/>
      </c>
      <c r="P297" s="45" t="str">
        <f aca="false">IF($E297="","",IF($G297="","",IF($G297="NOK",$F297,0)))</f>
        <v/>
      </c>
      <c r="Q297" s="46" t="str">
        <f aca="false">IF($E297="","",IF($O297&lt;&gt;"Sim","",COUNTIF($O$3:$O297,"Sim")))</f>
        <v/>
      </c>
      <c r="R297" s="47" t="n">
        <f aca="false">IF($P297="",0,$P297)</f>
        <v>0</v>
      </c>
    </row>
    <row r="298" customFormat="false" ht="18" hidden="false" customHeight="true" outlineLevel="0" collapsed="false">
      <c r="A298" s="39"/>
      <c r="B298" s="41"/>
      <c r="C298" s="40"/>
      <c r="D298" s="40"/>
      <c r="E298" s="40"/>
      <c r="F298" s="42"/>
      <c r="G298" s="39"/>
      <c r="H298" s="40"/>
      <c r="I298" s="40"/>
      <c r="J298" s="40"/>
      <c r="K298" s="41"/>
      <c r="L298" s="39"/>
      <c r="M298" s="48" t="str">
        <f aca="false">IF($E298="","",IFERROR(INDEX(Parâmetros!$C$15:$C$20,MATCH($P298,Parâmetros!$B$15:$B$20,0)),""))</f>
        <v/>
      </c>
      <c r="N298" s="46" t="str">
        <f aca="false">IF($E298="","",IF($P298="","",IF($P298&gt;=8,"Alta",IF($P298&gt;=5,"Média","Baixa"))))</f>
        <v/>
      </c>
      <c r="O298" s="46" t="str">
        <f aca="false">IF($E298="","",IF(AND(Parâmetros!$C$5&gt;0,$P298&lt;&gt;"",$P298&gt;=Parâmetros!$C$5),"Sim","Não"))</f>
        <v/>
      </c>
      <c r="P298" s="45" t="str">
        <f aca="false">IF($E298="","",IF($G298="","",IF($G298="NOK",$F298,0)))</f>
        <v/>
      </c>
      <c r="Q298" s="46" t="str">
        <f aca="false">IF($E298="","",IF($O298&lt;&gt;"Sim","",COUNTIF($O$3:$O298,"Sim")))</f>
        <v/>
      </c>
      <c r="R298" s="47" t="n">
        <f aca="false">IF($P298="",0,$P298)</f>
        <v>0</v>
      </c>
    </row>
    <row r="299" customFormat="false" ht="18" hidden="false" customHeight="true" outlineLevel="0" collapsed="false">
      <c r="A299" s="39"/>
      <c r="B299" s="41"/>
      <c r="C299" s="40"/>
      <c r="D299" s="40"/>
      <c r="E299" s="40"/>
      <c r="F299" s="42"/>
      <c r="G299" s="39"/>
      <c r="H299" s="40"/>
      <c r="I299" s="40"/>
      <c r="J299" s="40"/>
      <c r="K299" s="41"/>
      <c r="L299" s="39"/>
      <c r="M299" s="48" t="str">
        <f aca="false">IF($E299="","",IFERROR(INDEX(Parâmetros!$C$15:$C$20,MATCH($P299,Parâmetros!$B$15:$B$20,0)),""))</f>
        <v/>
      </c>
      <c r="N299" s="46" t="str">
        <f aca="false">IF($E299="","",IF($P299="","",IF($P299&gt;=8,"Alta",IF($P299&gt;=5,"Média","Baixa"))))</f>
        <v/>
      </c>
      <c r="O299" s="46" t="str">
        <f aca="false">IF($E299="","",IF(AND(Parâmetros!$C$5&gt;0,$P299&lt;&gt;"",$P299&gt;=Parâmetros!$C$5),"Sim","Não"))</f>
        <v/>
      </c>
      <c r="P299" s="45" t="str">
        <f aca="false">IF($E299="","",IF($G299="","",IF($G299="NOK",$F299,0)))</f>
        <v/>
      </c>
      <c r="Q299" s="46" t="str">
        <f aca="false">IF($E299="","",IF($O299&lt;&gt;"Sim","",COUNTIF($O$3:$O299,"Sim")))</f>
        <v/>
      </c>
      <c r="R299" s="47" t="n">
        <f aca="false">IF($P299="",0,$P299)</f>
        <v>0</v>
      </c>
    </row>
    <row r="300" customFormat="false" ht="18" hidden="false" customHeight="true" outlineLevel="0" collapsed="false">
      <c r="A300" s="39"/>
      <c r="B300" s="41"/>
      <c r="C300" s="40"/>
      <c r="D300" s="40"/>
      <c r="E300" s="40"/>
      <c r="F300" s="42"/>
      <c r="G300" s="39"/>
      <c r="H300" s="40"/>
      <c r="I300" s="40"/>
      <c r="J300" s="40"/>
      <c r="K300" s="41"/>
      <c r="L300" s="39"/>
      <c r="M300" s="48" t="str">
        <f aca="false">IF($E300="","",IFERROR(INDEX(Parâmetros!$C$15:$C$20,MATCH($P300,Parâmetros!$B$15:$B$20,0)),""))</f>
        <v/>
      </c>
      <c r="N300" s="46" t="str">
        <f aca="false">IF($E300="","",IF($P300="","",IF($P300&gt;=8,"Alta",IF($P300&gt;=5,"Média","Baixa"))))</f>
        <v/>
      </c>
      <c r="O300" s="46" t="str">
        <f aca="false">IF($E300="","",IF(AND(Parâmetros!$C$5&gt;0,$P300&lt;&gt;"",$P300&gt;=Parâmetros!$C$5),"Sim","Não"))</f>
        <v/>
      </c>
      <c r="P300" s="45" t="str">
        <f aca="false">IF($E300="","",IF($G300="","",IF($G300="NOK",$F300,0)))</f>
        <v/>
      </c>
      <c r="Q300" s="46" t="str">
        <f aca="false">IF($E300="","",IF($O300&lt;&gt;"Sim","",COUNTIF($O$3:$O300,"Sim")))</f>
        <v/>
      </c>
      <c r="R300" s="47" t="n">
        <f aca="false">IF($P300="",0,$P300)</f>
        <v>0</v>
      </c>
    </row>
    <row r="301" customFormat="false" ht="18" hidden="false" customHeight="true" outlineLevel="0" collapsed="false">
      <c r="A301" s="39"/>
      <c r="B301" s="41"/>
      <c r="C301" s="40"/>
      <c r="D301" s="40"/>
      <c r="E301" s="40"/>
      <c r="F301" s="42"/>
      <c r="G301" s="39"/>
      <c r="H301" s="40"/>
      <c r="I301" s="40"/>
      <c r="J301" s="40"/>
      <c r="K301" s="41"/>
      <c r="L301" s="39"/>
      <c r="M301" s="48" t="str">
        <f aca="false">IF($E301="","",IFERROR(INDEX(Parâmetros!$C$15:$C$20,MATCH($P301,Parâmetros!$B$15:$B$20,0)),""))</f>
        <v/>
      </c>
      <c r="N301" s="46" t="str">
        <f aca="false">IF($E301="","",IF($P301="","",IF($P301&gt;=8,"Alta",IF($P301&gt;=5,"Média","Baixa"))))</f>
        <v/>
      </c>
      <c r="O301" s="46" t="str">
        <f aca="false">IF($E301="","",IF(AND(Parâmetros!$C$5&gt;0,$P301&lt;&gt;"",$P301&gt;=Parâmetros!$C$5),"Sim","Não"))</f>
        <v/>
      </c>
      <c r="P301" s="45" t="str">
        <f aca="false">IF($E301="","",IF($G301="","",IF($G301="NOK",$F301,0)))</f>
        <v/>
      </c>
      <c r="Q301" s="46" t="str">
        <f aca="false">IF($E301="","",IF($O301&lt;&gt;"Sim","",COUNTIF($O$3:$O301,"Sim")))</f>
        <v/>
      </c>
      <c r="R301" s="47" t="n">
        <f aca="false">IF($P301="",0,$P301)</f>
        <v>0</v>
      </c>
    </row>
    <row r="302" customFormat="false" ht="18" hidden="false" customHeight="true" outlineLevel="0" collapsed="false">
      <c r="A302" s="39"/>
      <c r="B302" s="41"/>
      <c r="C302" s="40"/>
      <c r="D302" s="40"/>
      <c r="E302" s="40"/>
      <c r="F302" s="42"/>
      <c r="G302" s="39"/>
      <c r="H302" s="40"/>
      <c r="I302" s="40"/>
      <c r="J302" s="40"/>
      <c r="K302" s="41"/>
      <c r="L302" s="39"/>
      <c r="M302" s="48" t="str">
        <f aca="false">IF($E302="","",IFERROR(INDEX(Parâmetros!$C$15:$C$20,MATCH($P302,Parâmetros!$B$15:$B$20,0)),""))</f>
        <v/>
      </c>
      <c r="N302" s="46" t="str">
        <f aca="false">IF($E302="","",IF($P302="","",IF($P302&gt;=8,"Alta",IF($P302&gt;=5,"Média","Baixa"))))</f>
        <v/>
      </c>
      <c r="O302" s="46" t="str">
        <f aca="false">IF($E302="","",IF(AND(Parâmetros!$C$5&gt;0,$P302&lt;&gt;"",$P302&gt;=Parâmetros!$C$5),"Sim","Não"))</f>
        <v/>
      </c>
      <c r="P302" s="45" t="str">
        <f aca="false">IF($E302="","",IF($G302="","",IF($G302="NOK",$F302,0)))</f>
        <v/>
      </c>
      <c r="Q302" s="46" t="str">
        <f aca="false">IF($E302="","",IF($O302&lt;&gt;"Sim","",COUNTIF($O$3:$O302,"Sim")))</f>
        <v/>
      </c>
      <c r="R302" s="47" t="n">
        <f aca="false">IF($P302="",0,$P302)</f>
        <v>0</v>
      </c>
    </row>
    <row r="303" customFormat="false" ht="18" hidden="false" customHeight="true" outlineLevel="0" collapsed="false">
      <c r="A303" s="39"/>
      <c r="B303" s="41"/>
      <c r="C303" s="40"/>
      <c r="D303" s="40"/>
      <c r="E303" s="40"/>
      <c r="F303" s="42"/>
      <c r="G303" s="39"/>
      <c r="H303" s="40"/>
      <c r="I303" s="40"/>
      <c r="J303" s="40"/>
      <c r="K303" s="41"/>
      <c r="L303" s="39"/>
      <c r="M303" s="48" t="str">
        <f aca="false">IF($E303="","",IFERROR(INDEX(Parâmetros!$C$15:$C$20,MATCH($P303,Parâmetros!$B$15:$B$20,0)),""))</f>
        <v/>
      </c>
      <c r="N303" s="46" t="str">
        <f aca="false">IF($E303="","",IF($P303="","",IF($P303&gt;=8,"Alta",IF($P303&gt;=5,"Média","Baixa"))))</f>
        <v/>
      </c>
      <c r="O303" s="46" t="str">
        <f aca="false">IF($E303="","",IF(AND(Parâmetros!$C$5&gt;0,$P303&lt;&gt;"",$P303&gt;=Parâmetros!$C$5),"Sim","Não"))</f>
        <v/>
      </c>
      <c r="P303" s="45" t="str">
        <f aca="false">IF($E303="","",IF($G303="","",IF($G303="NOK",$F303,0)))</f>
        <v/>
      </c>
      <c r="Q303" s="46" t="str">
        <f aca="false">IF($E303="","",IF($O303&lt;&gt;"Sim","",COUNTIF($O$3:$O303,"Sim")))</f>
        <v/>
      </c>
      <c r="R303" s="47" t="n">
        <f aca="false">IF($P303="",0,$P303)</f>
        <v>0</v>
      </c>
    </row>
    <row r="304" customFormat="false" ht="18" hidden="false" customHeight="true" outlineLevel="0" collapsed="false">
      <c r="A304" s="39"/>
      <c r="B304" s="41"/>
      <c r="C304" s="40"/>
      <c r="D304" s="40"/>
      <c r="E304" s="40"/>
      <c r="F304" s="42"/>
      <c r="G304" s="39"/>
      <c r="H304" s="40"/>
      <c r="I304" s="40"/>
      <c r="J304" s="40"/>
      <c r="K304" s="41"/>
      <c r="L304" s="39"/>
      <c r="M304" s="48" t="str">
        <f aca="false">IF($E304="","",IFERROR(INDEX(Parâmetros!$C$15:$C$20,MATCH($P304,Parâmetros!$B$15:$B$20,0)),""))</f>
        <v/>
      </c>
      <c r="N304" s="46" t="str">
        <f aca="false">IF($E304="","",IF($P304="","",IF($P304&gt;=8,"Alta",IF($P304&gt;=5,"Média","Baixa"))))</f>
        <v/>
      </c>
      <c r="O304" s="46" t="str">
        <f aca="false">IF($E304="","",IF(AND(Parâmetros!$C$5&gt;0,$P304&lt;&gt;"",$P304&gt;=Parâmetros!$C$5),"Sim","Não"))</f>
        <v/>
      </c>
      <c r="P304" s="45" t="str">
        <f aca="false">IF($E304="","",IF($G304="","",IF($G304="NOK",$F304,0)))</f>
        <v/>
      </c>
      <c r="Q304" s="46" t="str">
        <f aca="false">IF($E304="","",IF($O304&lt;&gt;"Sim","",COUNTIF($O$3:$O304,"Sim")))</f>
        <v/>
      </c>
      <c r="R304" s="47" t="n">
        <f aca="false">IF($P304="",0,$P304)</f>
        <v>0</v>
      </c>
    </row>
    <row r="305" customFormat="false" ht="18" hidden="false" customHeight="true" outlineLevel="0" collapsed="false">
      <c r="A305" s="39"/>
      <c r="B305" s="41"/>
      <c r="C305" s="40"/>
      <c r="D305" s="40"/>
      <c r="E305" s="40"/>
      <c r="F305" s="42"/>
      <c r="G305" s="39"/>
      <c r="H305" s="40"/>
      <c r="I305" s="40"/>
      <c r="J305" s="40"/>
      <c r="K305" s="41"/>
      <c r="L305" s="39"/>
      <c r="M305" s="48" t="str">
        <f aca="false">IF($E305="","",IFERROR(INDEX(Parâmetros!$C$15:$C$20,MATCH($P305,Parâmetros!$B$15:$B$20,0)),""))</f>
        <v/>
      </c>
      <c r="N305" s="46" t="str">
        <f aca="false">IF($E305="","",IF($P305="","",IF($P305&gt;=8,"Alta",IF($P305&gt;=5,"Média","Baixa"))))</f>
        <v/>
      </c>
      <c r="O305" s="46" t="str">
        <f aca="false">IF($E305="","",IF(AND(Parâmetros!$C$5&gt;0,$P305&lt;&gt;"",$P305&gt;=Parâmetros!$C$5),"Sim","Não"))</f>
        <v/>
      </c>
      <c r="P305" s="45" t="str">
        <f aca="false">IF($E305="","",IF($G305="","",IF($G305="NOK",$F305,0)))</f>
        <v/>
      </c>
      <c r="Q305" s="46" t="str">
        <f aca="false">IF($E305="","",IF($O305&lt;&gt;"Sim","",COUNTIF($O$3:$O305,"Sim")))</f>
        <v/>
      </c>
      <c r="R305" s="47" t="n">
        <f aca="false">IF($P305="",0,$P305)</f>
        <v>0</v>
      </c>
    </row>
    <row r="306" customFormat="false" ht="18" hidden="false" customHeight="true" outlineLevel="0" collapsed="false">
      <c r="A306" s="39"/>
      <c r="B306" s="41"/>
      <c r="C306" s="40"/>
      <c r="D306" s="40"/>
      <c r="E306" s="40"/>
      <c r="F306" s="42"/>
      <c r="G306" s="39"/>
      <c r="H306" s="40"/>
      <c r="I306" s="40"/>
      <c r="J306" s="40"/>
      <c r="K306" s="41"/>
      <c r="L306" s="39"/>
      <c r="M306" s="48" t="str">
        <f aca="false">IF($E306="","",IFERROR(INDEX(Parâmetros!$C$15:$C$20,MATCH($P306,Parâmetros!$B$15:$B$20,0)),""))</f>
        <v/>
      </c>
      <c r="N306" s="46" t="str">
        <f aca="false">IF($E306="","",IF($P306="","",IF($P306&gt;=8,"Alta",IF($P306&gt;=5,"Média","Baixa"))))</f>
        <v/>
      </c>
      <c r="O306" s="46" t="str">
        <f aca="false">IF($E306="","",IF(AND(Parâmetros!$C$5&gt;0,$P306&lt;&gt;"",$P306&gt;=Parâmetros!$C$5),"Sim","Não"))</f>
        <v/>
      </c>
      <c r="P306" s="45" t="str">
        <f aca="false">IF($E306="","",IF($G306="","",IF($G306="NOK",$F306,0)))</f>
        <v/>
      </c>
      <c r="Q306" s="46" t="str">
        <f aca="false">IF($E306="","",IF($O306&lt;&gt;"Sim","",COUNTIF($O$3:$O306,"Sim")))</f>
        <v/>
      </c>
      <c r="R306" s="47" t="n">
        <f aca="false">IF($P306="",0,$P306)</f>
        <v>0</v>
      </c>
    </row>
    <row r="307" customFormat="false" ht="18" hidden="false" customHeight="true" outlineLevel="0" collapsed="false">
      <c r="A307" s="39"/>
      <c r="B307" s="41"/>
      <c r="C307" s="40"/>
      <c r="D307" s="40"/>
      <c r="E307" s="40"/>
      <c r="F307" s="42"/>
      <c r="G307" s="39"/>
      <c r="H307" s="40"/>
      <c r="I307" s="40"/>
      <c r="J307" s="40"/>
      <c r="K307" s="41"/>
      <c r="L307" s="39"/>
      <c r="M307" s="48" t="str">
        <f aca="false">IF($E307="","",IFERROR(INDEX(Parâmetros!$C$15:$C$20,MATCH($P307,Parâmetros!$B$15:$B$20,0)),""))</f>
        <v/>
      </c>
      <c r="N307" s="46" t="str">
        <f aca="false">IF($E307="","",IF($P307="","",IF($P307&gt;=8,"Alta",IF($P307&gt;=5,"Média","Baixa"))))</f>
        <v/>
      </c>
      <c r="O307" s="46" t="str">
        <f aca="false">IF($E307="","",IF(AND(Parâmetros!$C$5&gt;0,$P307&lt;&gt;"",$P307&gt;=Parâmetros!$C$5),"Sim","Não"))</f>
        <v/>
      </c>
      <c r="P307" s="45" t="str">
        <f aca="false">IF($E307="","",IF($G307="","",IF($G307="NOK",$F307,0)))</f>
        <v/>
      </c>
      <c r="Q307" s="46" t="str">
        <f aca="false">IF($E307="","",IF($O307&lt;&gt;"Sim","",COUNTIF($O$3:$O307,"Sim")))</f>
        <v/>
      </c>
      <c r="R307" s="47" t="n">
        <f aca="false">IF($P307="",0,$P307)</f>
        <v>0</v>
      </c>
    </row>
    <row r="308" customFormat="false" ht="18" hidden="false" customHeight="true" outlineLevel="0" collapsed="false">
      <c r="A308" s="39"/>
      <c r="B308" s="41"/>
      <c r="C308" s="40"/>
      <c r="D308" s="40"/>
      <c r="E308" s="40"/>
      <c r="F308" s="42"/>
      <c r="G308" s="39"/>
      <c r="H308" s="40"/>
      <c r="I308" s="40"/>
      <c r="J308" s="40"/>
      <c r="K308" s="41"/>
      <c r="L308" s="39"/>
      <c r="M308" s="48" t="str">
        <f aca="false">IF($E308="","",IFERROR(INDEX(Parâmetros!$C$15:$C$20,MATCH($P308,Parâmetros!$B$15:$B$20,0)),""))</f>
        <v/>
      </c>
      <c r="N308" s="46" t="str">
        <f aca="false">IF($E308="","",IF($P308="","",IF($P308&gt;=8,"Alta",IF($P308&gt;=5,"Média","Baixa"))))</f>
        <v/>
      </c>
      <c r="O308" s="46" t="str">
        <f aca="false">IF($E308="","",IF(AND(Parâmetros!$C$5&gt;0,$P308&lt;&gt;"",$P308&gt;=Parâmetros!$C$5),"Sim","Não"))</f>
        <v/>
      </c>
      <c r="P308" s="45" t="str">
        <f aca="false">IF($E308="","",IF($G308="","",IF($G308="NOK",$F308,0)))</f>
        <v/>
      </c>
      <c r="Q308" s="46" t="str">
        <f aca="false">IF($E308="","",IF($O308&lt;&gt;"Sim","",COUNTIF($O$3:$O308,"Sim")))</f>
        <v/>
      </c>
      <c r="R308" s="47" t="n">
        <f aca="false">IF($P308="",0,$P308)</f>
        <v>0</v>
      </c>
    </row>
    <row r="309" customFormat="false" ht="18" hidden="false" customHeight="true" outlineLevel="0" collapsed="false">
      <c r="A309" s="39"/>
      <c r="B309" s="41"/>
      <c r="C309" s="40"/>
      <c r="D309" s="40"/>
      <c r="E309" s="40"/>
      <c r="F309" s="42"/>
      <c r="G309" s="39"/>
      <c r="H309" s="40"/>
      <c r="I309" s="40"/>
      <c r="J309" s="40"/>
      <c r="K309" s="41"/>
      <c r="L309" s="39"/>
      <c r="M309" s="48" t="str">
        <f aca="false">IF($E309="","",IFERROR(INDEX(Parâmetros!$C$15:$C$20,MATCH($P309,Parâmetros!$B$15:$B$20,0)),""))</f>
        <v/>
      </c>
      <c r="N309" s="46" t="str">
        <f aca="false">IF($E309="","",IF($P309="","",IF($P309&gt;=8,"Alta",IF($P309&gt;=5,"Média","Baixa"))))</f>
        <v/>
      </c>
      <c r="O309" s="46" t="str">
        <f aca="false">IF($E309="","",IF(AND(Parâmetros!$C$5&gt;0,$P309&lt;&gt;"",$P309&gt;=Parâmetros!$C$5),"Sim","Não"))</f>
        <v/>
      </c>
      <c r="P309" s="45" t="str">
        <f aca="false">IF($E309="","",IF($G309="","",IF($G309="NOK",$F309,0)))</f>
        <v/>
      </c>
      <c r="Q309" s="46" t="str">
        <f aca="false">IF($E309="","",IF($O309&lt;&gt;"Sim","",COUNTIF($O$3:$O309,"Sim")))</f>
        <v/>
      </c>
      <c r="R309" s="47" t="n">
        <f aca="false">IF($P309="",0,$P309)</f>
        <v>0</v>
      </c>
    </row>
    <row r="310" customFormat="false" ht="18" hidden="false" customHeight="true" outlineLevel="0" collapsed="false">
      <c r="A310" s="39"/>
      <c r="B310" s="41"/>
      <c r="C310" s="40"/>
      <c r="D310" s="40"/>
      <c r="E310" s="40"/>
      <c r="F310" s="42"/>
      <c r="G310" s="39"/>
      <c r="H310" s="40"/>
      <c r="I310" s="40"/>
      <c r="J310" s="40"/>
      <c r="K310" s="41"/>
      <c r="L310" s="39"/>
      <c r="M310" s="48" t="str">
        <f aca="false">IF($E310="","",IFERROR(INDEX(Parâmetros!$C$15:$C$20,MATCH($P310,Parâmetros!$B$15:$B$20,0)),""))</f>
        <v/>
      </c>
      <c r="N310" s="46" t="str">
        <f aca="false">IF($E310="","",IF($P310="","",IF($P310&gt;=8,"Alta",IF($P310&gt;=5,"Média","Baixa"))))</f>
        <v/>
      </c>
      <c r="O310" s="46" t="str">
        <f aca="false">IF($E310="","",IF(AND(Parâmetros!$C$5&gt;0,$P310&lt;&gt;"",$P310&gt;=Parâmetros!$C$5),"Sim","Não"))</f>
        <v/>
      </c>
      <c r="P310" s="45" t="str">
        <f aca="false">IF($E310="","",IF($G310="","",IF($G310="NOK",$F310,0)))</f>
        <v/>
      </c>
      <c r="Q310" s="46" t="str">
        <f aca="false">IF($E310="","",IF($O310&lt;&gt;"Sim","",COUNTIF($O$3:$O310,"Sim")))</f>
        <v/>
      </c>
      <c r="R310" s="47" t="n">
        <f aca="false">IF($P310="",0,$P310)</f>
        <v>0</v>
      </c>
    </row>
    <row r="311" customFormat="false" ht="18" hidden="false" customHeight="true" outlineLevel="0" collapsed="false">
      <c r="A311" s="39"/>
      <c r="B311" s="41"/>
      <c r="C311" s="40"/>
      <c r="D311" s="40"/>
      <c r="E311" s="40"/>
      <c r="F311" s="42"/>
      <c r="G311" s="39"/>
      <c r="H311" s="40"/>
      <c r="I311" s="40"/>
      <c r="J311" s="40"/>
      <c r="K311" s="41"/>
      <c r="L311" s="39"/>
      <c r="M311" s="48" t="str">
        <f aca="false">IF($E311="","",IFERROR(INDEX(Parâmetros!$C$15:$C$20,MATCH($P311,Parâmetros!$B$15:$B$20,0)),""))</f>
        <v/>
      </c>
      <c r="N311" s="46" t="str">
        <f aca="false">IF($E311="","",IF($P311="","",IF($P311&gt;=8,"Alta",IF($P311&gt;=5,"Média","Baixa"))))</f>
        <v/>
      </c>
      <c r="O311" s="46" t="str">
        <f aca="false">IF($E311="","",IF(AND(Parâmetros!$C$5&gt;0,$P311&lt;&gt;"",$P311&gt;=Parâmetros!$C$5),"Sim","Não"))</f>
        <v/>
      </c>
      <c r="P311" s="45" t="str">
        <f aca="false">IF($E311="","",IF($G311="","",IF($G311="NOK",$F311,0)))</f>
        <v/>
      </c>
      <c r="Q311" s="46" t="str">
        <f aca="false">IF($E311="","",IF($O311&lt;&gt;"Sim","",COUNTIF($O$3:$O311,"Sim")))</f>
        <v/>
      </c>
      <c r="R311" s="47" t="n">
        <f aca="false">IF($P311="",0,$P311)</f>
        <v>0</v>
      </c>
    </row>
    <row r="312" customFormat="false" ht="18" hidden="false" customHeight="true" outlineLevel="0" collapsed="false">
      <c r="A312" s="39"/>
      <c r="B312" s="41"/>
      <c r="C312" s="40"/>
      <c r="D312" s="40"/>
      <c r="E312" s="40"/>
      <c r="F312" s="42"/>
      <c r="G312" s="39"/>
      <c r="H312" s="40"/>
      <c r="I312" s="40"/>
      <c r="J312" s="40"/>
      <c r="K312" s="41"/>
      <c r="L312" s="39"/>
      <c r="M312" s="48" t="str">
        <f aca="false">IF($E312="","",IFERROR(INDEX(Parâmetros!$C$15:$C$20,MATCH($P312,Parâmetros!$B$15:$B$20,0)),""))</f>
        <v/>
      </c>
      <c r="N312" s="46" t="str">
        <f aca="false">IF($E312="","",IF($P312="","",IF($P312&gt;=8,"Alta",IF($P312&gt;=5,"Média","Baixa"))))</f>
        <v/>
      </c>
      <c r="O312" s="46" t="str">
        <f aca="false">IF($E312="","",IF(AND(Parâmetros!$C$5&gt;0,$P312&lt;&gt;"",$P312&gt;=Parâmetros!$C$5),"Sim","Não"))</f>
        <v/>
      </c>
      <c r="P312" s="45" t="str">
        <f aca="false">IF($E312="","",IF($G312="","",IF($G312="NOK",$F312,0)))</f>
        <v/>
      </c>
      <c r="Q312" s="46" t="str">
        <f aca="false">IF($E312="","",IF($O312&lt;&gt;"Sim","",COUNTIF($O$3:$O312,"Sim")))</f>
        <v/>
      </c>
      <c r="R312" s="47" t="n">
        <f aca="false">IF($P312="",0,$P312)</f>
        <v>0</v>
      </c>
    </row>
    <row r="313" customFormat="false" ht="18" hidden="false" customHeight="true" outlineLevel="0" collapsed="false">
      <c r="A313" s="39"/>
      <c r="B313" s="41"/>
      <c r="C313" s="40"/>
      <c r="D313" s="40"/>
      <c r="E313" s="40"/>
      <c r="F313" s="42"/>
      <c r="G313" s="39"/>
      <c r="H313" s="40"/>
      <c r="I313" s="40"/>
      <c r="J313" s="40"/>
      <c r="K313" s="41"/>
      <c r="L313" s="39"/>
      <c r="M313" s="48" t="str">
        <f aca="false">IF($E313="","",IFERROR(INDEX(Parâmetros!$C$15:$C$20,MATCH($P313,Parâmetros!$B$15:$B$20,0)),""))</f>
        <v/>
      </c>
      <c r="N313" s="46" t="str">
        <f aca="false">IF($E313="","",IF($P313="","",IF($P313&gt;=8,"Alta",IF($P313&gt;=5,"Média","Baixa"))))</f>
        <v/>
      </c>
      <c r="O313" s="46" t="str">
        <f aca="false">IF($E313="","",IF(AND(Parâmetros!$C$5&gt;0,$P313&lt;&gt;"",$P313&gt;=Parâmetros!$C$5),"Sim","Não"))</f>
        <v/>
      </c>
      <c r="P313" s="45" t="str">
        <f aca="false">IF($E313="","",IF($G313="","",IF($G313="NOK",$F313,0)))</f>
        <v/>
      </c>
      <c r="Q313" s="46" t="str">
        <f aca="false">IF($E313="","",IF($O313&lt;&gt;"Sim","",COUNTIF($O$3:$O313,"Sim")))</f>
        <v/>
      </c>
      <c r="R313" s="47" t="n">
        <f aca="false">IF($P313="",0,$P313)</f>
        <v>0</v>
      </c>
    </row>
    <row r="314" customFormat="false" ht="18" hidden="false" customHeight="true" outlineLevel="0" collapsed="false">
      <c r="A314" s="39"/>
      <c r="B314" s="41"/>
      <c r="C314" s="40"/>
      <c r="D314" s="40"/>
      <c r="E314" s="40"/>
      <c r="F314" s="42"/>
      <c r="G314" s="39"/>
      <c r="H314" s="40"/>
      <c r="I314" s="40"/>
      <c r="J314" s="40"/>
      <c r="K314" s="41"/>
      <c r="L314" s="39"/>
      <c r="M314" s="48" t="str">
        <f aca="false">IF($E314="","",IFERROR(INDEX(Parâmetros!$C$15:$C$20,MATCH($P314,Parâmetros!$B$15:$B$20,0)),""))</f>
        <v/>
      </c>
      <c r="N314" s="46" t="str">
        <f aca="false">IF($E314="","",IF($P314="","",IF($P314&gt;=8,"Alta",IF($P314&gt;=5,"Média","Baixa"))))</f>
        <v/>
      </c>
      <c r="O314" s="46" t="str">
        <f aca="false">IF($E314="","",IF(AND(Parâmetros!$C$5&gt;0,$P314&lt;&gt;"",$P314&gt;=Parâmetros!$C$5),"Sim","Não"))</f>
        <v/>
      </c>
      <c r="P314" s="45" t="str">
        <f aca="false">IF($E314="","",IF($G314="","",IF($G314="NOK",$F314,0)))</f>
        <v/>
      </c>
      <c r="Q314" s="46" t="str">
        <f aca="false">IF($E314="","",IF($O314&lt;&gt;"Sim","",COUNTIF($O$3:$O314,"Sim")))</f>
        <v/>
      </c>
      <c r="R314" s="47" t="n">
        <f aca="false">IF($P314="",0,$P314)</f>
        <v>0</v>
      </c>
    </row>
    <row r="315" customFormat="false" ht="18" hidden="false" customHeight="true" outlineLevel="0" collapsed="false">
      <c r="A315" s="39"/>
      <c r="B315" s="41"/>
      <c r="C315" s="40"/>
      <c r="D315" s="40"/>
      <c r="E315" s="40"/>
      <c r="F315" s="42"/>
      <c r="G315" s="39"/>
      <c r="H315" s="40"/>
      <c r="I315" s="40"/>
      <c r="J315" s="40"/>
      <c r="K315" s="41"/>
      <c r="L315" s="39"/>
      <c r="M315" s="48" t="str">
        <f aca="false">IF($E315="","",IFERROR(INDEX(Parâmetros!$C$15:$C$20,MATCH($P315,Parâmetros!$B$15:$B$20,0)),""))</f>
        <v/>
      </c>
      <c r="N315" s="46" t="str">
        <f aca="false">IF($E315="","",IF($P315="","",IF($P315&gt;=8,"Alta",IF($P315&gt;=5,"Média","Baixa"))))</f>
        <v/>
      </c>
      <c r="O315" s="46" t="str">
        <f aca="false">IF($E315="","",IF(AND(Parâmetros!$C$5&gt;0,$P315&lt;&gt;"",$P315&gt;=Parâmetros!$C$5),"Sim","Não"))</f>
        <v/>
      </c>
      <c r="P315" s="45" t="str">
        <f aca="false">IF($E315="","",IF($G315="","",IF($G315="NOK",$F315,0)))</f>
        <v/>
      </c>
      <c r="Q315" s="46" t="str">
        <f aca="false">IF($E315="","",IF($O315&lt;&gt;"Sim","",COUNTIF($O$3:$O315,"Sim")))</f>
        <v/>
      </c>
      <c r="R315" s="47" t="n">
        <f aca="false">IF($P315="",0,$P315)</f>
        <v>0</v>
      </c>
    </row>
    <row r="316" customFormat="false" ht="18" hidden="false" customHeight="true" outlineLevel="0" collapsed="false">
      <c r="A316" s="39"/>
      <c r="B316" s="41"/>
      <c r="C316" s="40"/>
      <c r="D316" s="40"/>
      <c r="E316" s="40"/>
      <c r="F316" s="42"/>
      <c r="G316" s="39"/>
      <c r="H316" s="40"/>
      <c r="I316" s="40"/>
      <c r="J316" s="40"/>
      <c r="K316" s="41"/>
      <c r="L316" s="39"/>
      <c r="M316" s="48" t="str">
        <f aca="false">IF($E316="","",IFERROR(INDEX(Parâmetros!$C$15:$C$20,MATCH($P316,Parâmetros!$B$15:$B$20,0)),""))</f>
        <v/>
      </c>
      <c r="N316" s="46" t="str">
        <f aca="false">IF($E316="","",IF($P316="","",IF($P316&gt;=8,"Alta",IF($P316&gt;=5,"Média","Baixa"))))</f>
        <v/>
      </c>
      <c r="O316" s="46" t="str">
        <f aca="false">IF($E316="","",IF(AND(Parâmetros!$C$5&gt;0,$P316&lt;&gt;"",$P316&gt;=Parâmetros!$C$5),"Sim","Não"))</f>
        <v/>
      </c>
      <c r="P316" s="45" t="str">
        <f aca="false">IF($E316="","",IF($G316="","",IF($G316="NOK",$F316,0)))</f>
        <v/>
      </c>
      <c r="Q316" s="46" t="str">
        <f aca="false">IF($E316="","",IF($O316&lt;&gt;"Sim","",COUNTIF($O$3:$O316,"Sim")))</f>
        <v/>
      </c>
      <c r="R316" s="47" t="n">
        <f aca="false">IF($P316="",0,$P316)</f>
        <v>0</v>
      </c>
    </row>
    <row r="317" customFormat="false" ht="18" hidden="false" customHeight="true" outlineLevel="0" collapsed="false">
      <c r="A317" s="39"/>
      <c r="B317" s="41"/>
      <c r="C317" s="40"/>
      <c r="D317" s="40"/>
      <c r="E317" s="40"/>
      <c r="F317" s="42"/>
      <c r="G317" s="39"/>
      <c r="H317" s="40"/>
      <c r="I317" s="40"/>
      <c r="J317" s="40"/>
      <c r="K317" s="41"/>
      <c r="L317" s="39"/>
      <c r="M317" s="48" t="str">
        <f aca="false">IF($E317="","",IFERROR(INDEX(Parâmetros!$C$15:$C$20,MATCH($P317,Parâmetros!$B$15:$B$20,0)),""))</f>
        <v/>
      </c>
      <c r="N317" s="46" t="str">
        <f aca="false">IF($E317="","",IF($P317="","",IF($P317&gt;=8,"Alta",IF($P317&gt;=5,"Média","Baixa"))))</f>
        <v/>
      </c>
      <c r="O317" s="46" t="str">
        <f aca="false">IF($E317="","",IF(AND(Parâmetros!$C$5&gt;0,$P317&lt;&gt;"",$P317&gt;=Parâmetros!$C$5),"Sim","Não"))</f>
        <v/>
      </c>
      <c r="P317" s="45" t="str">
        <f aca="false">IF($E317="","",IF($G317="","",IF($G317="NOK",$F317,0)))</f>
        <v/>
      </c>
      <c r="Q317" s="46" t="str">
        <f aca="false">IF($E317="","",IF($O317&lt;&gt;"Sim","",COUNTIF($O$3:$O317,"Sim")))</f>
        <v/>
      </c>
      <c r="R317" s="47" t="n">
        <f aca="false">IF($P317="",0,$P317)</f>
        <v>0</v>
      </c>
    </row>
    <row r="318" customFormat="false" ht="18" hidden="false" customHeight="true" outlineLevel="0" collapsed="false">
      <c r="A318" s="39"/>
      <c r="B318" s="41"/>
      <c r="C318" s="40"/>
      <c r="D318" s="40"/>
      <c r="E318" s="40"/>
      <c r="F318" s="42"/>
      <c r="G318" s="39"/>
      <c r="H318" s="40"/>
      <c r="I318" s="40"/>
      <c r="J318" s="40"/>
      <c r="K318" s="41"/>
      <c r="L318" s="39"/>
      <c r="M318" s="48" t="str">
        <f aca="false">IF($E318="","",IFERROR(INDEX(Parâmetros!$C$15:$C$20,MATCH($P318,Parâmetros!$B$15:$B$20,0)),""))</f>
        <v/>
      </c>
      <c r="N318" s="46" t="str">
        <f aca="false">IF($E318="","",IF($P318="","",IF($P318&gt;=8,"Alta",IF($P318&gt;=5,"Média","Baixa"))))</f>
        <v/>
      </c>
      <c r="O318" s="46" t="str">
        <f aca="false">IF($E318="","",IF(AND(Parâmetros!$C$5&gt;0,$P318&lt;&gt;"",$P318&gt;=Parâmetros!$C$5),"Sim","Não"))</f>
        <v/>
      </c>
      <c r="P318" s="45" t="str">
        <f aca="false">IF($E318="","",IF($G318="","",IF($G318="NOK",$F318,0)))</f>
        <v/>
      </c>
      <c r="Q318" s="46" t="str">
        <f aca="false">IF($E318="","",IF($O318&lt;&gt;"Sim","",COUNTIF($O$3:$O318,"Sim")))</f>
        <v/>
      </c>
      <c r="R318" s="47" t="n">
        <f aca="false">IF($P318="",0,$P318)</f>
        <v>0</v>
      </c>
    </row>
    <row r="319" customFormat="false" ht="18" hidden="false" customHeight="true" outlineLevel="0" collapsed="false">
      <c r="A319" s="39"/>
      <c r="B319" s="41"/>
      <c r="C319" s="40"/>
      <c r="D319" s="40"/>
      <c r="E319" s="40"/>
      <c r="F319" s="42"/>
      <c r="G319" s="39"/>
      <c r="H319" s="40"/>
      <c r="I319" s="40"/>
      <c r="J319" s="40"/>
      <c r="K319" s="41"/>
      <c r="L319" s="39"/>
      <c r="M319" s="48" t="str">
        <f aca="false">IF($E319="","",IFERROR(INDEX(Parâmetros!$C$15:$C$20,MATCH($P319,Parâmetros!$B$15:$B$20,0)),""))</f>
        <v/>
      </c>
      <c r="N319" s="46" t="str">
        <f aca="false">IF($E319="","",IF($P319="","",IF($P319&gt;=8,"Alta",IF($P319&gt;=5,"Média","Baixa"))))</f>
        <v/>
      </c>
      <c r="O319" s="46" t="str">
        <f aca="false">IF($E319="","",IF(AND(Parâmetros!$C$5&gt;0,$P319&lt;&gt;"",$P319&gt;=Parâmetros!$C$5),"Sim","Não"))</f>
        <v/>
      </c>
      <c r="P319" s="45" t="str">
        <f aca="false">IF($E319="","",IF($G319="","",IF($G319="NOK",$F319,0)))</f>
        <v/>
      </c>
      <c r="Q319" s="46" t="str">
        <f aca="false">IF($E319="","",IF($O319&lt;&gt;"Sim","",COUNTIF($O$3:$O319,"Sim")))</f>
        <v/>
      </c>
      <c r="R319" s="47" t="n">
        <f aca="false">IF($P319="",0,$P319)</f>
        <v>0</v>
      </c>
    </row>
    <row r="320" customFormat="false" ht="18" hidden="false" customHeight="true" outlineLevel="0" collapsed="false">
      <c r="A320" s="39"/>
      <c r="B320" s="41"/>
      <c r="C320" s="40"/>
      <c r="D320" s="40"/>
      <c r="E320" s="40"/>
      <c r="F320" s="42"/>
      <c r="G320" s="39"/>
      <c r="H320" s="40"/>
      <c r="I320" s="40"/>
      <c r="J320" s="40"/>
      <c r="K320" s="41"/>
      <c r="L320" s="39"/>
      <c r="M320" s="48" t="str">
        <f aca="false">IF($E320="","",IFERROR(INDEX(Parâmetros!$C$15:$C$20,MATCH($P320,Parâmetros!$B$15:$B$20,0)),""))</f>
        <v/>
      </c>
      <c r="N320" s="46" t="str">
        <f aca="false">IF($E320="","",IF($P320="","",IF($P320&gt;=8,"Alta",IF($P320&gt;=5,"Média","Baixa"))))</f>
        <v/>
      </c>
      <c r="O320" s="46" t="str">
        <f aca="false">IF($E320="","",IF(AND(Parâmetros!$C$5&gt;0,$P320&lt;&gt;"",$P320&gt;=Parâmetros!$C$5),"Sim","Não"))</f>
        <v/>
      </c>
      <c r="P320" s="45" t="str">
        <f aca="false">IF($E320="","",IF($G320="","",IF($G320="NOK",$F320,0)))</f>
        <v/>
      </c>
      <c r="Q320" s="46" t="str">
        <f aca="false">IF($E320="","",IF($O320&lt;&gt;"Sim","",COUNTIF($O$3:$O320,"Sim")))</f>
        <v/>
      </c>
      <c r="R320" s="47" t="n">
        <f aca="false">IF($P320="",0,$P320)</f>
        <v>0</v>
      </c>
    </row>
    <row r="321" customFormat="false" ht="18" hidden="false" customHeight="true" outlineLevel="0" collapsed="false">
      <c r="A321" s="39"/>
      <c r="B321" s="41"/>
      <c r="C321" s="40"/>
      <c r="D321" s="40"/>
      <c r="E321" s="40"/>
      <c r="F321" s="42"/>
      <c r="G321" s="39"/>
      <c r="H321" s="40"/>
      <c r="I321" s="40"/>
      <c r="J321" s="40"/>
      <c r="K321" s="41"/>
      <c r="L321" s="39"/>
      <c r="M321" s="48" t="str">
        <f aca="false">IF($E321="","",IFERROR(INDEX(Parâmetros!$C$15:$C$20,MATCH($P321,Parâmetros!$B$15:$B$20,0)),""))</f>
        <v/>
      </c>
      <c r="N321" s="46" t="str">
        <f aca="false">IF($E321="","",IF($P321="","",IF($P321&gt;=8,"Alta",IF($P321&gt;=5,"Média","Baixa"))))</f>
        <v/>
      </c>
      <c r="O321" s="46" t="str">
        <f aca="false">IF($E321="","",IF(AND(Parâmetros!$C$5&gt;0,$P321&lt;&gt;"",$P321&gt;=Parâmetros!$C$5),"Sim","Não"))</f>
        <v/>
      </c>
      <c r="P321" s="45" t="str">
        <f aca="false">IF($E321="","",IF($G321="","",IF($G321="NOK",$F321,0)))</f>
        <v/>
      </c>
      <c r="Q321" s="46" t="str">
        <f aca="false">IF($E321="","",IF($O321&lt;&gt;"Sim","",COUNTIF($O$3:$O321,"Sim")))</f>
        <v/>
      </c>
      <c r="R321" s="47" t="n">
        <f aca="false">IF($P321="",0,$P321)</f>
        <v>0</v>
      </c>
    </row>
    <row r="322" customFormat="false" ht="18" hidden="false" customHeight="true" outlineLevel="0" collapsed="false">
      <c r="A322" s="39"/>
      <c r="B322" s="41"/>
      <c r="C322" s="40"/>
      <c r="D322" s="40"/>
      <c r="E322" s="40"/>
      <c r="F322" s="42"/>
      <c r="G322" s="39"/>
      <c r="H322" s="40"/>
      <c r="I322" s="40"/>
      <c r="J322" s="40"/>
      <c r="K322" s="41"/>
      <c r="L322" s="39"/>
      <c r="M322" s="48" t="str">
        <f aca="false">IF($E322="","",IFERROR(INDEX(Parâmetros!$C$15:$C$20,MATCH($P322,Parâmetros!$B$15:$B$20,0)),""))</f>
        <v/>
      </c>
      <c r="N322" s="46" t="str">
        <f aca="false">IF($E322="","",IF($P322="","",IF($P322&gt;=8,"Alta",IF($P322&gt;=5,"Média","Baixa"))))</f>
        <v/>
      </c>
      <c r="O322" s="46" t="str">
        <f aca="false">IF($E322="","",IF(AND(Parâmetros!$C$5&gt;0,$P322&lt;&gt;"",$P322&gt;=Parâmetros!$C$5),"Sim","Não"))</f>
        <v/>
      </c>
      <c r="P322" s="45" t="str">
        <f aca="false">IF($E322="","",IF($G322="","",IF($G322="NOK",$F322,0)))</f>
        <v/>
      </c>
      <c r="Q322" s="46" t="str">
        <f aca="false">IF($E322="","",IF($O322&lt;&gt;"Sim","",COUNTIF($O$3:$O322,"Sim")))</f>
        <v/>
      </c>
      <c r="R322" s="47" t="n">
        <f aca="false">IF($P322="",0,$P322)</f>
        <v>0</v>
      </c>
    </row>
    <row r="323" customFormat="false" ht="18" hidden="false" customHeight="true" outlineLevel="0" collapsed="false">
      <c r="A323" s="39"/>
      <c r="B323" s="41"/>
      <c r="C323" s="40"/>
      <c r="D323" s="40"/>
      <c r="E323" s="40"/>
      <c r="F323" s="42"/>
      <c r="G323" s="39"/>
      <c r="H323" s="40"/>
      <c r="I323" s="40"/>
      <c r="J323" s="40"/>
      <c r="K323" s="41"/>
      <c r="L323" s="39"/>
      <c r="M323" s="48" t="str">
        <f aca="false">IF($E323="","",IFERROR(INDEX(Parâmetros!$C$15:$C$20,MATCH($P323,Parâmetros!$B$15:$B$20,0)),""))</f>
        <v/>
      </c>
      <c r="N323" s="46" t="str">
        <f aca="false">IF($E323="","",IF($P323="","",IF($P323&gt;=8,"Alta",IF($P323&gt;=5,"Média","Baixa"))))</f>
        <v/>
      </c>
      <c r="O323" s="46" t="str">
        <f aca="false">IF($E323="","",IF(AND(Parâmetros!$C$5&gt;0,$P323&lt;&gt;"",$P323&gt;=Parâmetros!$C$5),"Sim","Não"))</f>
        <v/>
      </c>
      <c r="P323" s="45" t="str">
        <f aca="false">IF($E323="","",IF($G323="","",IF($G323="NOK",$F323,0)))</f>
        <v/>
      </c>
      <c r="Q323" s="46" t="str">
        <f aca="false">IF($E323="","",IF($O323&lt;&gt;"Sim","",COUNTIF($O$3:$O323,"Sim")))</f>
        <v/>
      </c>
      <c r="R323" s="47" t="n">
        <f aca="false">IF($P323="",0,$P323)</f>
        <v>0</v>
      </c>
    </row>
    <row r="324" customFormat="false" ht="18" hidden="false" customHeight="true" outlineLevel="0" collapsed="false">
      <c r="A324" s="39"/>
      <c r="B324" s="41"/>
      <c r="C324" s="40"/>
      <c r="D324" s="40"/>
      <c r="E324" s="40"/>
      <c r="F324" s="42"/>
      <c r="G324" s="39"/>
      <c r="H324" s="40"/>
      <c r="I324" s="40"/>
      <c r="J324" s="40"/>
      <c r="K324" s="41"/>
      <c r="L324" s="39"/>
      <c r="M324" s="48" t="str">
        <f aca="false">IF($E324="","",IFERROR(INDEX(Parâmetros!$C$15:$C$20,MATCH($P324,Parâmetros!$B$15:$B$20,0)),""))</f>
        <v/>
      </c>
      <c r="N324" s="46" t="str">
        <f aca="false">IF($E324="","",IF($P324="","",IF($P324&gt;=8,"Alta",IF($P324&gt;=5,"Média","Baixa"))))</f>
        <v/>
      </c>
      <c r="O324" s="46" t="str">
        <f aca="false">IF($E324="","",IF(AND(Parâmetros!$C$5&gt;0,$P324&lt;&gt;"",$P324&gt;=Parâmetros!$C$5),"Sim","Não"))</f>
        <v/>
      </c>
      <c r="P324" s="45" t="str">
        <f aca="false">IF($E324="","",IF($G324="","",IF($G324="NOK",$F324,0)))</f>
        <v/>
      </c>
      <c r="Q324" s="46" t="str">
        <f aca="false">IF($E324="","",IF($O324&lt;&gt;"Sim","",COUNTIF($O$3:$O324,"Sim")))</f>
        <v/>
      </c>
      <c r="R324" s="47" t="n">
        <f aca="false">IF($P324="",0,$P324)</f>
        <v>0</v>
      </c>
    </row>
    <row r="325" customFormat="false" ht="18" hidden="false" customHeight="true" outlineLevel="0" collapsed="false">
      <c r="A325" s="39"/>
      <c r="B325" s="41"/>
      <c r="C325" s="40"/>
      <c r="D325" s="40"/>
      <c r="E325" s="40"/>
      <c r="F325" s="42"/>
      <c r="G325" s="39"/>
      <c r="H325" s="40"/>
      <c r="I325" s="40"/>
      <c r="J325" s="40"/>
      <c r="K325" s="41"/>
      <c r="L325" s="39"/>
      <c r="M325" s="48" t="str">
        <f aca="false">IF($E325="","",IFERROR(INDEX(Parâmetros!$C$15:$C$20,MATCH($P325,Parâmetros!$B$15:$B$20,0)),""))</f>
        <v/>
      </c>
      <c r="N325" s="46" t="str">
        <f aca="false">IF($E325="","",IF($P325="","",IF($P325&gt;=8,"Alta",IF($P325&gt;=5,"Média","Baixa"))))</f>
        <v/>
      </c>
      <c r="O325" s="46" t="str">
        <f aca="false">IF($E325="","",IF(AND(Parâmetros!$C$5&gt;0,$P325&lt;&gt;"",$P325&gt;=Parâmetros!$C$5),"Sim","Não"))</f>
        <v/>
      </c>
      <c r="P325" s="45" t="str">
        <f aca="false">IF($E325="","",IF($G325="","",IF($G325="NOK",$F325,0)))</f>
        <v/>
      </c>
      <c r="Q325" s="46" t="str">
        <f aca="false">IF($E325="","",IF($O325&lt;&gt;"Sim","",COUNTIF($O$3:$O325,"Sim")))</f>
        <v/>
      </c>
      <c r="R325" s="47" t="n">
        <f aca="false">IF($P325="",0,$P325)</f>
        <v>0</v>
      </c>
    </row>
    <row r="326" customFormat="false" ht="18" hidden="false" customHeight="true" outlineLevel="0" collapsed="false">
      <c r="A326" s="39"/>
      <c r="B326" s="41"/>
      <c r="C326" s="40"/>
      <c r="D326" s="40"/>
      <c r="E326" s="40"/>
      <c r="F326" s="42"/>
      <c r="G326" s="39"/>
      <c r="H326" s="40"/>
      <c r="I326" s="40"/>
      <c r="J326" s="40"/>
      <c r="K326" s="41"/>
      <c r="L326" s="39"/>
      <c r="M326" s="48" t="str">
        <f aca="false">IF($E326="","",IFERROR(INDEX(Parâmetros!$C$15:$C$20,MATCH($P326,Parâmetros!$B$15:$B$20,0)),""))</f>
        <v/>
      </c>
      <c r="N326" s="46" t="str">
        <f aca="false">IF($E326="","",IF($P326="","",IF($P326&gt;=8,"Alta",IF($P326&gt;=5,"Média","Baixa"))))</f>
        <v/>
      </c>
      <c r="O326" s="46" t="str">
        <f aca="false">IF($E326="","",IF(AND(Parâmetros!$C$5&gt;0,$P326&lt;&gt;"",$P326&gt;=Parâmetros!$C$5),"Sim","Não"))</f>
        <v/>
      </c>
      <c r="P326" s="45" t="str">
        <f aca="false">IF($E326="","",IF($G326="","",IF($G326="NOK",$F326,0)))</f>
        <v/>
      </c>
      <c r="Q326" s="46" t="str">
        <f aca="false">IF($E326="","",IF($O326&lt;&gt;"Sim","",COUNTIF($O$3:$O326,"Sim")))</f>
        <v/>
      </c>
      <c r="R326" s="47" t="n">
        <f aca="false">IF($P326="",0,$P326)</f>
        <v>0</v>
      </c>
    </row>
    <row r="327" customFormat="false" ht="18" hidden="false" customHeight="true" outlineLevel="0" collapsed="false">
      <c r="A327" s="39"/>
      <c r="B327" s="41"/>
      <c r="C327" s="40"/>
      <c r="D327" s="40"/>
      <c r="E327" s="40"/>
      <c r="F327" s="42"/>
      <c r="G327" s="39"/>
      <c r="H327" s="40"/>
      <c r="I327" s="40"/>
      <c r="J327" s="40"/>
      <c r="K327" s="41"/>
      <c r="L327" s="39"/>
      <c r="M327" s="48" t="str">
        <f aca="false">IF($E327="","",IFERROR(INDEX(Parâmetros!$C$15:$C$20,MATCH($P327,Parâmetros!$B$15:$B$20,0)),""))</f>
        <v/>
      </c>
      <c r="N327" s="46" t="str">
        <f aca="false">IF($E327="","",IF($P327="","",IF($P327&gt;=8,"Alta",IF($P327&gt;=5,"Média","Baixa"))))</f>
        <v/>
      </c>
      <c r="O327" s="46" t="str">
        <f aca="false">IF($E327="","",IF(AND(Parâmetros!$C$5&gt;0,$P327&lt;&gt;"",$P327&gt;=Parâmetros!$C$5),"Sim","Não"))</f>
        <v/>
      </c>
      <c r="P327" s="45" t="str">
        <f aca="false">IF($E327="","",IF($G327="","",IF($G327="NOK",$F327,0)))</f>
        <v/>
      </c>
      <c r="Q327" s="46" t="str">
        <f aca="false">IF($E327="","",IF($O327&lt;&gt;"Sim","",COUNTIF($O$3:$O327,"Sim")))</f>
        <v/>
      </c>
      <c r="R327" s="47" t="n">
        <f aca="false">IF($P327="",0,$P327)</f>
        <v>0</v>
      </c>
    </row>
    <row r="328" customFormat="false" ht="18" hidden="false" customHeight="true" outlineLevel="0" collapsed="false">
      <c r="A328" s="39"/>
      <c r="B328" s="41"/>
      <c r="C328" s="40"/>
      <c r="D328" s="40"/>
      <c r="E328" s="40"/>
      <c r="F328" s="42"/>
      <c r="G328" s="39"/>
      <c r="H328" s="40"/>
      <c r="I328" s="40"/>
      <c r="J328" s="40"/>
      <c r="K328" s="41"/>
      <c r="L328" s="39"/>
      <c r="M328" s="48" t="str">
        <f aca="false">IF($E328="","",IFERROR(INDEX(Parâmetros!$C$15:$C$20,MATCH($P328,Parâmetros!$B$15:$B$20,0)),""))</f>
        <v/>
      </c>
      <c r="N328" s="46" t="str">
        <f aca="false">IF($E328="","",IF($P328="","",IF($P328&gt;=8,"Alta",IF($P328&gt;=5,"Média","Baixa"))))</f>
        <v/>
      </c>
      <c r="O328" s="46" t="str">
        <f aca="false">IF($E328="","",IF(AND(Parâmetros!$C$5&gt;0,$P328&lt;&gt;"",$P328&gt;=Parâmetros!$C$5),"Sim","Não"))</f>
        <v/>
      </c>
      <c r="P328" s="45" t="str">
        <f aca="false">IF($E328="","",IF($G328="","",IF($G328="NOK",$F328,0)))</f>
        <v/>
      </c>
      <c r="Q328" s="46" t="str">
        <f aca="false">IF($E328="","",IF($O328&lt;&gt;"Sim","",COUNTIF($O$3:$O328,"Sim")))</f>
        <v/>
      </c>
      <c r="R328" s="47" t="n">
        <f aca="false">IF($P328="",0,$P328)</f>
        <v>0</v>
      </c>
    </row>
    <row r="329" customFormat="false" ht="18" hidden="false" customHeight="true" outlineLevel="0" collapsed="false">
      <c r="A329" s="39"/>
      <c r="B329" s="41"/>
      <c r="C329" s="40"/>
      <c r="D329" s="40"/>
      <c r="E329" s="40"/>
      <c r="F329" s="42"/>
      <c r="G329" s="39"/>
      <c r="H329" s="40"/>
      <c r="I329" s="40"/>
      <c r="J329" s="40"/>
      <c r="K329" s="41"/>
      <c r="L329" s="39"/>
      <c r="M329" s="48" t="str">
        <f aca="false">IF($E329="","",IFERROR(INDEX(Parâmetros!$C$15:$C$20,MATCH($P329,Parâmetros!$B$15:$B$20,0)),""))</f>
        <v/>
      </c>
      <c r="N329" s="46" t="str">
        <f aca="false">IF($E329="","",IF($P329="","",IF($P329&gt;=8,"Alta",IF($P329&gt;=5,"Média","Baixa"))))</f>
        <v/>
      </c>
      <c r="O329" s="46" t="str">
        <f aca="false">IF($E329="","",IF(AND(Parâmetros!$C$5&gt;0,$P329&lt;&gt;"",$P329&gt;=Parâmetros!$C$5),"Sim","Não"))</f>
        <v/>
      </c>
      <c r="P329" s="45" t="str">
        <f aca="false">IF($E329="","",IF($G329="","",IF($G329="NOK",$F329,0)))</f>
        <v/>
      </c>
      <c r="Q329" s="46" t="str">
        <f aca="false">IF($E329="","",IF($O329&lt;&gt;"Sim","",COUNTIF($O$3:$O329,"Sim")))</f>
        <v/>
      </c>
      <c r="R329" s="47" t="n">
        <f aca="false">IF($P329="",0,$P329)</f>
        <v>0</v>
      </c>
    </row>
    <row r="330" customFormat="false" ht="18" hidden="false" customHeight="true" outlineLevel="0" collapsed="false">
      <c r="A330" s="39"/>
      <c r="B330" s="41"/>
      <c r="C330" s="40"/>
      <c r="D330" s="40"/>
      <c r="E330" s="40"/>
      <c r="F330" s="42"/>
      <c r="G330" s="39"/>
      <c r="H330" s="40"/>
      <c r="I330" s="40"/>
      <c r="J330" s="40"/>
      <c r="K330" s="41"/>
      <c r="L330" s="39"/>
      <c r="M330" s="48" t="str">
        <f aca="false">IF($E330="","",IFERROR(INDEX(Parâmetros!$C$15:$C$20,MATCH($P330,Parâmetros!$B$15:$B$20,0)),""))</f>
        <v/>
      </c>
      <c r="N330" s="46" t="str">
        <f aca="false">IF($E330="","",IF($P330="","",IF($P330&gt;=8,"Alta",IF($P330&gt;=5,"Média","Baixa"))))</f>
        <v/>
      </c>
      <c r="O330" s="46" t="str">
        <f aca="false">IF($E330="","",IF(AND(Parâmetros!$C$5&gt;0,$P330&lt;&gt;"",$P330&gt;=Parâmetros!$C$5),"Sim","Não"))</f>
        <v/>
      </c>
      <c r="P330" s="45" t="str">
        <f aca="false">IF($E330="","",IF($G330="","",IF($G330="NOK",$F330,0)))</f>
        <v/>
      </c>
      <c r="Q330" s="46" t="str">
        <f aca="false">IF($E330="","",IF($O330&lt;&gt;"Sim","",COUNTIF($O$3:$O330,"Sim")))</f>
        <v/>
      </c>
      <c r="R330" s="47" t="n">
        <f aca="false">IF($P330="",0,$P330)</f>
        <v>0</v>
      </c>
    </row>
    <row r="331" customFormat="false" ht="18" hidden="false" customHeight="true" outlineLevel="0" collapsed="false">
      <c r="A331" s="39"/>
      <c r="B331" s="41"/>
      <c r="C331" s="40"/>
      <c r="D331" s="40"/>
      <c r="E331" s="40"/>
      <c r="F331" s="42"/>
      <c r="G331" s="39"/>
      <c r="H331" s="40"/>
      <c r="I331" s="40"/>
      <c r="J331" s="40"/>
      <c r="K331" s="41"/>
      <c r="L331" s="39"/>
      <c r="M331" s="48" t="str">
        <f aca="false">IF($E331="","",IFERROR(INDEX(Parâmetros!$C$15:$C$20,MATCH($P331,Parâmetros!$B$15:$B$20,0)),""))</f>
        <v/>
      </c>
      <c r="N331" s="46" t="str">
        <f aca="false">IF($E331="","",IF($P331="","",IF($P331&gt;=8,"Alta",IF($P331&gt;=5,"Média","Baixa"))))</f>
        <v/>
      </c>
      <c r="O331" s="46" t="str">
        <f aca="false">IF($E331="","",IF(AND(Parâmetros!$C$5&gt;0,$P331&lt;&gt;"",$P331&gt;=Parâmetros!$C$5),"Sim","Não"))</f>
        <v/>
      </c>
      <c r="P331" s="45" t="str">
        <f aca="false">IF($E331="","",IF($G331="","",IF($G331="NOK",$F331,0)))</f>
        <v/>
      </c>
      <c r="Q331" s="46" t="str">
        <f aca="false">IF($E331="","",IF($O331&lt;&gt;"Sim","",COUNTIF($O$3:$O331,"Sim")))</f>
        <v/>
      </c>
      <c r="R331" s="47" t="n">
        <f aca="false">IF($P331="",0,$P331)</f>
        <v>0</v>
      </c>
    </row>
    <row r="332" customFormat="false" ht="18" hidden="false" customHeight="true" outlineLevel="0" collapsed="false">
      <c r="A332" s="39"/>
      <c r="B332" s="41"/>
      <c r="C332" s="40"/>
      <c r="D332" s="40"/>
      <c r="E332" s="40"/>
      <c r="F332" s="42"/>
      <c r="G332" s="39"/>
      <c r="H332" s="40"/>
      <c r="I332" s="40"/>
      <c r="J332" s="40"/>
      <c r="K332" s="41"/>
      <c r="L332" s="39"/>
      <c r="M332" s="48" t="str">
        <f aca="false">IF($E332="","",IFERROR(INDEX(Parâmetros!$C$15:$C$20,MATCH($P332,Parâmetros!$B$15:$B$20,0)),""))</f>
        <v/>
      </c>
      <c r="N332" s="46" t="str">
        <f aca="false">IF($E332="","",IF($P332="","",IF($P332&gt;=8,"Alta",IF($P332&gt;=5,"Média","Baixa"))))</f>
        <v/>
      </c>
      <c r="O332" s="46" t="str">
        <f aca="false">IF($E332="","",IF(AND(Parâmetros!$C$5&gt;0,$P332&lt;&gt;"",$P332&gt;=Parâmetros!$C$5),"Sim","Não"))</f>
        <v/>
      </c>
      <c r="P332" s="45" t="str">
        <f aca="false">IF($E332="","",IF($G332="","",IF($G332="NOK",$F332,0)))</f>
        <v/>
      </c>
      <c r="Q332" s="46" t="str">
        <f aca="false">IF($E332="","",IF($O332&lt;&gt;"Sim","",COUNTIF($O$3:$O332,"Sim")))</f>
        <v/>
      </c>
      <c r="R332" s="47" t="n">
        <f aca="false">IF($P332="",0,$P332)</f>
        <v>0</v>
      </c>
    </row>
    <row r="333" customFormat="false" ht="18" hidden="false" customHeight="true" outlineLevel="0" collapsed="false">
      <c r="A333" s="39"/>
      <c r="B333" s="41"/>
      <c r="C333" s="40"/>
      <c r="D333" s="40"/>
      <c r="E333" s="40"/>
      <c r="F333" s="42"/>
      <c r="G333" s="39"/>
      <c r="H333" s="40"/>
      <c r="I333" s="40"/>
      <c r="J333" s="40"/>
      <c r="K333" s="41"/>
      <c r="L333" s="39"/>
      <c r="M333" s="48" t="str">
        <f aca="false">IF($E333="","",IFERROR(INDEX(Parâmetros!$C$15:$C$20,MATCH($P333,Parâmetros!$B$15:$B$20,0)),""))</f>
        <v/>
      </c>
      <c r="N333" s="46" t="str">
        <f aca="false">IF($E333="","",IF($P333="","",IF($P333&gt;=8,"Alta",IF($P333&gt;=5,"Média","Baixa"))))</f>
        <v/>
      </c>
      <c r="O333" s="46" t="str">
        <f aca="false">IF($E333="","",IF(AND(Parâmetros!$C$5&gt;0,$P333&lt;&gt;"",$P333&gt;=Parâmetros!$C$5),"Sim","Não"))</f>
        <v/>
      </c>
      <c r="P333" s="45" t="str">
        <f aca="false">IF($E333="","",IF($G333="","",IF($G333="NOK",$F333,0)))</f>
        <v/>
      </c>
      <c r="Q333" s="46" t="str">
        <f aca="false">IF($E333="","",IF($O333&lt;&gt;"Sim","",COUNTIF($O$3:$O333,"Sim")))</f>
        <v/>
      </c>
      <c r="R333" s="47" t="n">
        <f aca="false">IF($P333="",0,$P333)</f>
        <v>0</v>
      </c>
    </row>
    <row r="334" customFormat="false" ht="18" hidden="false" customHeight="true" outlineLevel="0" collapsed="false">
      <c r="A334" s="39"/>
      <c r="B334" s="41"/>
      <c r="C334" s="40"/>
      <c r="D334" s="40"/>
      <c r="E334" s="40"/>
      <c r="F334" s="42"/>
      <c r="G334" s="39"/>
      <c r="H334" s="40"/>
      <c r="I334" s="40"/>
      <c r="J334" s="40"/>
      <c r="K334" s="41"/>
      <c r="L334" s="39"/>
      <c r="M334" s="48" t="str">
        <f aca="false">IF($E334="","",IFERROR(INDEX(Parâmetros!$C$15:$C$20,MATCH($P334,Parâmetros!$B$15:$B$20,0)),""))</f>
        <v/>
      </c>
      <c r="N334" s="46" t="str">
        <f aca="false">IF($E334="","",IF($P334="","",IF($P334&gt;=8,"Alta",IF($P334&gt;=5,"Média","Baixa"))))</f>
        <v/>
      </c>
      <c r="O334" s="46" t="str">
        <f aca="false">IF($E334="","",IF(AND(Parâmetros!$C$5&gt;0,$P334&lt;&gt;"",$P334&gt;=Parâmetros!$C$5),"Sim","Não"))</f>
        <v/>
      </c>
      <c r="P334" s="45" t="str">
        <f aca="false">IF($E334="","",IF($G334="","",IF($G334="NOK",$F334,0)))</f>
        <v/>
      </c>
      <c r="Q334" s="46" t="str">
        <f aca="false">IF($E334="","",IF($O334&lt;&gt;"Sim","",COUNTIF($O$3:$O334,"Sim")))</f>
        <v/>
      </c>
      <c r="R334" s="47" t="n">
        <f aca="false">IF($P334="",0,$P334)</f>
        <v>0</v>
      </c>
    </row>
    <row r="335" customFormat="false" ht="18" hidden="false" customHeight="true" outlineLevel="0" collapsed="false">
      <c r="A335" s="39"/>
      <c r="B335" s="41"/>
      <c r="C335" s="40"/>
      <c r="D335" s="40"/>
      <c r="E335" s="40"/>
      <c r="F335" s="42"/>
      <c r="G335" s="39"/>
      <c r="H335" s="40"/>
      <c r="I335" s="40"/>
      <c r="J335" s="40"/>
      <c r="K335" s="41"/>
      <c r="L335" s="39"/>
      <c r="M335" s="48" t="str">
        <f aca="false">IF($E335="","",IFERROR(INDEX(Parâmetros!$C$15:$C$20,MATCH($P335,Parâmetros!$B$15:$B$20,0)),""))</f>
        <v/>
      </c>
      <c r="N335" s="46" t="str">
        <f aca="false">IF($E335="","",IF($P335="","",IF($P335&gt;=8,"Alta",IF($P335&gt;=5,"Média","Baixa"))))</f>
        <v/>
      </c>
      <c r="O335" s="46" t="str">
        <f aca="false">IF($E335="","",IF(AND(Parâmetros!$C$5&gt;0,$P335&lt;&gt;"",$P335&gt;=Parâmetros!$C$5),"Sim","Não"))</f>
        <v/>
      </c>
      <c r="P335" s="45" t="str">
        <f aca="false">IF($E335="","",IF($G335="","",IF($G335="NOK",$F335,0)))</f>
        <v/>
      </c>
      <c r="Q335" s="46" t="str">
        <f aca="false">IF($E335="","",IF($O335&lt;&gt;"Sim","",COUNTIF($O$3:$O335,"Sim")))</f>
        <v/>
      </c>
      <c r="R335" s="47" t="n">
        <f aca="false">IF($P335="",0,$P335)</f>
        <v>0</v>
      </c>
    </row>
    <row r="336" customFormat="false" ht="18" hidden="false" customHeight="true" outlineLevel="0" collapsed="false">
      <c r="A336" s="39"/>
      <c r="B336" s="41"/>
      <c r="C336" s="40"/>
      <c r="D336" s="40"/>
      <c r="E336" s="40"/>
      <c r="F336" s="42"/>
      <c r="G336" s="39"/>
      <c r="H336" s="40"/>
      <c r="I336" s="40"/>
      <c r="J336" s="40"/>
      <c r="K336" s="41"/>
      <c r="L336" s="39"/>
      <c r="M336" s="48" t="str">
        <f aca="false">IF($E336="","",IFERROR(INDEX(Parâmetros!$C$15:$C$20,MATCH($P336,Parâmetros!$B$15:$B$20,0)),""))</f>
        <v/>
      </c>
      <c r="N336" s="46" t="str">
        <f aca="false">IF($E336="","",IF($P336="","",IF($P336&gt;=8,"Alta",IF($P336&gt;=5,"Média","Baixa"))))</f>
        <v/>
      </c>
      <c r="O336" s="46" t="str">
        <f aca="false">IF($E336="","",IF(AND(Parâmetros!$C$5&gt;0,$P336&lt;&gt;"",$P336&gt;=Parâmetros!$C$5),"Sim","Não"))</f>
        <v/>
      </c>
      <c r="P336" s="45" t="str">
        <f aca="false">IF($E336="","",IF($G336="","",IF($G336="NOK",$F336,0)))</f>
        <v/>
      </c>
      <c r="Q336" s="46" t="str">
        <f aca="false">IF($E336="","",IF($O336&lt;&gt;"Sim","",COUNTIF($O$3:$O336,"Sim")))</f>
        <v/>
      </c>
      <c r="R336" s="47" t="n">
        <f aca="false">IF($P336="",0,$P336)</f>
        <v>0</v>
      </c>
    </row>
    <row r="337" customFormat="false" ht="18" hidden="false" customHeight="true" outlineLevel="0" collapsed="false">
      <c r="A337" s="39"/>
      <c r="B337" s="41"/>
      <c r="C337" s="40"/>
      <c r="D337" s="40"/>
      <c r="E337" s="40"/>
      <c r="F337" s="42"/>
      <c r="G337" s="39"/>
      <c r="H337" s="40"/>
      <c r="I337" s="40"/>
      <c r="J337" s="40"/>
      <c r="K337" s="41"/>
      <c r="L337" s="39"/>
      <c r="M337" s="48" t="str">
        <f aca="false">IF($E337="","",IFERROR(INDEX(Parâmetros!$C$15:$C$20,MATCH($P337,Parâmetros!$B$15:$B$20,0)),""))</f>
        <v/>
      </c>
      <c r="N337" s="46" t="str">
        <f aca="false">IF($E337="","",IF($P337="","",IF($P337&gt;=8,"Alta",IF($P337&gt;=5,"Média","Baixa"))))</f>
        <v/>
      </c>
      <c r="O337" s="46" t="str">
        <f aca="false">IF($E337="","",IF(AND(Parâmetros!$C$5&gt;0,$P337&lt;&gt;"",$P337&gt;=Parâmetros!$C$5),"Sim","Não"))</f>
        <v/>
      </c>
      <c r="P337" s="45" t="str">
        <f aca="false">IF($E337="","",IF($G337="","",IF($G337="NOK",$F337,0)))</f>
        <v/>
      </c>
      <c r="Q337" s="46" t="str">
        <f aca="false">IF($E337="","",IF($O337&lt;&gt;"Sim","",COUNTIF($O$3:$O337,"Sim")))</f>
        <v/>
      </c>
      <c r="R337" s="47" t="n">
        <f aca="false">IF($P337="",0,$P337)</f>
        <v>0</v>
      </c>
    </row>
    <row r="338" customFormat="false" ht="18" hidden="false" customHeight="true" outlineLevel="0" collapsed="false">
      <c r="A338" s="39"/>
      <c r="B338" s="41"/>
      <c r="C338" s="40"/>
      <c r="D338" s="40"/>
      <c r="E338" s="40"/>
      <c r="F338" s="42"/>
      <c r="G338" s="39"/>
      <c r="H338" s="40"/>
      <c r="I338" s="40"/>
      <c r="J338" s="40"/>
      <c r="K338" s="41"/>
      <c r="L338" s="39"/>
      <c r="M338" s="48" t="str">
        <f aca="false">IF($E338="","",IFERROR(INDEX(Parâmetros!$C$15:$C$20,MATCH($P338,Parâmetros!$B$15:$B$20,0)),""))</f>
        <v/>
      </c>
      <c r="N338" s="46" t="str">
        <f aca="false">IF($E338="","",IF($P338="","",IF($P338&gt;=8,"Alta",IF($P338&gt;=5,"Média","Baixa"))))</f>
        <v/>
      </c>
      <c r="O338" s="46" t="str">
        <f aca="false">IF($E338="","",IF(AND(Parâmetros!$C$5&gt;0,$P338&lt;&gt;"",$P338&gt;=Parâmetros!$C$5),"Sim","Não"))</f>
        <v/>
      </c>
      <c r="P338" s="45" t="str">
        <f aca="false">IF($E338="","",IF($G338="","",IF($G338="NOK",$F338,0)))</f>
        <v/>
      </c>
      <c r="Q338" s="46" t="str">
        <f aca="false">IF($E338="","",IF($O338&lt;&gt;"Sim","",COUNTIF($O$3:$O338,"Sim")))</f>
        <v/>
      </c>
      <c r="R338" s="47" t="n">
        <f aca="false">IF($P338="",0,$P338)</f>
        <v>0</v>
      </c>
    </row>
    <row r="339" customFormat="false" ht="18" hidden="false" customHeight="true" outlineLevel="0" collapsed="false">
      <c r="A339" s="39"/>
      <c r="B339" s="41"/>
      <c r="C339" s="40"/>
      <c r="D339" s="40"/>
      <c r="E339" s="40"/>
      <c r="F339" s="42"/>
      <c r="G339" s="39"/>
      <c r="H339" s="40"/>
      <c r="I339" s="40"/>
      <c r="J339" s="40"/>
      <c r="K339" s="41"/>
      <c r="L339" s="39"/>
      <c r="M339" s="48" t="str">
        <f aca="false">IF($E339="","",IFERROR(INDEX(Parâmetros!$C$15:$C$20,MATCH($P339,Parâmetros!$B$15:$B$20,0)),""))</f>
        <v/>
      </c>
      <c r="N339" s="46" t="str">
        <f aca="false">IF($E339="","",IF($P339="","",IF($P339&gt;=8,"Alta",IF($P339&gt;=5,"Média","Baixa"))))</f>
        <v/>
      </c>
      <c r="O339" s="46" t="str">
        <f aca="false">IF($E339="","",IF(AND(Parâmetros!$C$5&gt;0,$P339&lt;&gt;"",$P339&gt;=Parâmetros!$C$5),"Sim","Não"))</f>
        <v/>
      </c>
      <c r="P339" s="45" t="str">
        <f aca="false">IF($E339="","",IF($G339="","",IF($G339="NOK",$F339,0)))</f>
        <v/>
      </c>
      <c r="Q339" s="46" t="str">
        <f aca="false">IF($E339="","",IF($O339&lt;&gt;"Sim","",COUNTIF($O$3:$O339,"Sim")))</f>
        <v/>
      </c>
      <c r="R339" s="47" t="n">
        <f aca="false">IF($P339="",0,$P339)</f>
        <v>0</v>
      </c>
    </row>
    <row r="340" customFormat="false" ht="18" hidden="false" customHeight="true" outlineLevel="0" collapsed="false">
      <c r="A340" s="39"/>
      <c r="B340" s="41"/>
      <c r="C340" s="40"/>
      <c r="D340" s="40"/>
      <c r="E340" s="40"/>
      <c r="F340" s="42"/>
      <c r="G340" s="39"/>
      <c r="H340" s="40"/>
      <c r="I340" s="40"/>
      <c r="J340" s="40"/>
      <c r="K340" s="41"/>
      <c r="L340" s="39"/>
      <c r="M340" s="48" t="str">
        <f aca="false">IF($E340="","",IFERROR(INDEX(Parâmetros!$C$15:$C$20,MATCH($P340,Parâmetros!$B$15:$B$20,0)),""))</f>
        <v/>
      </c>
      <c r="N340" s="46" t="str">
        <f aca="false">IF($E340="","",IF($P340="","",IF($P340&gt;=8,"Alta",IF($P340&gt;=5,"Média","Baixa"))))</f>
        <v/>
      </c>
      <c r="O340" s="46" t="str">
        <f aca="false">IF($E340="","",IF(AND(Parâmetros!$C$5&gt;0,$P340&lt;&gt;"",$P340&gt;=Parâmetros!$C$5),"Sim","Não"))</f>
        <v/>
      </c>
      <c r="P340" s="45" t="str">
        <f aca="false">IF($E340="","",IF($G340="","",IF($G340="NOK",$F340,0)))</f>
        <v/>
      </c>
      <c r="Q340" s="46" t="str">
        <f aca="false">IF($E340="","",IF($O340&lt;&gt;"Sim","",COUNTIF($O$3:$O340,"Sim")))</f>
        <v/>
      </c>
      <c r="R340" s="47" t="n">
        <f aca="false">IF($P340="",0,$P340)</f>
        <v>0</v>
      </c>
    </row>
    <row r="341" customFormat="false" ht="18" hidden="false" customHeight="true" outlineLevel="0" collapsed="false">
      <c r="A341" s="39"/>
      <c r="B341" s="41"/>
      <c r="C341" s="40"/>
      <c r="D341" s="40"/>
      <c r="E341" s="40"/>
      <c r="F341" s="42"/>
      <c r="G341" s="39"/>
      <c r="H341" s="40"/>
      <c r="I341" s="40"/>
      <c r="J341" s="40"/>
      <c r="K341" s="41"/>
      <c r="L341" s="39"/>
      <c r="M341" s="48" t="str">
        <f aca="false">IF($E341="","",IFERROR(INDEX(Parâmetros!$C$15:$C$20,MATCH($P341,Parâmetros!$B$15:$B$20,0)),""))</f>
        <v/>
      </c>
      <c r="N341" s="46" t="str">
        <f aca="false">IF($E341="","",IF($P341="","",IF($P341&gt;=8,"Alta",IF($P341&gt;=5,"Média","Baixa"))))</f>
        <v/>
      </c>
      <c r="O341" s="46" t="str">
        <f aca="false">IF($E341="","",IF(AND(Parâmetros!$C$5&gt;0,$P341&lt;&gt;"",$P341&gt;=Parâmetros!$C$5),"Sim","Não"))</f>
        <v/>
      </c>
      <c r="P341" s="45" t="str">
        <f aca="false">IF($E341="","",IF($G341="","",IF($G341="NOK",$F341,0)))</f>
        <v/>
      </c>
      <c r="Q341" s="46" t="str">
        <f aca="false">IF($E341="","",IF($O341&lt;&gt;"Sim","",COUNTIF($O$3:$O341,"Sim")))</f>
        <v/>
      </c>
      <c r="R341" s="47" t="n">
        <f aca="false">IF($P341="",0,$P341)</f>
        <v>0</v>
      </c>
    </row>
    <row r="342" customFormat="false" ht="18" hidden="false" customHeight="true" outlineLevel="0" collapsed="false">
      <c r="A342" s="39"/>
      <c r="B342" s="41"/>
      <c r="C342" s="40"/>
      <c r="D342" s="40"/>
      <c r="E342" s="40"/>
      <c r="F342" s="42"/>
      <c r="G342" s="39"/>
      <c r="H342" s="40"/>
      <c r="I342" s="40"/>
      <c r="J342" s="40"/>
      <c r="K342" s="41"/>
      <c r="L342" s="39"/>
      <c r="M342" s="48" t="str">
        <f aca="false">IF($E342="","",IFERROR(INDEX(Parâmetros!$C$15:$C$20,MATCH($P342,Parâmetros!$B$15:$B$20,0)),""))</f>
        <v/>
      </c>
      <c r="N342" s="46" t="str">
        <f aca="false">IF($E342="","",IF($P342="","",IF($P342&gt;=8,"Alta",IF($P342&gt;=5,"Média","Baixa"))))</f>
        <v/>
      </c>
      <c r="O342" s="46" t="str">
        <f aca="false">IF($E342="","",IF(AND(Parâmetros!$C$5&gt;0,$P342&lt;&gt;"",$P342&gt;=Parâmetros!$C$5),"Sim","Não"))</f>
        <v/>
      </c>
      <c r="P342" s="45" t="str">
        <f aca="false">IF($E342="","",IF($G342="","",IF($G342="NOK",$F342,0)))</f>
        <v/>
      </c>
      <c r="Q342" s="46" t="str">
        <f aca="false">IF($E342="","",IF($O342&lt;&gt;"Sim","",COUNTIF($O$3:$O342,"Sim")))</f>
        <v/>
      </c>
      <c r="R342" s="47" t="n">
        <f aca="false">IF($P342="",0,$P342)</f>
        <v>0</v>
      </c>
    </row>
    <row r="343" customFormat="false" ht="18" hidden="false" customHeight="true" outlineLevel="0" collapsed="false">
      <c r="A343" s="39"/>
      <c r="B343" s="41"/>
      <c r="C343" s="40"/>
      <c r="D343" s="40"/>
      <c r="E343" s="40"/>
      <c r="F343" s="42"/>
      <c r="G343" s="39"/>
      <c r="H343" s="40"/>
      <c r="I343" s="40"/>
      <c r="J343" s="40"/>
      <c r="K343" s="41"/>
      <c r="L343" s="39"/>
      <c r="M343" s="48" t="str">
        <f aca="false">IF($E343="","",IFERROR(INDEX(Parâmetros!$C$15:$C$20,MATCH($P343,Parâmetros!$B$15:$B$20,0)),""))</f>
        <v/>
      </c>
      <c r="N343" s="46" t="str">
        <f aca="false">IF($E343="","",IF($P343="","",IF($P343&gt;=8,"Alta",IF($P343&gt;=5,"Média","Baixa"))))</f>
        <v/>
      </c>
      <c r="O343" s="46" t="str">
        <f aca="false">IF($E343="","",IF(AND(Parâmetros!$C$5&gt;0,$P343&lt;&gt;"",$P343&gt;=Parâmetros!$C$5),"Sim","Não"))</f>
        <v/>
      </c>
      <c r="P343" s="45" t="str">
        <f aca="false">IF($E343="","",IF($G343="","",IF($G343="NOK",$F343,0)))</f>
        <v/>
      </c>
      <c r="Q343" s="46" t="str">
        <f aca="false">IF($E343="","",IF($O343&lt;&gt;"Sim","",COUNTIF($O$3:$O343,"Sim")))</f>
        <v/>
      </c>
      <c r="R343" s="47" t="n">
        <f aca="false">IF($P343="",0,$P343)</f>
        <v>0</v>
      </c>
    </row>
    <row r="344" customFormat="false" ht="18" hidden="false" customHeight="true" outlineLevel="0" collapsed="false">
      <c r="A344" s="39"/>
      <c r="B344" s="41"/>
      <c r="C344" s="40"/>
      <c r="D344" s="40"/>
      <c r="E344" s="40"/>
      <c r="F344" s="42"/>
      <c r="G344" s="39"/>
      <c r="H344" s="40"/>
      <c r="I344" s="40"/>
      <c r="J344" s="40"/>
      <c r="K344" s="41"/>
      <c r="L344" s="39"/>
      <c r="M344" s="48" t="str">
        <f aca="false">IF($E344="","",IFERROR(INDEX(Parâmetros!$C$15:$C$20,MATCH($P344,Parâmetros!$B$15:$B$20,0)),""))</f>
        <v/>
      </c>
      <c r="N344" s="46" t="str">
        <f aca="false">IF($E344="","",IF($P344="","",IF($P344&gt;=8,"Alta",IF($P344&gt;=5,"Média","Baixa"))))</f>
        <v/>
      </c>
      <c r="O344" s="46" t="str">
        <f aca="false">IF($E344="","",IF(AND(Parâmetros!$C$5&gt;0,$P344&lt;&gt;"",$P344&gt;=Parâmetros!$C$5),"Sim","Não"))</f>
        <v/>
      </c>
      <c r="P344" s="45" t="str">
        <f aca="false">IF($E344="","",IF($G344="","",IF($G344="NOK",$F344,0)))</f>
        <v/>
      </c>
      <c r="Q344" s="46" t="str">
        <f aca="false">IF($E344="","",IF($O344&lt;&gt;"Sim","",COUNTIF($O$3:$O344,"Sim")))</f>
        <v/>
      </c>
      <c r="R344" s="47" t="n">
        <f aca="false">IF($P344="",0,$P344)</f>
        <v>0</v>
      </c>
    </row>
    <row r="345" customFormat="false" ht="18" hidden="false" customHeight="true" outlineLevel="0" collapsed="false">
      <c r="A345" s="39"/>
      <c r="B345" s="41"/>
      <c r="C345" s="40"/>
      <c r="D345" s="40"/>
      <c r="E345" s="40"/>
      <c r="F345" s="42"/>
      <c r="G345" s="39"/>
      <c r="H345" s="40"/>
      <c r="I345" s="40"/>
      <c r="J345" s="40"/>
      <c r="K345" s="41"/>
      <c r="L345" s="39"/>
      <c r="M345" s="48" t="str">
        <f aca="false">IF($E345="","",IFERROR(INDEX(Parâmetros!$C$15:$C$20,MATCH($P345,Parâmetros!$B$15:$B$20,0)),""))</f>
        <v/>
      </c>
      <c r="N345" s="46" t="str">
        <f aca="false">IF($E345="","",IF($P345="","",IF($P345&gt;=8,"Alta",IF($P345&gt;=5,"Média","Baixa"))))</f>
        <v/>
      </c>
      <c r="O345" s="46" t="str">
        <f aca="false">IF($E345="","",IF(AND(Parâmetros!$C$5&gt;0,$P345&lt;&gt;"",$P345&gt;=Parâmetros!$C$5),"Sim","Não"))</f>
        <v/>
      </c>
      <c r="P345" s="45" t="str">
        <f aca="false">IF($E345="","",IF($G345="","",IF($G345="NOK",$F345,0)))</f>
        <v/>
      </c>
      <c r="Q345" s="46" t="str">
        <f aca="false">IF($E345="","",IF($O345&lt;&gt;"Sim","",COUNTIF($O$3:$O345,"Sim")))</f>
        <v/>
      </c>
      <c r="R345" s="47" t="n">
        <f aca="false">IF($P345="",0,$P345)</f>
        <v>0</v>
      </c>
    </row>
    <row r="346" customFormat="false" ht="18" hidden="false" customHeight="true" outlineLevel="0" collapsed="false">
      <c r="A346" s="39"/>
      <c r="B346" s="41"/>
      <c r="C346" s="40"/>
      <c r="D346" s="40"/>
      <c r="E346" s="40"/>
      <c r="F346" s="42"/>
      <c r="G346" s="39"/>
      <c r="H346" s="40"/>
      <c r="I346" s="40"/>
      <c r="J346" s="40"/>
      <c r="K346" s="41"/>
      <c r="L346" s="39"/>
      <c r="M346" s="48" t="str">
        <f aca="false">IF($E346="","",IFERROR(INDEX(Parâmetros!$C$15:$C$20,MATCH($P346,Parâmetros!$B$15:$B$20,0)),""))</f>
        <v/>
      </c>
      <c r="N346" s="46" t="str">
        <f aca="false">IF($E346="","",IF($P346="","",IF($P346&gt;=8,"Alta",IF($P346&gt;=5,"Média","Baixa"))))</f>
        <v/>
      </c>
      <c r="O346" s="46" t="str">
        <f aca="false">IF($E346="","",IF(AND(Parâmetros!$C$5&gt;0,$P346&lt;&gt;"",$P346&gt;=Parâmetros!$C$5),"Sim","Não"))</f>
        <v/>
      </c>
      <c r="P346" s="45" t="str">
        <f aca="false">IF($E346="","",IF($G346="","",IF($G346="NOK",$F346,0)))</f>
        <v/>
      </c>
      <c r="Q346" s="46" t="str">
        <f aca="false">IF($E346="","",IF($O346&lt;&gt;"Sim","",COUNTIF($O$3:$O346,"Sim")))</f>
        <v/>
      </c>
      <c r="R346" s="47" t="n">
        <f aca="false">IF($P346="",0,$P346)</f>
        <v>0</v>
      </c>
    </row>
    <row r="347" customFormat="false" ht="18" hidden="false" customHeight="true" outlineLevel="0" collapsed="false">
      <c r="A347" s="39"/>
      <c r="B347" s="41"/>
      <c r="C347" s="40"/>
      <c r="D347" s="40"/>
      <c r="E347" s="40"/>
      <c r="F347" s="42"/>
      <c r="G347" s="39"/>
      <c r="H347" s="40"/>
      <c r="I347" s="40"/>
      <c r="J347" s="40"/>
      <c r="K347" s="41"/>
      <c r="L347" s="39"/>
      <c r="M347" s="48" t="str">
        <f aca="false">IF($E347="","",IFERROR(INDEX(Parâmetros!$C$15:$C$20,MATCH($P347,Parâmetros!$B$15:$B$20,0)),""))</f>
        <v/>
      </c>
      <c r="N347" s="46" t="str">
        <f aca="false">IF($E347="","",IF($P347="","",IF($P347&gt;=8,"Alta",IF($P347&gt;=5,"Média","Baixa"))))</f>
        <v/>
      </c>
      <c r="O347" s="46" t="str">
        <f aca="false">IF($E347="","",IF(AND(Parâmetros!$C$5&gt;0,$P347&lt;&gt;"",$P347&gt;=Parâmetros!$C$5),"Sim","Não"))</f>
        <v/>
      </c>
      <c r="P347" s="45" t="str">
        <f aca="false">IF($E347="","",IF($G347="","",IF($G347="NOK",$F347,0)))</f>
        <v/>
      </c>
      <c r="Q347" s="46" t="str">
        <f aca="false">IF($E347="","",IF($O347&lt;&gt;"Sim","",COUNTIF($O$3:$O347,"Sim")))</f>
        <v/>
      </c>
      <c r="R347" s="47" t="n">
        <f aca="false">IF($P347="",0,$P347)</f>
        <v>0</v>
      </c>
    </row>
    <row r="348" customFormat="false" ht="18" hidden="false" customHeight="true" outlineLevel="0" collapsed="false">
      <c r="A348" s="39"/>
      <c r="B348" s="41"/>
      <c r="C348" s="40"/>
      <c r="D348" s="40"/>
      <c r="E348" s="40"/>
      <c r="F348" s="42"/>
      <c r="G348" s="39"/>
      <c r="H348" s="40"/>
      <c r="I348" s="40"/>
      <c r="J348" s="40"/>
      <c r="K348" s="41"/>
      <c r="L348" s="39"/>
      <c r="M348" s="48" t="str">
        <f aca="false">IF($E348="","",IFERROR(INDEX(Parâmetros!$C$15:$C$20,MATCH($P348,Parâmetros!$B$15:$B$20,0)),""))</f>
        <v/>
      </c>
      <c r="N348" s="46" t="str">
        <f aca="false">IF($E348="","",IF($P348="","",IF($P348&gt;=8,"Alta",IF($P348&gt;=5,"Média","Baixa"))))</f>
        <v/>
      </c>
      <c r="O348" s="46" t="str">
        <f aca="false">IF($E348="","",IF(AND(Parâmetros!$C$5&gt;0,$P348&lt;&gt;"",$P348&gt;=Parâmetros!$C$5),"Sim","Não"))</f>
        <v/>
      </c>
      <c r="P348" s="45" t="str">
        <f aca="false">IF($E348="","",IF($G348="","",IF($G348="NOK",$F348,0)))</f>
        <v/>
      </c>
      <c r="Q348" s="46" t="str">
        <f aca="false">IF($E348="","",IF($O348&lt;&gt;"Sim","",COUNTIF($O$3:$O348,"Sim")))</f>
        <v/>
      </c>
      <c r="R348" s="47" t="n">
        <f aca="false">IF($P348="",0,$P348)</f>
        <v>0</v>
      </c>
    </row>
    <row r="349" customFormat="false" ht="18" hidden="false" customHeight="true" outlineLevel="0" collapsed="false">
      <c r="A349" s="39"/>
      <c r="B349" s="41"/>
      <c r="C349" s="40"/>
      <c r="D349" s="40"/>
      <c r="E349" s="40"/>
      <c r="F349" s="42"/>
      <c r="G349" s="39"/>
      <c r="H349" s="40"/>
      <c r="I349" s="40"/>
      <c r="J349" s="40"/>
      <c r="K349" s="41"/>
      <c r="L349" s="39"/>
      <c r="M349" s="48" t="str">
        <f aca="false">IF($E349="","",IFERROR(INDEX(Parâmetros!$C$15:$C$20,MATCH($P349,Parâmetros!$B$15:$B$20,0)),""))</f>
        <v/>
      </c>
      <c r="N349" s="46" t="str">
        <f aca="false">IF($E349="","",IF($P349="","",IF($P349&gt;=8,"Alta",IF($P349&gt;=5,"Média","Baixa"))))</f>
        <v/>
      </c>
      <c r="O349" s="46" t="str">
        <f aca="false">IF($E349="","",IF(AND(Parâmetros!$C$5&gt;0,$P349&lt;&gt;"",$P349&gt;=Parâmetros!$C$5),"Sim","Não"))</f>
        <v/>
      </c>
      <c r="P349" s="45" t="str">
        <f aca="false">IF($E349="","",IF($G349="","",IF($G349="NOK",$F349,0)))</f>
        <v/>
      </c>
      <c r="Q349" s="46" t="str">
        <f aca="false">IF($E349="","",IF($O349&lt;&gt;"Sim","",COUNTIF($O$3:$O349,"Sim")))</f>
        <v/>
      </c>
      <c r="R349" s="47" t="n">
        <f aca="false">IF($P349="",0,$P349)</f>
        <v>0</v>
      </c>
    </row>
    <row r="350" customFormat="false" ht="18" hidden="false" customHeight="true" outlineLevel="0" collapsed="false">
      <c r="A350" s="39"/>
      <c r="B350" s="41"/>
      <c r="C350" s="40"/>
      <c r="D350" s="40"/>
      <c r="E350" s="40"/>
      <c r="F350" s="42"/>
      <c r="G350" s="39"/>
      <c r="H350" s="40"/>
      <c r="I350" s="40"/>
      <c r="J350" s="40"/>
      <c r="K350" s="41"/>
      <c r="L350" s="39"/>
      <c r="M350" s="48" t="str">
        <f aca="false">IF($E350="","",IFERROR(INDEX(Parâmetros!$C$15:$C$20,MATCH($P350,Parâmetros!$B$15:$B$20,0)),""))</f>
        <v/>
      </c>
      <c r="N350" s="46" t="str">
        <f aca="false">IF($E350="","",IF($P350="","",IF($P350&gt;=8,"Alta",IF($P350&gt;=5,"Média","Baixa"))))</f>
        <v/>
      </c>
      <c r="O350" s="46" t="str">
        <f aca="false">IF($E350="","",IF(AND(Parâmetros!$C$5&gt;0,$P350&lt;&gt;"",$P350&gt;=Parâmetros!$C$5),"Sim","Não"))</f>
        <v/>
      </c>
      <c r="P350" s="45" t="str">
        <f aca="false">IF($E350="","",IF($G350="","",IF($G350="NOK",$F350,0)))</f>
        <v/>
      </c>
      <c r="Q350" s="46" t="str">
        <f aca="false">IF($E350="","",IF($O350&lt;&gt;"Sim","",COUNTIF($O$3:$O350,"Sim")))</f>
        <v/>
      </c>
      <c r="R350" s="47" t="n">
        <f aca="false">IF($P350="",0,$P350)</f>
        <v>0</v>
      </c>
    </row>
    <row r="351" customFormat="false" ht="18" hidden="false" customHeight="true" outlineLevel="0" collapsed="false">
      <c r="A351" s="39"/>
      <c r="B351" s="41"/>
      <c r="C351" s="40"/>
      <c r="D351" s="40"/>
      <c r="E351" s="40"/>
      <c r="F351" s="42"/>
      <c r="G351" s="39"/>
      <c r="H351" s="40"/>
      <c r="I351" s="40"/>
      <c r="J351" s="40"/>
      <c r="K351" s="41"/>
      <c r="L351" s="39"/>
      <c r="M351" s="48" t="str">
        <f aca="false">IF($E351="","",IFERROR(INDEX(Parâmetros!$C$15:$C$20,MATCH($P351,Parâmetros!$B$15:$B$20,0)),""))</f>
        <v/>
      </c>
      <c r="N351" s="46" t="str">
        <f aca="false">IF($E351="","",IF($P351="","",IF($P351&gt;=8,"Alta",IF($P351&gt;=5,"Média","Baixa"))))</f>
        <v/>
      </c>
      <c r="O351" s="46" t="str">
        <f aca="false">IF($E351="","",IF(AND(Parâmetros!$C$5&gt;0,$P351&lt;&gt;"",$P351&gt;=Parâmetros!$C$5),"Sim","Não"))</f>
        <v/>
      </c>
      <c r="P351" s="45" t="str">
        <f aca="false">IF($E351="","",IF($G351="","",IF($G351="NOK",$F351,0)))</f>
        <v/>
      </c>
      <c r="Q351" s="46" t="str">
        <f aca="false">IF($E351="","",IF($O351&lt;&gt;"Sim","",COUNTIF($O$3:$O351,"Sim")))</f>
        <v/>
      </c>
      <c r="R351" s="47" t="n">
        <f aca="false">IF($P351="",0,$P351)</f>
        <v>0</v>
      </c>
    </row>
    <row r="352" customFormat="false" ht="18" hidden="false" customHeight="true" outlineLevel="0" collapsed="false">
      <c r="A352" s="39"/>
      <c r="B352" s="41"/>
      <c r="C352" s="40"/>
      <c r="D352" s="40"/>
      <c r="E352" s="40"/>
      <c r="F352" s="42"/>
      <c r="G352" s="39"/>
      <c r="H352" s="40"/>
      <c r="I352" s="40"/>
      <c r="J352" s="40"/>
      <c r="K352" s="41"/>
      <c r="L352" s="39"/>
      <c r="M352" s="48" t="str">
        <f aca="false">IF($E352="","",IFERROR(INDEX(Parâmetros!$C$15:$C$20,MATCH($P352,Parâmetros!$B$15:$B$20,0)),""))</f>
        <v/>
      </c>
      <c r="N352" s="46" t="str">
        <f aca="false">IF($E352="","",IF($P352="","",IF($P352&gt;=8,"Alta",IF($P352&gt;=5,"Média","Baixa"))))</f>
        <v/>
      </c>
      <c r="O352" s="46" t="str">
        <f aca="false">IF($E352="","",IF(AND(Parâmetros!$C$5&gt;0,$P352&lt;&gt;"",$P352&gt;=Parâmetros!$C$5),"Sim","Não"))</f>
        <v/>
      </c>
      <c r="P352" s="45" t="str">
        <f aca="false">IF($E352="","",IF($G352="","",IF($G352="NOK",$F352,0)))</f>
        <v/>
      </c>
      <c r="Q352" s="46" t="str">
        <f aca="false">IF($E352="","",IF($O352&lt;&gt;"Sim","",COUNTIF($O$3:$O352,"Sim")))</f>
        <v/>
      </c>
      <c r="R352" s="47" t="n">
        <f aca="false">IF($P352="",0,$P352)</f>
        <v>0</v>
      </c>
    </row>
    <row r="353" customFormat="false" ht="18" hidden="false" customHeight="true" outlineLevel="0" collapsed="false">
      <c r="A353" s="39"/>
      <c r="B353" s="41"/>
      <c r="C353" s="40"/>
      <c r="D353" s="40"/>
      <c r="E353" s="40"/>
      <c r="F353" s="42"/>
      <c r="G353" s="39"/>
      <c r="H353" s="40"/>
      <c r="I353" s="40"/>
      <c r="J353" s="40"/>
      <c r="K353" s="41"/>
      <c r="L353" s="39"/>
      <c r="M353" s="48" t="str">
        <f aca="false">IF($E353="","",IFERROR(INDEX(Parâmetros!$C$15:$C$20,MATCH($P353,Parâmetros!$B$15:$B$20,0)),""))</f>
        <v/>
      </c>
      <c r="N353" s="46" t="str">
        <f aca="false">IF($E353="","",IF($P353="","",IF($P353&gt;=8,"Alta",IF($P353&gt;=5,"Média","Baixa"))))</f>
        <v/>
      </c>
      <c r="O353" s="46" t="str">
        <f aca="false">IF($E353="","",IF(AND(Parâmetros!$C$5&gt;0,$P353&lt;&gt;"",$P353&gt;=Parâmetros!$C$5),"Sim","Não"))</f>
        <v/>
      </c>
      <c r="P353" s="45" t="str">
        <f aca="false">IF($E353="","",IF($G353="","",IF($G353="NOK",$F353,0)))</f>
        <v/>
      </c>
      <c r="Q353" s="46" t="str">
        <f aca="false">IF($E353="","",IF($O353&lt;&gt;"Sim","",COUNTIF($O$3:$O353,"Sim")))</f>
        <v/>
      </c>
      <c r="R353" s="47" t="n">
        <f aca="false">IF($P353="",0,$P353)</f>
        <v>0</v>
      </c>
    </row>
    <row r="354" customFormat="false" ht="18" hidden="false" customHeight="true" outlineLevel="0" collapsed="false">
      <c r="A354" s="39"/>
      <c r="B354" s="41"/>
      <c r="C354" s="40"/>
      <c r="D354" s="40"/>
      <c r="E354" s="40"/>
      <c r="F354" s="42"/>
      <c r="G354" s="39"/>
      <c r="H354" s="40"/>
      <c r="I354" s="40"/>
      <c r="J354" s="40"/>
      <c r="K354" s="41"/>
      <c r="L354" s="39"/>
      <c r="M354" s="48" t="str">
        <f aca="false">IF($E354="","",IFERROR(INDEX(Parâmetros!$C$15:$C$20,MATCH($P354,Parâmetros!$B$15:$B$20,0)),""))</f>
        <v/>
      </c>
      <c r="N354" s="46" t="str">
        <f aca="false">IF($E354="","",IF($P354="","",IF($P354&gt;=8,"Alta",IF($P354&gt;=5,"Média","Baixa"))))</f>
        <v/>
      </c>
      <c r="O354" s="46" t="str">
        <f aca="false">IF($E354="","",IF(AND(Parâmetros!$C$5&gt;0,$P354&lt;&gt;"",$P354&gt;=Parâmetros!$C$5),"Sim","Não"))</f>
        <v/>
      </c>
      <c r="P354" s="45" t="str">
        <f aca="false">IF($E354="","",IF($G354="","",IF($G354="NOK",$F354,0)))</f>
        <v/>
      </c>
      <c r="Q354" s="46" t="str">
        <f aca="false">IF($E354="","",IF($O354&lt;&gt;"Sim","",COUNTIF($O$3:$O354,"Sim")))</f>
        <v/>
      </c>
      <c r="R354" s="47" t="n">
        <f aca="false">IF($P354="",0,$P354)</f>
        <v>0</v>
      </c>
    </row>
    <row r="355" customFormat="false" ht="18" hidden="false" customHeight="true" outlineLevel="0" collapsed="false">
      <c r="A355" s="39"/>
      <c r="B355" s="41"/>
      <c r="C355" s="40"/>
      <c r="D355" s="40"/>
      <c r="E355" s="40"/>
      <c r="F355" s="42"/>
      <c r="G355" s="39"/>
      <c r="H355" s="40"/>
      <c r="I355" s="40"/>
      <c r="J355" s="40"/>
      <c r="K355" s="41"/>
      <c r="L355" s="39"/>
      <c r="M355" s="48" t="str">
        <f aca="false">IF($E355="","",IFERROR(INDEX(Parâmetros!$C$15:$C$20,MATCH($P355,Parâmetros!$B$15:$B$20,0)),""))</f>
        <v/>
      </c>
      <c r="N355" s="46" t="str">
        <f aca="false">IF($E355="","",IF($P355="","",IF($P355&gt;=8,"Alta",IF($P355&gt;=5,"Média","Baixa"))))</f>
        <v/>
      </c>
      <c r="O355" s="46" t="str">
        <f aca="false">IF($E355="","",IF(AND(Parâmetros!$C$5&gt;0,$P355&lt;&gt;"",$P355&gt;=Parâmetros!$C$5),"Sim","Não"))</f>
        <v/>
      </c>
      <c r="P355" s="45" t="str">
        <f aca="false">IF($E355="","",IF($G355="","",IF($G355="NOK",$F355,0)))</f>
        <v/>
      </c>
      <c r="Q355" s="46" t="str">
        <f aca="false">IF($E355="","",IF($O355&lt;&gt;"Sim","",COUNTIF($O$3:$O355,"Sim")))</f>
        <v/>
      </c>
      <c r="R355" s="47" t="n">
        <f aca="false">IF($P355="",0,$P355)</f>
        <v>0</v>
      </c>
    </row>
    <row r="356" customFormat="false" ht="18" hidden="false" customHeight="true" outlineLevel="0" collapsed="false">
      <c r="A356" s="39"/>
      <c r="B356" s="41"/>
      <c r="C356" s="40"/>
      <c r="D356" s="40"/>
      <c r="E356" s="40"/>
      <c r="F356" s="42"/>
      <c r="G356" s="39"/>
      <c r="H356" s="40"/>
      <c r="I356" s="40"/>
      <c r="J356" s="40"/>
      <c r="K356" s="41"/>
      <c r="L356" s="39"/>
      <c r="M356" s="48" t="str">
        <f aca="false">IF($E356="","",IFERROR(INDEX(Parâmetros!$C$15:$C$20,MATCH($P356,Parâmetros!$B$15:$B$20,0)),""))</f>
        <v/>
      </c>
      <c r="N356" s="46" t="str">
        <f aca="false">IF($E356="","",IF($P356="","",IF($P356&gt;=8,"Alta",IF($P356&gt;=5,"Média","Baixa"))))</f>
        <v/>
      </c>
      <c r="O356" s="46" t="str">
        <f aca="false">IF($E356="","",IF(AND(Parâmetros!$C$5&gt;0,$P356&lt;&gt;"",$P356&gt;=Parâmetros!$C$5),"Sim","Não"))</f>
        <v/>
      </c>
      <c r="P356" s="45" t="str">
        <f aca="false">IF($E356="","",IF($G356="","",IF($G356="NOK",$F356,0)))</f>
        <v/>
      </c>
      <c r="Q356" s="46" t="str">
        <f aca="false">IF($E356="","",IF($O356&lt;&gt;"Sim","",COUNTIF($O$3:$O356,"Sim")))</f>
        <v/>
      </c>
      <c r="R356" s="47" t="n">
        <f aca="false">IF($P356="",0,$P356)</f>
        <v>0</v>
      </c>
    </row>
    <row r="357" customFormat="false" ht="18" hidden="false" customHeight="true" outlineLevel="0" collapsed="false">
      <c r="A357" s="39"/>
      <c r="B357" s="41"/>
      <c r="C357" s="40"/>
      <c r="D357" s="40"/>
      <c r="E357" s="40"/>
      <c r="F357" s="42"/>
      <c r="G357" s="39"/>
      <c r="H357" s="40"/>
      <c r="I357" s="40"/>
      <c r="J357" s="40"/>
      <c r="K357" s="41"/>
      <c r="L357" s="39"/>
      <c r="M357" s="48" t="str">
        <f aca="false">IF($E357="","",IFERROR(INDEX(Parâmetros!$C$15:$C$20,MATCH($P357,Parâmetros!$B$15:$B$20,0)),""))</f>
        <v/>
      </c>
      <c r="N357" s="46" t="str">
        <f aca="false">IF($E357="","",IF($P357="","",IF($P357&gt;=8,"Alta",IF($P357&gt;=5,"Média","Baixa"))))</f>
        <v/>
      </c>
      <c r="O357" s="46" t="str">
        <f aca="false">IF($E357="","",IF(AND(Parâmetros!$C$5&gt;0,$P357&lt;&gt;"",$P357&gt;=Parâmetros!$C$5),"Sim","Não"))</f>
        <v/>
      </c>
      <c r="P357" s="45" t="str">
        <f aca="false">IF($E357="","",IF($G357="","",IF($G357="NOK",$F357,0)))</f>
        <v/>
      </c>
      <c r="Q357" s="46" t="str">
        <f aca="false">IF($E357="","",IF($O357&lt;&gt;"Sim","",COUNTIF($O$3:$O357,"Sim")))</f>
        <v/>
      </c>
      <c r="R357" s="47" t="n">
        <f aca="false">IF($P357="",0,$P357)</f>
        <v>0</v>
      </c>
    </row>
    <row r="358" customFormat="false" ht="18" hidden="false" customHeight="true" outlineLevel="0" collapsed="false">
      <c r="A358" s="39"/>
      <c r="B358" s="41"/>
      <c r="C358" s="40"/>
      <c r="D358" s="40"/>
      <c r="E358" s="40"/>
      <c r="F358" s="42"/>
      <c r="G358" s="39"/>
      <c r="H358" s="40"/>
      <c r="I358" s="40"/>
      <c r="J358" s="40"/>
      <c r="K358" s="41"/>
      <c r="L358" s="39"/>
      <c r="M358" s="48" t="str">
        <f aca="false">IF($E358="","",IFERROR(INDEX(Parâmetros!$C$15:$C$20,MATCH($P358,Parâmetros!$B$15:$B$20,0)),""))</f>
        <v/>
      </c>
      <c r="N358" s="46" t="str">
        <f aca="false">IF($E358="","",IF($P358="","",IF($P358&gt;=8,"Alta",IF($P358&gt;=5,"Média","Baixa"))))</f>
        <v/>
      </c>
      <c r="O358" s="46" t="str">
        <f aca="false">IF($E358="","",IF(AND(Parâmetros!$C$5&gt;0,$P358&lt;&gt;"",$P358&gt;=Parâmetros!$C$5),"Sim","Não"))</f>
        <v/>
      </c>
      <c r="P358" s="45" t="str">
        <f aca="false">IF($E358="","",IF($G358="","",IF($G358="NOK",$F358,0)))</f>
        <v/>
      </c>
      <c r="Q358" s="46" t="str">
        <f aca="false">IF($E358="","",IF($O358&lt;&gt;"Sim","",COUNTIF($O$3:$O358,"Sim")))</f>
        <v/>
      </c>
      <c r="R358" s="47" t="n">
        <f aca="false">IF($P358="",0,$P358)</f>
        <v>0</v>
      </c>
    </row>
    <row r="359" customFormat="false" ht="18" hidden="false" customHeight="true" outlineLevel="0" collapsed="false">
      <c r="A359" s="39"/>
      <c r="B359" s="41"/>
      <c r="C359" s="40"/>
      <c r="D359" s="40"/>
      <c r="E359" s="40"/>
      <c r="F359" s="42"/>
      <c r="G359" s="39"/>
      <c r="H359" s="40"/>
      <c r="I359" s="40"/>
      <c r="J359" s="40"/>
      <c r="K359" s="41"/>
      <c r="L359" s="39"/>
      <c r="M359" s="48" t="str">
        <f aca="false">IF($E359="","",IFERROR(INDEX(Parâmetros!$C$15:$C$20,MATCH($P359,Parâmetros!$B$15:$B$20,0)),""))</f>
        <v/>
      </c>
      <c r="N359" s="46" t="str">
        <f aca="false">IF($E359="","",IF($P359="","",IF($P359&gt;=8,"Alta",IF($P359&gt;=5,"Média","Baixa"))))</f>
        <v/>
      </c>
      <c r="O359" s="46" t="str">
        <f aca="false">IF($E359="","",IF(AND(Parâmetros!$C$5&gt;0,$P359&lt;&gt;"",$P359&gt;=Parâmetros!$C$5),"Sim","Não"))</f>
        <v/>
      </c>
      <c r="P359" s="45" t="str">
        <f aca="false">IF($E359="","",IF($G359="","",IF($G359="NOK",$F359,0)))</f>
        <v/>
      </c>
      <c r="Q359" s="46" t="str">
        <f aca="false">IF($E359="","",IF($O359&lt;&gt;"Sim","",COUNTIF($O$3:$O359,"Sim")))</f>
        <v/>
      </c>
      <c r="R359" s="47" t="n">
        <f aca="false">IF($P359="",0,$P359)</f>
        <v>0</v>
      </c>
    </row>
    <row r="360" customFormat="false" ht="18" hidden="false" customHeight="true" outlineLevel="0" collapsed="false">
      <c r="A360" s="39"/>
      <c r="B360" s="41"/>
      <c r="C360" s="40"/>
      <c r="D360" s="40"/>
      <c r="E360" s="40"/>
      <c r="F360" s="42"/>
      <c r="G360" s="39"/>
      <c r="H360" s="40"/>
      <c r="I360" s="40"/>
      <c r="J360" s="40"/>
      <c r="K360" s="41"/>
      <c r="L360" s="39"/>
      <c r="M360" s="48" t="str">
        <f aca="false">IF($E360="","",IFERROR(INDEX(Parâmetros!$C$15:$C$20,MATCH($P360,Parâmetros!$B$15:$B$20,0)),""))</f>
        <v/>
      </c>
      <c r="N360" s="46" t="str">
        <f aca="false">IF($E360="","",IF($P360="","",IF($P360&gt;=8,"Alta",IF($P360&gt;=5,"Média","Baixa"))))</f>
        <v/>
      </c>
      <c r="O360" s="46" t="str">
        <f aca="false">IF($E360="","",IF(AND(Parâmetros!$C$5&gt;0,$P360&lt;&gt;"",$P360&gt;=Parâmetros!$C$5),"Sim","Não"))</f>
        <v/>
      </c>
      <c r="P360" s="45" t="str">
        <f aca="false">IF($E360="","",IF($G360="","",IF($G360="NOK",$F360,0)))</f>
        <v/>
      </c>
      <c r="Q360" s="46" t="str">
        <f aca="false">IF($E360="","",IF($O360&lt;&gt;"Sim","",COUNTIF($O$3:$O360,"Sim")))</f>
        <v/>
      </c>
      <c r="R360" s="47" t="n">
        <f aca="false">IF($P360="",0,$P360)</f>
        <v>0</v>
      </c>
    </row>
    <row r="361" customFormat="false" ht="18" hidden="false" customHeight="true" outlineLevel="0" collapsed="false">
      <c r="A361" s="39"/>
      <c r="B361" s="41"/>
      <c r="C361" s="40"/>
      <c r="D361" s="40"/>
      <c r="E361" s="40"/>
      <c r="F361" s="42"/>
      <c r="G361" s="39"/>
      <c r="H361" s="40"/>
      <c r="I361" s="40"/>
      <c r="J361" s="40"/>
      <c r="K361" s="41"/>
      <c r="L361" s="39"/>
      <c r="M361" s="48" t="str">
        <f aca="false">IF($E361="","",IFERROR(INDEX(Parâmetros!$C$15:$C$20,MATCH($P361,Parâmetros!$B$15:$B$20,0)),""))</f>
        <v/>
      </c>
      <c r="N361" s="46" t="str">
        <f aca="false">IF($E361="","",IF($P361="","",IF($P361&gt;=8,"Alta",IF($P361&gt;=5,"Média","Baixa"))))</f>
        <v/>
      </c>
      <c r="O361" s="46" t="str">
        <f aca="false">IF($E361="","",IF(AND(Parâmetros!$C$5&gt;0,$P361&lt;&gt;"",$P361&gt;=Parâmetros!$C$5),"Sim","Não"))</f>
        <v/>
      </c>
      <c r="P361" s="45" t="str">
        <f aca="false">IF($E361="","",IF($G361="","",IF($G361="NOK",$F361,0)))</f>
        <v/>
      </c>
      <c r="Q361" s="46" t="str">
        <f aca="false">IF($E361="","",IF($O361&lt;&gt;"Sim","",COUNTIF($O$3:$O361,"Sim")))</f>
        <v/>
      </c>
      <c r="R361" s="47" t="n">
        <f aca="false">IF($P361="",0,$P361)</f>
        <v>0</v>
      </c>
    </row>
    <row r="362" customFormat="false" ht="18" hidden="false" customHeight="true" outlineLevel="0" collapsed="false">
      <c r="A362" s="39"/>
      <c r="B362" s="41"/>
      <c r="C362" s="40"/>
      <c r="D362" s="40"/>
      <c r="E362" s="40"/>
      <c r="F362" s="42"/>
      <c r="G362" s="39"/>
      <c r="H362" s="40"/>
      <c r="I362" s="40"/>
      <c r="J362" s="40"/>
      <c r="K362" s="41"/>
      <c r="L362" s="39"/>
      <c r="M362" s="48" t="str">
        <f aca="false">IF($E362="","",IFERROR(INDEX(Parâmetros!$C$15:$C$20,MATCH($P362,Parâmetros!$B$15:$B$20,0)),""))</f>
        <v/>
      </c>
      <c r="N362" s="46" t="str">
        <f aca="false">IF($E362="","",IF($P362="","",IF($P362&gt;=8,"Alta",IF($P362&gt;=5,"Média","Baixa"))))</f>
        <v/>
      </c>
      <c r="O362" s="46" t="str">
        <f aca="false">IF($E362="","",IF(AND(Parâmetros!$C$5&gt;0,$P362&lt;&gt;"",$P362&gt;=Parâmetros!$C$5),"Sim","Não"))</f>
        <v/>
      </c>
      <c r="P362" s="45" t="str">
        <f aca="false">IF($E362="","",IF($G362="","",IF($G362="NOK",$F362,0)))</f>
        <v/>
      </c>
      <c r="Q362" s="46" t="str">
        <f aca="false">IF($E362="","",IF($O362&lt;&gt;"Sim","",COUNTIF($O$3:$O362,"Sim")))</f>
        <v/>
      </c>
      <c r="R362" s="47" t="n">
        <f aca="false">IF($P362="",0,$P362)</f>
        <v>0</v>
      </c>
    </row>
    <row r="363" customFormat="false" ht="18" hidden="false" customHeight="true" outlineLevel="0" collapsed="false">
      <c r="A363" s="39"/>
      <c r="B363" s="41"/>
      <c r="C363" s="40"/>
      <c r="D363" s="40"/>
      <c r="E363" s="40"/>
      <c r="F363" s="42"/>
      <c r="G363" s="39"/>
      <c r="H363" s="40"/>
      <c r="I363" s="40"/>
      <c r="J363" s="40"/>
      <c r="K363" s="41"/>
      <c r="L363" s="39"/>
      <c r="M363" s="48" t="str">
        <f aca="false">IF($E363="","",IFERROR(INDEX(Parâmetros!$C$15:$C$20,MATCH($P363,Parâmetros!$B$15:$B$20,0)),""))</f>
        <v/>
      </c>
      <c r="N363" s="46" t="str">
        <f aca="false">IF($E363="","",IF($P363="","",IF($P363&gt;=8,"Alta",IF($P363&gt;=5,"Média","Baixa"))))</f>
        <v/>
      </c>
      <c r="O363" s="46" t="str">
        <f aca="false">IF($E363="","",IF(AND(Parâmetros!$C$5&gt;0,$P363&lt;&gt;"",$P363&gt;=Parâmetros!$C$5),"Sim","Não"))</f>
        <v/>
      </c>
      <c r="P363" s="45" t="str">
        <f aca="false">IF($E363="","",IF($G363="","",IF($G363="NOK",$F363,0)))</f>
        <v/>
      </c>
      <c r="Q363" s="46" t="str">
        <f aca="false">IF($E363="","",IF($O363&lt;&gt;"Sim","",COUNTIF($O$3:$O363,"Sim")))</f>
        <v/>
      </c>
      <c r="R363" s="47" t="n">
        <f aca="false">IF($P363="",0,$P363)</f>
        <v>0</v>
      </c>
    </row>
    <row r="364" customFormat="false" ht="18" hidden="false" customHeight="true" outlineLevel="0" collapsed="false">
      <c r="A364" s="39"/>
      <c r="B364" s="41"/>
      <c r="C364" s="40"/>
      <c r="D364" s="40"/>
      <c r="E364" s="40"/>
      <c r="F364" s="42"/>
      <c r="G364" s="39"/>
      <c r="H364" s="40"/>
      <c r="I364" s="40"/>
      <c r="J364" s="40"/>
      <c r="K364" s="41"/>
      <c r="L364" s="39"/>
      <c r="M364" s="48" t="str">
        <f aca="false">IF($E364="","",IFERROR(INDEX(Parâmetros!$C$15:$C$20,MATCH($P364,Parâmetros!$B$15:$B$20,0)),""))</f>
        <v/>
      </c>
      <c r="N364" s="46" t="str">
        <f aca="false">IF($E364="","",IF($P364="","",IF($P364&gt;=8,"Alta",IF($P364&gt;=5,"Média","Baixa"))))</f>
        <v/>
      </c>
      <c r="O364" s="46" t="str">
        <f aca="false">IF($E364="","",IF(AND(Parâmetros!$C$5&gt;0,$P364&lt;&gt;"",$P364&gt;=Parâmetros!$C$5),"Sim","Não"))</f>
        <v/>
      </c>
      <c r="P364" s="45" t="str">
        <f aca="false">IF($E364="","",IF($G364="","",IF($G364="NOK",$F364,0)))</f>
        <v/>
      </c>
      <c r="Q364" s="46" t="str">
        <f aca="false">IF($E364="","",IF($O364&lt;&gt;"Sim","",COUNTIF($O$3:$O364,"Sim")))</f>
        <v/>
      </c>
      <c r="R364" s="47" t="n">
        <f aca="false">IF($P364="",0,$P364)</f>
        <v>0</v>
      </c>
    </row>
    <row r="365" customFormat="false" ht="18" hidden="false" customHeight="true" outlineLevel="0" collapsed="false">
      <c r="A365" s="39"/>
      <c r="B365" s="41"/>
      <c r="C365" s="40"/>
      <c r="D365" s="40"/>
      <c r="E365" s="40"/>
      <c r="F365" s="42"/>
      <c r="G365" s="39"/>
      <c r="H365" s="40"/>
      <c r="I365" s="40"/>
      <c r="J365" s="40"/>
      <c r="K365" s="41"/>
      <c r="L365" s="39"/>
      <c r="M365" s="48" t="str">
        <f aca="false">IF($E365="","",IFERROR(INDEX(Parâmetros!$C$15:$C$20,MATCH($P365,Parâmetros!$B$15:$B$20,0)),""))</f>
        <v/>
      </c>
      <c r="N365" s="46" t="str">
        <f aca="false">IF($E365="","",IF($P365="","",IF($P365&gt;=8,"Alta",IF($P365&gt;=5,"Média","Baixa"))))</f>
        <v/>
      </c>
      <c r="O365" s="46" t="str">
        <f aca="false">IF($E365="","",IF(AND(Parâmetros!$C$5&gt;0,$P365&lt;&gt;"",$P365&gt;=Parâmetros!$C$5),"Sim","Não"))</f>
        <v/>
      </c>
      <c r="P365" s="45" t="str">
        <f aca="false">IF($E365="","",IF($G365="","",IF($G365="NOK",$F365,0)))</f>
        <v/>
      </c>
      <c r="Q365" s="46" t="str">
        <f aca="false">IF($E365="","",IF($O365&lt;&gt;"Sim","",COUNTIF($O$3:$O365,"Sim")))</f>
        <v/>
      </c>
      <c r="R365" s="47" t="n">
        <f aca="false">IF($P365="",0,$P365)</f>
        <v>0</v>
      </c>
    </row>
    <row r="366" customFormat="false" ht="18" hidden="false" customHeight="true" outlineLevel="0" collapsed="false">
      <c r="A366" s="39"/>
      <c r="B366" s="41"/>
      <c r="C366" s="40"/>
      <c r="D366" s="40"/>
      <c r="E366" s="40"/>
      <c r="F366" s="42"/>
      <c r="G366" s="39"/>
      <c r="H366" s="40"/>
      <c r="I366" s="40"/>
      <c r="J366" s="40"/>
      <c r="K366" s="41"/>
      <c r="L366" s="39"/>
      <c r="M366" s="48" t="str">
        <f aca="false">IF($E366="","",IFERROR(INDEX(Parâmetros!$C$15:$C$20,MATCH($P366,Parâmetros!$B$15:$B$20,0)),""))</f>
        <v/>
      </c>
      <c r="N366" s="46" t="str">
        <f aca="false">IF($E366="","",IF($P366="","",IF($P366&gt;=8,"Alta",IF($P366&gt;=5,"Média","Baixa"))))</f>
        <v/>
      </c>
      <c r="O366" s="46" t="str">
        <f aca="false">IF($E366="","",IF(AND(Parâmetros!$C$5&gt;0,$P366&lt;&gt;"",$P366&gt;=Parâmetros!$C$5),"Sim","Não"))</f>
        <v/>
      </c>
      <c r="P366" s="45" t="str">
        <f aca="false">IF($E366="","",IF($G366="","",IF($G366="NOK",$F366,0)))</f>
        <v/>
      </c>
      <c r="Q366" s="46" t="str">
        <f aca="false">IF($E366="","",IF($O366&lt;&gt;"Sim","",COUNTIF($O$3:$O366,"Sim")))</f>
        <v/>
      </c>
      <c r="R366" s="47" t="n">
        <f aca="false">IF($P366="",0,$P366)</f>
        <v>0</v>
      </c>
    </row>
    <row r="367" customFormat="false" ht="18" hidden="false" customHeight="true" outlineLevel="0" collapsed="false">
      <c r="A367" s="39"/>
      <c r="B367" s="41"/>
      <c r="C367" s="40"/>
      <c r="D367" s="40"/>
      <c r="E367" s="40"/>
      <c r="F367" s="42"/>
      <c r="G367" s="39"/>
      <c r="H367" s="40"/>
      <c r="I367" s="40"/>
      <c r="J367" s="40"/>
      <c r="K367" s="41"/>
      <c r="L367" s="39"/>
      <c r="M367" s="48" t="str">
        <f aca="false">IF($E367="","",IFERROR(INDEX(Parâmetros!$C$15:$C$20,MATCH($P367,Parâmetros!$B$15:$B$20,0)),""))</f>
        <v/>
      </c>
      <c r="N367" s="46" t="str">
        <f aca="false">IF($E367="","",IF($P367="","",IF($P367&gt;=8,"Alta",IF($P367&gt;=5,"Média","Baixa"))))</f>
        <v/>
      </c>
      <c r="O367" s="46" t="str">
        <f aca="false">IF($E367="","",IF(AND(Parâmetros!$C$5&gt;0,$P367&lt;&gt;"",$P367&gt;=Parâmetros!$C$5),"Sim","Não"))</f>
        <v/>
      </c>
      <c r="P367" s="45" t="str">
        <f aca="false">IF($E367="","",IF($G367="","",IF($G367="NOK",$F367,0)))</f>
        <v/>
      </c>
      <c r="Q367" s="46" t="str">
        <f aca="false">IF($E367="","",IF($O367&lt;&gt;"Sim","",COUNTIF($O$3:$O367,"Sim")))</f>
        <v/>
      </c>
      <c r="R367" s="47" t="n">
        <f aca="false">IF($P367="",0,$P367)</f>
        <v>0</v>
      </c>
    </row>
    <row r="368" customFormat="false" ht="18" hidden="false" customHeight="true" outlineLevel="0" collapsed="false">
      <c r="A368" s="39"/>
      <c r="B368" s="41"/>
      <c r="C368" s="40"/>
      <c r="D368" s="40"/>
      <c r="E368" s="40"/>
      <c r="F368" s="42"/>
      <c r="G368" s="39"/>
      <c r="H368" s="40"/>
      <c r="I368" s="40"/>
      <c r="J368" s="40"/>
      <c r="K368" s="41"/>
      <c r="L368" s="39"/>
      <c r="M368" s="48" t="str">
        <f aca="false">IF($E368="","",IFERROR(INDEX(Parâmetros!$C$15:$C$20,MATCH($P368,Parâmetros!$B$15:$B$20,0)),""))</f>
        <v/>
      </c>
      <c r="N368" s="46" t="str">
        <f aca="false">IF($E368="","",IF($P368="","",IF($P368&gt;=8,"Alta",IF($P368&gt;=5,"Média","Baixa"))))</f>
        <v/>
      </c>
      <c r="O368" s="46" t="str">
        <f aca="false">IF($E368="","",IF(AND(Parâmetros!$C$5&gt;0,$P368&lt;&gt;"",$P368&gt;=Parâmetros!$C$5),"Sim","Não"))</f>
        <v/>
      </c>
      <c r="P368" s="45" t="str">
        <f aca="false">IF($E368="","",IF($G368="","",IF($G368="NOK",$F368,0)))</f>
        <v/>
      </c>
      <c r="Q368" s="46" t="str">
        <f aca="false">IF($E368="","",IF($O368&lt;&gt;"Sim","",COUNTIF($O$3:$O368,"Sim")))</f>
        <v/>
      </c>
      <c r="R368" s="47" t="n">
        <f aca="false">IF($P368="",0,$P368)</f>
        <v>0</v>
      </c>
    </row>
    <row r="369" customFormat="false" ht="18" hidden="false" customHeight="true" outlineLevel="0" collapsed="false">
      <c r="A369" s="39"/>
      <c r="B369" s="41"/>
      <c r="C369" s="40"/>
      <c r="D369" s="40"/>
      <c r="E369" s="40"/>
      <c r="F369" s="42"/>
      <c r="G369" s="39"/>
      <c r="H369" s="40"/>
      <c r="I369" s="40"/>
      <c r="J369" s="40"/>
      <c r="K369" s="41"/>
      <c r="L369" s="39"/>
      <c r="M369" s="48" t="str">
        <f aca="false">IF($E369="","",IFERROR(INDEX(Parâmetros!$C$15:$C$20,MATCH($P369,Parâmetros!$B$15:$B$20,0)),""))</f>
        <v/>
      </c>
      <c r="N369" s="46" t="str">
        <f aca="false">IF($E369="","",IF($P369="","",IF($P369&gt;=8,"Alta",IF($P369&gt;=5,"Média","Baixa"))))</f>
        <v/>
      </c>
      <c r="O369" s="46" t="str">
        <f aca="false">IF($E369="","",IF(AND(Parâmetros!$C$5&gt;0,$P369&lt;&gt;"",$P369&gt;=Parâmetros!$C$5),"Sim","Não"))</f>
        <v/>
      </c>
      <c r="P369" s="45" t="str">
        <f aca="false">IF($E369="","",IF($G369="","",IF($G369="NOK",$F369,0)))</f>
        <v/>
      </c>
      <c r="Q369" s="46" t="str">
        <f aca="false">IF($E369="","",IF($O369&lt;&gt;"Sim","",COUNTIF($O$3:$O369,"Sim")))</f>
        <v/>
      </c>
      <c r="R369" s="47" t="n">
        <f aca="false">IF($P369="",0,$P369)</f>
        <v>0</v>
      </c>
    </row>
    <row r="370" customFormat="false" ht="18" hidden="false" customHeight="true" outlineLevel="0" collapsed="false">
      <c r="A370" s="39"/>
      <c r="B370" s="41"/>
      <c r="C370" s="40"/>
      <c r="D370" s="40"/>
      <c r="E370" s="40"/>
      <c r="F370" s="42"/>
      <c r="G370" s="39"/>
      <c r="H370" s="40"/>
      <c r="I370" s="40"/>
      <c r="J370" s="40"/>
      <c r="K370" s="41"/>
      <c r="L370" s="39"/>
      <c r="M370" s="48" t="str">
        <f aca="false">IF($E370="","",IFERROR(INDEX(Parâmetros!$C$15:$C$20,MATCH($P370,Parâmetros!$B$15:$B$20,0)),""))</f>
        <v/>
      </c>
      <c r="N370" s="46" t="str">
        <f aca="false">IF($E370="","",IF($P370="","",IF($P370&gt;=8,"Alta",IF($P370&gt;=5,"Média","Baixa"))))</f>
        <v/>
      </c>
      <c r="O370" s="46" t="str">
        <f aca="false">IF($E370="","",IF(AND(Parâmetros!$C$5&gt;0,$P370&lt;&gt;"",$P370&gt;=Parâmetros!$C$5),"Sim","Não"))</f>
        <v/>
      </c>
      <c r="P370" s="45" t="str">
        <f aca="false">IF($E370="","",IF($G370="","",IF($G370="NOK",$F370,0)))</f>
        <v/>
      </c>
      <c r="Q370" s="46" t="str">
        <f aca="false">IF($E370="","",IF($O370&lt;&gt;"Sim","",COUNTIF($O$3:$O370,"Sim")))</f>
        <v/>
      </c>
      <c r="R370" s="47" t="n">
        <f aca="false">IF($P370="",0,$P370)</f>
        <v>0</v>
      </c>
    </row>
    <row r="371" customFormat="false" ht="18" hidden="false" customHeight="true" outlineLevel="0" collapsed="false">
      <c r="A371" s="39"/>
      <c r="B371" s="41"/>
      <c r="C371" s="40"/>
      <c r="D371" s="40"/>
      <c r="E371" s="40"/>
      <c r="F371" s="42"/>
      <c r="G371" s="39"/>
      <c r="H371" s="40"/>
      <c r="I371" s="40"/>
      <c r="J371" s="40"/>
      <c r="K371" s="41"/>
      <c r="L371" s="39"/>
      <c r="M371" s="48" t="str">
        <f aca="false">IF($E371="","",IFERROR(INDEX(Parâmetros!$C$15:$C$20,MATCH($P371,Parâmetros!$B$15:$B$20,0)),""))</f>
        <v/>
      </c>
      <c r="N371" s="46" t="str">
        <f aca="false">IF($E371="","",IF($P371="","",IF($P371&gt;=8,"Alta",IF($P371&gt;=5,"Média","Baixa"))))</f>
        <v/>
      </c>
      <c r="O371" s="46" t="str">
        <f aca="false">IF($E371="","",IF(AND(Parâmetros!$C$5&gt;0,$P371&lt;&gt;"",$P371&gt;=Parâmetros!$C$5),"Sim","Não"))</f>
        <v/>
      </c>
      <c r="P371" s="45" t="str">
        <f aca="false">IF($E371="","",IF($G371="","",IF($G371="NOK",$F371,0)))</f>
        <v/>
      </c>
      <c r="Q371" s="46" t="str">
        <f aca="false">IF($E371="","",IF($O371&lt;&gt;"Sim","",COUNTIF($O$3:$O371,"Sim")))</f>
        <v/>
      </c>
      <c r="R371" s="47" t="n">
        <f aca="false">IF($P371="",0,$P371)</f>
        <v>0</v>
      </c>
    </row>
    <row r="372" customFormat="false" ht="18" hidden="false" customHeight="true" outlineLevel="0" collapsed="false">
      <c r="A372" s="39"/>
      <c r="B372" s="41"/>
      <c r="C372" s="40"/>
      <c r="D372" s="40"/>
      <c r="E372" s="40"/>
      <c r="F372" s="42"/>
      <c r="G372" s="39"/>
      <c r="H372" s="40"/>
      <c r="I372" s="40"/>
      <c r="J372" s="40"/>
      <c r="K372" s="41"/>
      <c r="L372" s="39"/>
      <c r="M372" s="48" t="str">
        <f aca="false">IF($E372="","",IFERROR(INDEX(Parâmetros!$C$15:$C$20,MATCH($P372,Parâmetros!$B$15:$B$20,0)),""))</f>
        <v/>
      </c>
      <c r="N372" s="46" t="str">
        <f aca="false">IF($E372="","",IF($P372="","",IF($P372&gt;=8,"Alta",IF($P372&gt;=5,"Média","Baixa"))))</f>
        <v/>
      </c>
      <c r="O372" s="46" t="str">
        <f aca="false">IF($E372="","",IF(AND(Parâmetros!$C$5&gt;0,$P372&lt;&gt;"",$P372&gt;=Parâmetros!$C$5),"Sim","Não"))</f>
        <v/>
      </c>
      <c r="P372" s="45" t="str">
        <f aca="false">IF($E372="","",IF($G372="","",IF($G372="NOK",$F372,0)))</f>
        <v/>
      </c>
      <c r="Q372" s="46" t="str">
        <f aca="false">IF($E372="","",IF($O372&lt;&gt;"Sim","",COUNTIF($O$3:$O372,"Sim")))</f>
        <v/>
      </c>
      <c r="R372" s="47" t="n">
        <f aca="false">IF($P372="",0,$P372)</f>
        <v>0</v>
      </c>
    </row>
    <row r="373" customFormat="false" ht="18" hidden="false" customHeight="true" outlineLevel="0" collapsed="false">
      <c r="A373" s="39"/>
      <c r="B373" s="41"/>
      <c r="C373" s="40"/>
      <c r="D373" s="40"/>
      <c r="E373" s="40"/>
      <c r="F373" s="42"/>
      <c r="G373" s="39"/>
      <c r="H373" s="40"/>
      <c r="I373" s="40"/>
      <c r="J373" s="40"/>
      <c r="K373" s="41"/>
      <c r="L373" s="39"/>
      <c r="M373" s="48" t="str">
        <f aca="false">IF($E373="","",IFERROR(INDEX(Parâmetros!$C$15:$C$20,MATCH($P373,Parâmetros!$B$15:$B$20,0)),""))</f>
        <v/>
      </c>
      <c r="N373" s="46" t="str">
        <f aca="false">IF($E373="","",IF($P373="","",IF($P373&gt;=8,"Alta",IF($P373&gt;=5,"Média","Baixa"))))</f>
        <v/>
      </c>
      <c r="O373" s="46" t="str">
        <f aca="false">IF($E373="","",IF(AND(Parâmetros!$C$5&gt;0,$P373&lt;&gt;"",$P373&gt;=Parâmetros!$C$5),"Sim","Não"))</f>
        <v/>
      </c>
      <c r="P373" s="45" t="str">
        <f aca="false">IF($E373="","",IF($G373="","",IF($G373="NOK",$F373,0)))</f>
        <v/>
      </c>
      <c r="Q373" s="46" t="str">
        <f aca="false">IF($E373="","",IF($O373&lt;&gt;"Sim","",COUNTIF($O$3:$O373,"Sim")))</f>
        <v/>
      </c>
      <c r="R373" s="47" t="n">
        <f aca="false">IF($P373="",0,$P373)</f>
        <v>0</v>
      </c>
    </row>
    <row r="374" customFormat="false" ht="18" hidden="false" customHeight="true" outlineLevel="0" collapsed="false">
      <c r="A374" s="39"/>
      <c r="B374" s="41"/>
      <c r="C374" s="40"/>
      <c r="D374" s="40"/>
      <c r="E374" s="40"/>
      <c r="F374" s="42"/>
      <c r="G374" s="39"/>
      <c r="H374" s="40"/>
      <c r="I374" s="40"/>
      <c r="J374" s="40"/>
      <c r="K374" s="41"/>
      <c r="L374" s="39"/>
      <c r="M374" s="48" t="str">
        <f aca="false">IF($E374="","",IFERROR(INDEX(Parâmetros!$C$15:$C$20,MATCH($P374,Parâmetros!$B$15:$B$20,0)),""))</f>
        <v/>
      </c>
      <c r="N374" s="46" t="str">
        <f aca="false">IF($E374="","",IF($P374="","",IF($P374&gt;=8,"Alta",IF($P374&gt;=5,"Média","Baixa"))))</f>
        <v/>
      </c>
      <c r="O374" s="46" t="str">
        <f aca="false">IF($E374="","",IF(AND(Parâmetros!$C$5&gt;0,$P374&lt;&gt;"",$P374&gt;=Parâmetros!$C$5),"Sim","Não"))</f>
        <v/>
      </c>
      <c r="P374" s="45" t="str">
        <f aca="false">IF($E374="","",IF($G374="","",IF($G374="NOK",$F374,0)))</f>
        <v/>
      </c>
      <c r="Q374" s="46" t="str">
        <f aca="false">IF($E374="","",IF($O374&lt;&gt;"Sim","",COUNTIF($O$3:$O374,"Sim")))</f>
        <v/>
      </c>
      <c r="R374" s="47" t="n">
        <f aca="false">IF($P374="",0,$P374)</f>
        <v>0</v>
      </c>
    </row>
    <row r="375" customFormat="false" ht="18" hidden="false" customHeight="true" outlineLevel="0" collapsed="false">
      <c r="A375" s="39"/>
      <c r="B375" s="41"/>
      <c r="C375" s="40"/>
      <c r="D375" s="40"/>
      <c r="E375" s="40"/>
      <c r="F375" s="42"/>
      <c r="G375" s="39"/>
      <c r="H375" s="40"/>
      <c r="I375" s="40"/>
      <c r="J375" s="40"/>
      <c r="K375" s="41"/>
      <c r="L375" s="39"/>
      <c r="M375" s="48" t="str">
        <f aca="false">IF($E375="","",IFERROR(INDEX(Parâmetros!$C$15:$C$20,MATCH($P375,Parâmetros!$B$15:$B$20,0)),""))</f>
        <v/>
      </c>
      <c r="N375" s="46" t="str">
        <f aca="false">IF($E375="","",IF($P375="","",IF($P375&gt;=8,"Alta",IF($P375&gt;=5,"Média","Baixa"))))</f>
        <v/>
      </c>
      <c r="O375" s="46" t="str">
        <f aca="false">IF($E375="","",IF(AND(Parâmetros!$C$5&gt;0,$P375&lt;&gt;"",$P375&gt;=Parâmetros!$C$5),"Sim","Não"))</f>
        <v/>
      </c>
      <c r="P375" s="45" t="str">
        <f aca="false">IF($E375="","",IF($G375="","",IF($G375="NOK",$F375,0)))</f>
        <v/>
      </c>
      <c r="Q375" s="46" t="str">
        <f aca="false">IF($E375="","",IF($O375&lt;&gt;"Sim","",COUNTIF($O$3:$O375,"Sim")))</f>
        <v/>
      </c>
      <c r="R375" s="47" t="n">
        <f aca="false">IF($P375="",0,$P375)</f>
        <v>0</v>
      </c>
    </row>
    <row r="376" customFormat="false" ht="18" hidden="false" customHeight="true" outlineLevel="0" collapsed="false">
      <c r="A376" s="39"/>
      <c r="B376" s="41"/>
      <c r="C376" s="40"/>
      <c r="D376" s="40"/>
      <c r="E376" s="40"/>
      <c r="F376" s="42"/>
      <c r="G376" s="39"/>
      <c r="H376" s="40"/>
      <c r="I376" s="40"/>
      <c r="J376" s="40"/>
      <c r="K376" s="41"/>
      <c r="L376" s="39"/>
      <c r="M376" s="48" t="str">
        <f aca="false">IF($E376="","",IFERROR(INDEX(Parâmetros!$C$15:$C$20,MATCH($P376,Parâmetros!$B$15:$B$20,0)),""))</f>
        <v/>
      </c>
      <c r="N376" s="46" t="str">
        <f aca="false">IF($E376="","",IF($P376="","",IF($P376&gt;=8,"Alta",IF($P376&gt;=5,"Média","Baixa"))))</f>
        <v/>
      </c>
      <c r="O376" s="46" t="str">
        <f aca="false">IF($E376="","",IF(AND(Parâmetros!$C$5&gt;0,$P376&lt;&gt;"",$P376&gt;=Parâmetros!$C$5),"Sim","Não"))</f>
        <v/>
      </c>
      <c r="P376" s="45" t="str">
        <f aca="false">IF($E376="","",IF($G376="","",IF($G376="NOK",$F376,0)))</f>
        <v/>
      </c>
      <c r="Q376" s="46" t="str">
        <f aca="false">IF($E376="","",IF($O376&lt;&gt;"Sim","",COUNTIF($O$3:$O376,"Sim")))</f>
        <v/>
      </c>
      <c r="R376" s="47" t="n">
        <f aca="false">IF($P376="",0,$P376)</f>
        <v>0</v>
      </c>
    </row>
    <row r="377" customFormat="false" ht="18" hidden="false" customHeight="true" outlineLevel="0" collapsed="false">
      <c r="A377" s="39"/>
      <c r="B377" s="41"/>
      <c r="C377" s="40"/>
      <c r="D377" s="40"/>
      <c r="E377" s="40"/>
      <c r="F377" s="42"/>
      <c r="G377" s="39"/>
      <c r="H377" s="40"/>
      <c r="I377" s="40"/>
      <c r="J377" s="40"/>
      <c r="K377" s="41"/>
      <c r="L377" s="39"/>
      <c r="M377" s="48" t="str">
        <f aca="false">IF($E377="","",IFERROR(INDEX(Parâmetros!$C$15:$C$20,MATCH($P377,Parâmetros!$B$15:$B$20,0)),""))</f>
        <v/>
      </c>
      <c r="N377" s="46" t="str">
        <f aca="false">IF($E377="","",IF($P377="","",IF($P377&gt;=8,"Alta",IF($P377&gt;=5,"Média","Baixa"))))</f>
        <v/>
      </c>
      <c r="O377" s="46" t="str">
        <f aca="false">IF($E377="","",IF(AND(Parâmetros!$C$5&gt;0,$P377&lt;&gt;"",$P377&gt;=Parâmetros!$C$5),"Sim","Não"))</f>
        <v/>
      </c>
      <c r="P377" s="45" t="str">
        <f aca="false">IF($E377="","",IF($G377="","",IF($G377="NOK",$F377,0)))</f>
        <v/>
      </c>
      <c r="Q377" s="46" t="str">
        <f aca="false">IF($E377="","",IF($O377&lt;&gt;"Sim","",COUNTIF($O$3:$O377,"Sim")))</f>
        <v/>
      </c>
      <c r="R377" s="47" t="n">
        <f aca="false">IF($P377="",0,$P377)</f>
        <v>0</v>
      </c>
    </row>
    <row r="378" customFormat="false" ht="18" hidden="false" customHeight="true" outlineLevel="0" collapsed="false">
      <c r="A378" s="39"/>
      <c r="B378" s="41"/>
      <c r="C378" s="40"/>
      <c r="D378" s="40"/>
      <c r="E378" s="40"/>
      <c r="F378" s="42"/>
      <c r="G378" s="39"/>
      <c r="H378" s="40"/>
      <c r="I378" s="40"/>
      <c r="J378" s="40"/>
      <c r="K378" s="41"/>
      <c r="L378" s="39"/>
      <c r="M378" s="48" t="str">
        <f aca="false">IF($E378="","",IFERROR(INDEX(Parâmetros!$C$15:$C$20,MATCH($P378,Parâmetros!$B$15:$B$20,0)),""))</f>
        <v/>
      </c>
      <c r="N378" s="46" t="str">
        <f aca="false">IF($E378="","",IF($P378="","",IF($P378&gt;=8,"Alta",IF($P378&gt;=5,"Média","Baixa"))))</f>
        <v/>
      </c>
      <c r="O378" s="46" t="str">
        <f aca="false">IF($E378="","",IF(AND(Parâmetros!$C$5&gt;0,$P378&lt;&gt;"",$P378&gt;=Parâmetros!$C$5),"Sim","Não"))</f>
        <v/>
      </c>
      <c r="P378" s="45" t="str">
        <f aca="false">IF($E378="","",IF($G378="","",IF($G378="NOK",$F378,0)))</f>
        <v/>
      </c>
      <c r="Q378" s="46" t="str">
        <f aca="false">IF($E378="","",IF($O378&lt;&gt;"Sim","",COUNTIF($O$3:$O378,"Sim")))</f>
        <v/>
      </c>
      <c r="R378" s="47" t="n">
        <f aca="false">IF($P378="",0,$P378)</f>
        <v>0</v>
      </c>
    </row>
    <row r="379" customFormat="false" ht="18" hidden="false" customHeight="true" outlineLevel="0" collapsed="false">
      <c r="A379" s="39"/>
      <c r="B379" s="41"/>
      <c r="C379" s="40"/>
      <c r="D379" s="40"/>
      <c r="E379" s="40"/>
      <c r="F379" s="42"/>
      <c r="G379" s="39"/>
      <c r="H379" s="40"/>
      <c r="I379" s="40"/>
      <c r="J379" s="40"/>
      <c r="K379" s="41"/>
      <c r="L379" s="39"/>
      <c r="M379" s="48" t="str">
        <f aca="false">IF($E379="","",IFERROR(INDEX(Parâmetros!$C$15:$C$20,MATCH($P379,Parâmetros!$B$15:$B$20,0)),""))</f>
        <v/>
      </c>
      <c r="N379" s="46" t="str">
        <f aca="false">IF($E379="","",IF($P379="","",IF($P379&gt;=8,"Alta",IF($P379&gt;=5,"Média","Baixa"))))</f>
        <v/>
      </c>
      <c r="O379" s="46" t="str">
        <f aca="false">IF($E379="","",IF(AND(Parâmetros!$C$5&gt;0,$P379&lt;&gt;"",$P379&gt;=Parâmetros!$C$5),"Sim","Não"))</f>
        <v/>
      </c>
      <c r="P379" s="45" t="str">
        <f aca="false">IF($E379="","",IF($G379="","",IF($G379="NOK",$F379,0)))</f>
        <v/>
      </c>
      <c r="Q379" s="46" t="str">
        <f aca="false">IF($E379="","",IF($O379&lt;&gt;"Sim","",COUNTIF($O$3:$O379,"Sim")))</f>
        <v/>
      </c>
      <c r="R379" s="47" t="n">
        <f aca="false">IF($P379="",0,$P379)</f>
        <v>0</v>
      </c>
    </row>
    <row r="380" customFormat="false" ht="18" hidden="false" customHeight="true" outlineLevel="0" collapsed="false">
      <c r="A380" s="39"/>
      <c r="B380" s="41"/>
      <c r="C380" s="40"/>
      <c r="D380" s="40"/>
      <c r="E380" s="40"/>
      <c r="F380" s="42"/>
      <c r="G380" s="39"/>
      <c r="H380" s="40"/>
      <c r="I380" s="40"/>
      <c r="J380" s="40"/>
      <c r="K380" s="41"/>
      <c r="L380" s="39"/>
      <c r="M380" s="48" t="str">
        <f aca="false">IF($E380="","",IFERROR(INDEX(Parâmetros!$C$15:$C$20,MATCH($P380,Parâmetros!$B$15:$B$20,0)),""))</f>
        <v/>
      </c>
      <c r="N380" s="46" t="str">
        <f aca="false">IF($E380="","",IF($P380="","",IF($P380&gt;=8,"Alta",IF($P380&gt;=5,"Média","Baixa"))))</f>
        <v/>
      </c>
      <c r="O380" s="46" t="str">
        <f aca="false">IF($E380="","",IF(AND(Parâmetros!$C$5&gt;0,$P380&lt;&gt;"",$P380&gt;=Parâmetros!$C$5),"Sim","Não"))</f>
        <v/>
      </c>
      <c r="P380" s="45" t="str">
        <f aca="false">IF($E380="","",IF($G380="","",IF($G380="NOK",$F380,0)))</f>
        <v/>
      </c>
      <c r="Q380" s="46" t="str">
        <f aca="false">IF($E380="","",IF($O380&lt;&gt;"Sim","",COUNTIF($O$3:$O380,"Sim")))</f>
        <v/>
      </c>
      <c r="R380" s="47" t="n">
        <f aca="false">IF($P380="",0,$P380)</f>
        <v>0</v>
      </c>
    </row>
    <row r="381" customFormat="false" ht="18" hidden="false" customHeight="true" outlineLevel="0" collapsed="false">
      <c r="A381" s="39"/>
      <c r="B381" s="41"/>
      <c r="C381" s="40"/>
      <c r="D381" s="40"/>
      <c r="E381" s="40"/>
      <c r="F381" s="42"/>
      <c r="G381" s="39"/>
      <c r="H381" s="40"/>
      <c r="I381" s="40"/>
      <c r="J381" s="40"/>
      <c r="K381" s="41"/>
      <c r="L381" s="39"/>
      <c r="M381" s="48" t="str">
        <f aca="false">IF($E381="","",IFERROR(INDEX(Parâmetros!$C$15:$C$20,MATCH($P381,Parâmetros!$B$15:$B$20,0)),""))</f>
        <v/>
      </c>
      <c r="N381" s="46" t="str">
        <f aca="false">IF($E381="","",IF($P381="","",IF($P381&gt;=8,"Alta",IF($P381&gt;=5,"Média","Baixa"))))</f>
        <v/>
      </c>
      <c r="O381" s="46" t="str">
        <f aca="false">IF($E381="","",IF(AND(Parâmetros!$C$5&gt;0,$P381&lt;&gt;"",$P381&gt;=Parâmetros!$C$5),"Sim","Não"))</f>
        <v/>
      </c>
      <c r="P381" s="45" t="str">
        <f aca="false">IF($E381="","",IF($G381="","",IF($G381="NOK",$F381,0)))</f>
        <v/>
      </c>
      <c r="Q381" s="46" t="str">
        <f aca="false">IF($E381="","",IF($O381&lt;&gt;"Sim","",COUNTIF($O$3:$O381,"Sim")))</f>
        <v/>
      </c>
      <c r="R381" s="47" t="n">
        <f aca="false">IF($P381="",0,$P381)</f>
        <v>0</v>
      </c>
    </row>
    <row r="382" customFormat="false" ht="18" hidden="false" customHeight="true" outlineLevel="0" collapsed="false">
      <c r="A382" s="39"/>
      <c r="B382" s="41"/>
      <c r="C382" s="40"/>
      <c r="D382" s="40"/>
      <c r="E382" s="40"/>
      <c r="F382" s="42"/>
      <c r="G382" s="39"/>
      <c r="H382" s="40"/>
      <c r="I382" s="40"/>
      <c r="J382" s="40"/>
      <c r="K382" s="41"/>
      <c r="L382" s="39"/>
      <c r="M382" s="48" t="str">
        <f aca="false">IF($E382="","",IFERROR(INDEX(Parâmetros!$C$15:$C$20,MATCH($P382,Parâmetros!$B$15:$B$20,0)),""))</f>
        <v/>
      </c>
      <c r="N382" s="46" t="str">
        <f aca="false">IF($E382="","",IF($P382="","",IF($P382&gt;=8,"Alta",IF($P382&gt;=5,"Média","Baixa"))))</f>
        <v/>
      </c>
      <c r="O382" s="46" t="str">
        <f aca="false">IF($E382="","",IF(AND(Parâmetros!$C$5&gt;0,$P382&lt;&gt;"",$P382&gt;=Parâmetros!$C$5),"Sim","Não"))</f>
        <v/>
      </c>
      <c r="P382" s="45" t="str">
        <f aca="false">IF($E382="","",IF($G382="","",IF($G382="NOK",$F382,0)))</f>
        <v/>
      </c>
      <c r="Q382" s="46" t="str">
        <f aca="false">IF($E382="","",IF($O382&lt;&gt;"Sim","",COUNTIF($O$3:$O382,"Sim")))</f>
        <v/>
      </c>
      <c r="R382" s="47" t="n">
        <f aca="false">IF($P382="",0,$P382)</f>
        <v>0</v>
      </c>
    </row>
    <row r="383" customFormat="false" ht="18" hidden="false" customHeight="true" outlineLevel="0" collapsed="false">
      <c r="A383" s="39"/>
      <c r="B383" s="41"/>
      <c r="C383" s="40"/>
      <c r="D383" s="40"/>
      <c r="E383" s="40"/>
      <c r="F383" s="42"/>
      <c r="G383" s="39"/>
      <c r="H383" s="40"/>
      <c r="I383" s="40"/>
      <c r="J383" s="40"/>
      <c r="K383" s="41"/>
      <c r="L383" s="39"/>
      <c r="M383" s="48" t="str">
        <f aca="false">IF($E383="","",IFERROR(INDEX(Parâmetros!$C$15:$C$20,MATCH($P383,Parâmetros!$B$15:$B$20,0)),""))</f>
        <v/>
      </c>
      <c r="N383" s="46" t="str">
        <f aca="false">IF($E383="","",IF($P383="","",IF($P383&gt;=8,"Alta",IF($P383&gt;=5,"Média","Baixa"))))</f>
        <v/>
      </c>
      <c r="O383" s="46" t="str">
        <f aca="false">IF($E383="","",IF(AND(Parâmetros!$C$5&gt;0,$P383&lt;&gt;"",$P383&gt;=Parâmetros!$C$5),"Sim","Não"))</f>
        <v/>
      </c>
      <c r="P383" s="45" t="str">
        <f aca="false">IF($E383="","",IF($G383="","",IF($G383="NOK",$F383,0)))</f>
        <v/>
      </c>
      <c r="Q383" s="46" t="str">
        <f aca="false">IF($E383="","",IF($O383&lt;&gt;"Sim","",COUNTIF($O$3:$O383,"Sim")))</f>
        <v/>
      </c>
      <c r="R383" s="47" t="n">
        <f aca="false">IF($P383="",0,$P383)</f>
        <v>0</v>
      </c>
    </row>
    <row r="384" customFormat="false" ht="18" hidden="false" customHeight="true" outlineLevel="0" collapsed="false">
      <c r="A384" s="39"/>
      <c r="B384" s="41"/>
      <c r="C384" s="40"/>
      <c r="D384" s="40"/>
      <c r="E384" s="40"/>
      <c r="F384" s="42"/>
      <c r="G384" s="39"/>
      <c r="H384" s="40"/>
      <c r="I384" s="40"/>
      <c r="J384" s="40"/>
      <c r="K384" s="41"/>
      <c r="L384" s="39"/>
      <c r="M384" s="48" t="str">
        <f aca="false">IF($E384="","",IFERROR(INDEX(Parâmetros!$C$15:$C$20,MATCH($P384,Parâmetros!$B$15:$B$20,0)),""))</f>
        <v/>
      </c>
      <c r="N384" s="46" t="str">
        <f aca="false">IF($E384="","",IF($P384="","",IF($P384&gt;=8,"Alta",IF($P384&gt;=5,"Média","Baixa"))))</f>
        <v/>
      </c>
      <c r="O384" s="46" t="str">
        <f aca="false">IF($E384="","",IF(AND(Parâmetros!$C$5&gt;0,$P384&lt;&gt;"",$P384&gt;=Parâmetros!$C$5),"Sim","Não"))</f>
        <v/>
      </c>
      <c r="P384" s="45" t="str">
        <f aca="false">IF($E384="","",IF($G384="","",IF($G384="NOK",$F384,0)))</f>
        <v/>
      </c>
      <c r="Q384" s="46" t="str">
        <f aca="false">IF($E384="","",IF($O384&lt;&gt;"Sim","",COUNTIF($O$3:$O384,"Sim")))</f>
        <v/>
      </c>
      <c r="R384" s="47" t="n">
        <f aca="false">IF($P384="",0,$P384)</f>
        <v>0</v>
      </c>
    </row>
    <row r="385" customFormat="false" ht="18" hidden="false" customHeight="true" outlineLevel="0" collapsed="false">
      <c r="A385" s="39"/>
      <c r="B385" s="41"/>
      <c r="C385" s="40"/>
      <c r="D385" s="40"/>
      <c r="E385" s="40"/>
      <c r="F385" s="42"/>
      <c r="G385" s="39"/>
      <c r="H385" s="40"/>
      <c r="I385" s="40"/>
      <c r="J385" s="40"/>
      <c r="K385" s="41"/>
      <c r="L385" s="39"/>
      <c r="M385" s="48" t="str">
        <f aca="false">IF($E385="","",IFERROR(INDEX(Parâmetros!$C$15:$C$20,MATCH($P385,Parâmetros!$B$15:$B$20,0)),""))</f>
        <v/>
      </c>
      <c r="N385" s="46" t="str">
        <f aca="false">IF($E385="","",IF($P385="","",IF($P385&gt;=8,"Alta",IF($P385&gt;=5,"Média","Baixa"))))</f>
        <v/>
      </c>
      <c r="O385" s="46" t="str">
        <f aca="false">IF($E385="","",IF(AND(Parâmetros!$C$5&gt;0,$P385&lt;&gt;"",$P385&gt;=Parâmetros!$C$5),"Sim","Não"))</f>
        <v/>
      </c>
      <c r="P385" s="45" t="str">
        <f aca="false">IF($E385="","",IF($G385="","",IF($G385="NOK",$F385,0)))</f>
        <v/>
      </c>
      <c r="Q385" s="46" t="str">
        <f aca="false">IF($E385="","",IF($O385&lt;&gt;"Sim","",COUNTIF($O$3:$O385,"Sim")))</f>
        <v/>
      </c>
      <c r="R385" s="47" t="n">
        <f aca="false">IF($P385="",0,$P385)</f>
        <v>0</v>
      </c>
    </row>
    <row r="386" customFormat="false" ht="18" hidden="false" customHeight="true" outlineLevel="0" collapsed="false">
      <c r="A386" s="39"/>
      <c r="B386" s="41"/>
      <c r="C386" s="40"/>
      <c r="D386" s="40"/>
      <c r="E386" s="40"/>
      <c r="F386" s="42"/>
      <c r="G386" s="39"/>
      <c r="H386" s="40"/>
      <c r="I386" s="40"/>
      <c r="J386" s="40"/>
      <c r="K386" s="41"/>
      <c r="L386" s="39"/>
      <c r="M386" s="48" t="str">
        <f aca="false">IF($E386="","",IFERROR(INDEX(Parâmetros!$C$15:$C$20,MATCH($P386,Parâmetros!$B$15:$B$20,0)),""))</f>
        <v/>
      </c>
      <c r="N386" s="46" t="str">
        <f aca="false">IF($E386="","",IF($P386="","",IF($P386&gt;=8,"Alta",IF($P386&gt;=5,"Média","Baixa"))))</f>
        <v/>
      </c>
      <c r="O386" s="46" t="str">
        <f aca="false">IF($E386="","",IF(AND(Parâmetros!$C$5&gt;0,$P386&lt;&gt;"",$P386&gt;=Parâmetros!$C$5),"Sim","Não"))</f>
        <v/>
      </c>
      <c r="P386" s="45" t="str">
        <f aca="false">IF($E386="","",IF($G386="","",IF($G386="NOK",$F386,0)))</f>
        <v/>
      </c>
      <c r="Q386" s="46" t="str">
        <f aca="false">IF($E386="","",IF($O386&lt;&gt;"Sim","",COUNTIF($O$3:$O386,"Sim")))</f>
        <v/>
      </c>
      <c r="R386" s="47" t="n">
        <f aca="false">IF($P386="",0,$P386)</f>
        <v>0</v>
      </c>
    </row>
    <row r="387" customFormat="false" ht="18" hidden="false" customHeight="true" outlineLevel="0" collapsed="false">
      <c r="A387" s="39"/>
      <c r="B387" s="41"/>
      <c r="C387" s="40"/>
      <c r="D387" s="40"/>
      <c r="E387" s="40"/>
      <c r="F387" s="42"/>
      <c r="G387" s="39"/>
      <c r="H387" s="40"/>
      <c r="I387" s="40"/>
      <c r="J387" s="40"/>
      <c r="K387" s="41"/>
      <c r="L387" s="39"/>
      <c r="M387" s="48" t="str">
        <f aca="false">IF($E387="","",IFERROR(INDEX(Parâmetros!$C$15:$C$20,MATCH($P387,Parâmetros!$B$15:$B$20,0)),""))</f>
        <v/>
      </c>
      <c r="N387" s="46" t="str">
        <f aca="false">IF($E387="","",IF($P387="","",IF($P387&gt;=8,"Alta",IF($P387&gt;=5,"Média","Baixa"))))</f>
        <v/>
      </c>
      <c r="O387" s="46" t="str">
        <f aca="false">IF($E387="","",IF(AND(Parâmetros!$C$5&gt;0,$P387&lt;&gt;"",$P387&gt;=Parâmetros!$C$5),"Sim","Não"))</f>
        <v/>
      </c>
      <c r="P387" s="45" t="str">
        <f aca="false">IF($E387="","",IF($G387="","",IF($G387="NOK",$F387,0)))</f>
        <v/>
      </c>
      <c r="Q387" s="46" t="str">
        <f aca="false">IF($E387="","",IF($O387&lt;&gt;"Sim","",COUNTIF($O$3:$O387,"Sim")))</f>
        <v/>
      </c>
      <c r="R387" s="47" t="n">
        <f aca="false">IF($P387="",0,$P387)</f>
        <v>0</v>
      </c>
    </row>
    <row r="388" customFormat="false" ht="18" hidden="false" customHeight="true" outlineLevel="0" collapsed="false">
      <c r="A388" s="39"/>
      <c r="B388" s="41"/>
      <c r="C388" s="40"/>
      <c r="D388" s="40"/>
      <c r="E388" s="40"/>
      <c r="F388" s="42"/>
      <c r="G388" s="39"/>
      <c r="H388" s="40"/>
      <c r="I388" s="40"/>
      <c r="J388" s="40"/>
      <c r="K388" s="41"/>
      <c r="L388" s="39"/>
      <c r="M388" s="48" t="str">
        <f aca="false">IF($E388="","",IFERROR(INDEX(Parâmetros!$C$15:$C$20,MATCH($P388,Parâmetros!$B$15:$B$20,0)),""))</f>
        <v/>
      </c>
      <c r="N388" s="46" t="str">
        <f aca="false">IF($E388="","",IF($P388="","",IF($P388&gt;=8,"Alta",IF($P388&gt;=5,"Média","Baixa"))))</f>
        <v/>
      </c>
      <c r="O388" s="46" t="str">
        <f aca="false">IF($E388="","",IF(AND(Parâmetros!$C$5&gt;0,$P388&lt;&gt;"",$P388&gt;=Parâmetros!$C$5),"Sim","Não"))</f>
        <v/>
      </c>
      <c r="P388" s="45" t="str">
        <f aca="false">IF($E388="","",IF($G388="","",IF($G388="NOK",$F388,0)))</f>
        <v/>
      </c>
      <c r="Q388" s="46" t="str">
        <f aca="false">IF($E388="","",IF($O388&lt;&gt;"Sim","",COUNTIF($O$3:$O388,"Sim")))</f>
        <v/>
      </c>
      <c r="R388" s="47" t="n">
        <f aca="false">IF($P388="",0,$P388)</f>
        <v>0</v>
      </c>
    </row>
    <row r="389" customFormat="false" ht="18" hidden="false" customHeight="true" outlineLevel="0" collapsed="false">
      <c r="A389" s="39"/>
      <c r="B389" s="41"/>
      <c r="C389" s="40"/>
      <c r="D389" s="40"/>
      <c r="E389" s="40"/>
      <c r="F389" s="42"/>
      <c r="G389" s="39"/>
      <c r="H389" s="40"/>
      <c r="I389" s="40"/>
      <c r="J389" s="40"/>
      <c r="K389" s="41"/>
      <c r="L389" s="39"/>
      <c r="M389" s="48" t="str">
        <f aca="false">IF($E389="","",IFERROR(INDEX(Parâmetros!$C$15:$C$20,MATCH($P389,Parâmetros!$B$15:$B$20,0)),""))</f>
        <v/>
      </c>
      <c r="N389" s="46" t="str">
        <f aca="false">IF($E389="","",IF($P389="","",IF($P389&gt;=8,"Alta",IF($P389&gt;=5,"Média","Baixa"))))</f>
        <v/>
      </c>
      <c r="O389" s="46" t="str">
        <f aca="false">IF($E389="","",IF(AND(Parâmetros!$C$5&gt;0,$P389&lt;&gt;"",$P389&gt;=Parâmetros!$C$5),"Sim","Não"))</f>
        <v/>
      </c>
      <c r="P389" s="45" t="str">
        <f aca="false">IF($E389="","",IF($G389="","",IF($G389="NOK",$F389,0)))</f>
        <v/>
      </c>
      <c r="Q389" s="46" t="str">
        <f aca="false">IF($E389="","",IF($O389&lt;&gt;"Sim","",COUNTIF($O$3:$O389,"Sim")))</f>
        <v/>
      </c>
      <c r="R389" s="47" t="n">
        <f aca="false">IF($P389="",0,$P389)</f>
        <v>0</v>
      </c>
    </row>
    <row r="390" customFormat="false" ht="18" hidden="false" customHeight="true" outlineLevel="0" collapsed="false">
      <c r="A390" s="39"/>
      <c r="B390" s="41"/>
      <c r="C390" s="40"/>
      <c r="D390" s="40"/>
      <c r="E390" s="40"/>
      <c r="F390" s="42"/>
      <c r="G390" s="39"/>
      <c r="H390" s="40"/>
      <c r="I390" s="40"/>
      <c r="J390" s="40"/>
      <c r="K390" s="41"/>
      <c r="L390" s="39"/>
      <c r="M390" s="48" t="str">
        <f aca="false">IF($E390="","",IFERROR(INDEX(Parâmetros!$C$15:$C$20,MATCH($P390,Parâmetros!$B$15:$B$20,0)),""))</f>
        <v/>
      </c>
      <c r="N390" s="46" t="str">
        <f aca="false">IF($E390="","",IF($P390="","",IF($P390&gt;=8,"Alta",IF($P390&gt;=5,"Média","Baixa"))))</f>
        <v/>
      </c>
      <c r="O390" s="46" t="str">
        <f aca="false">IF($E390="","",IF(AND(Parâmetros!$C$5&gt;0,$P390&lt;&gt;"",$P390&gt;=Parâmetros!$C$5),"Sim","Não"))</f>
        <v/>
      </c>
      <c r="P390" s="45" t="str">
        <f aca="false">IF($E390="","",IF($G390="","",IF($G390="NOK",$F390,0)))</f>
        <v/>
      </c>
      <c r="Q390" s="46" t="str">
        <f aca="false">IF($E390="","",IF($O390&lt;&gt;"Sim","",COUNTIF($O$3:$O390,"Sim")))</f>
        <v/>
      </c>
      <c r="R390" s="47" t="n">
        <f aca="false">IF($P390="",0,$P390)</f>
        <v>0</v>
      </c>
    </row>
    <row r="391" customFormat="false" ht="18" hidden="false" customHeight="true" outlineLevel="0" collapsed="false">
      <c r="A391" s="39"/>
      <c r="B391" s="41"/>
      <c r="C391" s="40"/>
      <c r="D391" s="40"/>
      <c r="E391" s="40"/>
      <c r="F391" s="42"/>
      <c r="G391" s="39"/>
      <c r="H391" s="40"/>
      <c r="I391" s="40"/>
      <c r="J391" s="40"/>
      <c r="K391" s="41"/>
      <c r="L391" s="39"/>
      <c r="M391" s="48" t="str">
        <f aca="false">IF($E391="","",IFERROR(INDEX(Parâmetros!$C$15:$C$20,MATCH($P391,Parâmetros!$B$15:$B$20,0)),""))</f>
        <v/>
      </c>
      <c r="N391" s="46" t="str">
        <f aca="false">IF($E391="","",IF($P391="","",IF($P391&gt;=8,"Alta",IF($P391&gt;=5,"Média","Baixa"))))</f>
        <v/>
      </c>
      <c r="O391" s="46" t="str">
        <f aca="false">IF($E391="","",IF(AND(Parâmetros!$C$5&gt;0,$P391&lt;&gt;"",$P391&gt;=Parâmetros!$C$5),"Sim","Não"))</f>
        <v/>
      </c>
      <c r="P391" s="45" t="str">
        <f aca="false">IF($E391="","",IF($G391="","",IF($G391="NOK",$F391,0)))</f>
        <v/>
      </c>
      <c r="Q391" s="46" t="str">
        <f aca="false">IF($E391="","",IF($O391&lt;&gt;"Sim","",COUNTIF($O$3:$O391,"Sim")))</f>
        <v/>
      </c>
      <c r="R391" s="47" t="n">
        <f aca="false">IF($P391="",0,$P391)</f>
        <v>0</v>
      </c>
    </row>
    <row r="392" customFormat="false" ht="18" hidden="false" customHeight="true" outlineLevel="0" collapsed="false">
      <c r="A392" s="39"/>
      <c r="B392" s="41"/>
      <c r="C392" s="40"/>
      <c r="D392" s="40"/>
      <c r="E392" s="40"/>
      <c r="F392" s="42"/>
      <c r="G392" s="39"/>
      <c r="H392" s="40"/>
      <c r="I392" s="40"/>
      <c r="J392" s="40"/>
      <c r="K392" s="41"/>
      <c r="L392" s="39"/>
      <c r="M392" s="48" t="str">
        <f aca="false">IF($E392="","",IFERROR(INDEX(Parâmetros!$C$15:$C$20,MATCH($P392,Parâmetros!$B$15:$B$20,0)),""))</f>
        <v/>
      </c>
      <c r="N392" s="46" t="str">
        <f aca="false">IF($E392="","",IF($P392="","",IF($P392&gt;=8,"Alta",IF($P392&gt;=5,"Média","Baixa"))))</f>
        <v/>
      </c>
      <c r="O392" s="46" t="str">
        <f aca="false">IF($E392="","",IF(AND(Parâmetros!$C$5&gt;0,$P392&lt;&gt;"",$P392&gt;=Parâmetros!$C$5),"Sim","Não"))</f>
        <v/>
      </c>
      <c r="P392" s="45" t="str">
        <f aca="false">IF($E392="","",IF($G392="","",IF($G392="NOK",$F392,0)))</f>
        <v/>
      </c>
      <c r="Q392" s="46" t="str">
        <f aca="false">IF($E392="","",IF($O392&lt;&gt;"Sim","",COUNTIF($O$3:$O392,"Sim")))</f>
        <v/>
      </c>
      <c r="R392" s="47" t="n">
        <f aca="false">IF($P392="",0,$P392)</f>
        <v>0</v>
      </c>
    </row>
    <row r="393" customFormat="false" ht="18" hidden="false" customHeight="true" outlineLevel="0" collapsed="false">
      <c r="A393" s="39"/>
      <c r="B393" s="41"/>
      <c r="C393" s="40"/>
      <c r="D393" s="40"/>
      <c r="E393" s="40"/>
      <c r="F393" s="42"/>
      <c r="G393" s="39"/>
      <c r="H393" s="40"/>
      <c r="I393" s="40"/>
      <c r="J393" s="40"/>
      <c r="K393" s="41"/>
      <c r="L393" s="39"/>
      <c r="M393" s="48" t="str">
        <f aca="false">IF($E393="","",IFERROR(INDEX(Parâmetros!$C$15:$C$20,MATCH($P393,Parâmetros!$B$15:$B$20,0)),""))</f>
        <v/>
      </c>
      <c r="N393" s="46" t="str">
        <f aca="false">IF($E393="","",IF($P393="","",IF($P393&gt;=8,"Alta",IF($P393&gt;=5,"Média","Baixa"))))</f>
        <v/>
      </c>
      <c r="O393" s="46" t="str">
        <f aca="false">IF($E393="","",IF(AND(Parâmetros!$C$5&gt;0,$P393&lt;&gt;"",$P393&gt;=Parâmetros!$C$5),"Sim","Não"))</f>
        <v/>
      </c>
      <c r="P393" s="45" t="str">
        <f aca="false">IF($E393="","",IF($G393="","",IF($G393="NOK",$F393,0)))</f>
        <v/>
      </c>
      <c r="Q393" s="46" t="str">
        <f aca="false">IF($E393="","",IF($O393&lt;&gt;"Sim","",COUNTIF($O$3:$O393,"Sim")))</f>
        <v/>
      </c>
      <c r="R393" s="47" t="n">
        <f aca="false">IF($P393="",0,$P393)</f>
        <v>0</v>
      </c>
    </row>
    <row r="394" customFormat="false" ht="18" hidden="false" customHeight="true" outlineLevel="0" collapsed="false">
      <c r="A394" s="39"/>
      <c r="B394" s="41"/>
      <c r="C394" s="40"/>
      <c r="D394" s="40"/>
      <c r="E394" s="40"/>
      <c r="F394" s="42"/>
      <c r="G394" s="39"/>
      <c r="H394" s="40"/>
      <c r="I394" s="40"/>
      <c r="J394" s="40"/>
      <c r="K394" s="41"/>
      <c r="L394" s="39"/>
      <c r="M394" s="48" t="str">
        <f aca="false">IF($E394="","",IFERROR(INDEX(Parâmetros!$C$15:$C$20,MATCH($P394,Parâmetros!$B$15:$B$20,0)),""))</f>
        <v/>
      </c>
      <c r="N394" s="46" t="str">
        <f aca="false">IF($E394="","",IF($P394="","",IF($P394&gt;=8,"Alta",IF($P394&gt;=5,"Média","Baixa"))))</f>
        <v/>
      </c>
      <c r="O394" s="46" t="str">
        <f aca="false">IF($E394="","",IF(AND(Parâmetros!$C$5&gt;0,$P394&lt;&gt;"",$P394&gt;=Parâmetros!$C$5),"Sim","Não"))</f>
        <v/>
      </c>
      <c r="P394" s="45" t="str">
        <f aca="false">IF($E394="","",IF($G394="","",IF($G394="NOK",$F394,0)))</f>
        <v/>
      </c>
      <c r="Q394" s="46" t="str">
        <f aca="false">IF($E394="","",IF($O394&lt;&gt;"Sim","",COUNTIF($O$3:$O394,"Sim")))</f>
        <v/>
      </c>
      <c r="R394" s="47" t="n">
        <f aca="false">IF($P394="",0,$P394)</f>
        <v>0</v>
      </c>
    </row>
    <row r="395" customFormat="false" ht="18" hidden="false" customHeight="true" outlineLevel="0" collapsed="false">
      <c r="A395" s="39"/>
      <c r="B395" s="41"/>
      <c r="C395" s="40"/>
      <c r="D395" s="40"/>
      <c r="E395" s="40"/>
      <c r="F395" s="42"/>
      <c r="G395" s="39"/>
      <c r="H395" s="40"/>
      <c r="I395" s="40"/>
      <c r="J395" s="40"/>
      <c r="K395" s="41"/>
      <c r="L395" s="39"/>
      <c r="M395" s="48" t="str">
        <f aca="false">IF($E395="","",IFERROR(INDEX(Parâmetros!$C$15:$C$20,MATCH($P395,Parâmetros!$B$15:$B$20,0)),""))</f>
        <v/>
      </c>
      <c r="N395" s="46" t="str">
        <f aca="false">IF($E395="","",IF($P395="","",IF($P395&gt;=8,"Alta",IF($P395&gt;=5,"Média","Baixa"))))</f>
        <v/>
      </c>
      <c r="O395" s="46" t="str">
        <f aca="false">IF($E395="","",IF(AND(Parâmetros!$C$5&gt;0,$P395&lt;&gt;"",$P395&gt;=Parâmetros!$C$5),"Sim","Não"))</f>
        <v/>
      </c>
      <c r="P395" s="45" t="str">
        <f aca="false">IF($E395="","",IF($G395="","",IF($G395="NOK",$F395,0)))</f>
        <v/>
      </c>
      <c r="Q395" s="46" t="str">
        <f aca="false">IF($E395="","",IF($O395&lt;&gt;"Sim","",COUNTIF($O$3:$O395,"Sim")))</f>
        <v/>
      </c>
      <c r="R395" s="47" t="n">
        <f aca="false">IF($P395="",0,$P395)</f>
        <v>0</v>
      </c>
    </row>
    <row r="396" customFormat="false" ht="18" hidden="false" customHeight="true" outlineLevel="0" collapsed="false">
      <c r="A396" s="39"/>
      <c r="B396" s="41"/>
      <c r="C396" s="40"/>
      <c r="D396" s="40"/>
      <c r="E396" s="40"/>
      <c r="F396" s="42"/>
      <c r="G396" s="39"/>
      <c r="H396" s="40"/>
      <c r="I396" s="40"/>
      <c r="J396" s="40"/>
      <c r="K396" s="41"/>
      <c r="L396" s="39"/>
      <c r="M396" s="48" t="str">
        <f aca="false">IF($E396="","",IFERROR(INDEX(Parâmetros!$C$15:$C$20,MATCH($P396,Parâmetros!$B$15:$B$20,0)),""))</f>
        <v/>
      </c>
      <c r="N396" s="46" t="str">
        <f aca="false">IF($E396="","",IF($P396="","",IF($P396&gt;=8,"Alta",IF($P396&gt;=5,"Média","Baixa"))))</f>
        <v/>
      </c>
      <c r="O396" s="46" t="str">
        <f aca="false">IF($E396="","",IF(AND(Parâmetros!$C$5&gt;0,$P396&lt;&gt;"",$P396&gt;=Parâmetros!$C$5),"Sim","Não"))</f>
        <v/>
      </c>
      <c r="P396" s="45" t="str">
        <f aca="false">IF($E396="","",IF($G396="","",IF($G396="NOK",$F396,0)))</f>
        <v/>
      </c>
      <c r="Q396" s="46" t="str">
        <f aca="false">IF($E396="","",IF($O396&lt;&gt;"Sim","",COUNTIF($O$3:$O396,"Sim")))</f>
        <v/>
      </c>
      <c r="R396" s="47" t="n">
        <f aca="false">IF($P396="",0,$P396)</f>
        <v>0</v>
      </c>
    </row>
    <row r="397" customFormat="false" ht="18" hidden="false" customHeight="true" outlineLevel="0" collapsed="false">
      <c r="A397" s="39"/>
      <c r="B397" s="41"/>
      <c r="C397" s="40"/>
      <c r="D397" s="40"/>
      <c r="E397" s="40"/>
      <c r="F397" s="42"/>
      <c r="G397" s="39"/>
      <c r="H397" s="40"/>
      <c r="I397" s="40"/>
      <c r="J397" s="40"/>
      <c r="K397" s="41"/>
      <c r="L397" s="39"/>
      <c r="M397" s="48" t="str">
        <f aca="false">IF($E397="","",IFERROR(INDEX(Parâmetros!$C$15:$C$20,MATCH($P397,Parâmetros!$B$15:$B$20,0)),""))</f>
        <v/>
      </c>
      <c r="N397" s="46" t="str">
        <f aca="false">IF($E397="","",IF($P397="","",IF($P397&gt;=8,"Alta",IF($P397&gt;=5,"Média","Baixa"))))</f>
        <v/>
      </c>
      <c r="O397" s="46" t="str">
        <f aca="false">IF($E397="","",IF(AND(Parâmetros!$C$5&gt;0,$P397&lt;&gt;"",$P397&gt;=Parâmetros!$C$5),"Sim","Não"))</f>
        <v/>
      </c>
      <c r="P397" s="45" t="str">
        <f aca="false">IF($E397="","",IF($G397="","",IF($G397="NOK",$F397,0)))</f>
        <v/>
      </c>
      <c r="Q397" s="46" t="str">
        <f aca="false">IF($E397="","",IF($O397&lt;&gt;"Sim","",COUNTIF($O$3:$O397,"Sim")))</f>
        <v/>
      </c>
      <c r="R397" s="47" t="n">
        <f aca="false">IF($P397="",0,$P397)</f>
        <v>0</v>
      </c>
    </row>
    <row r="398" customFormat="false" ht="18" hidden="false" customHeight="true" outlineLevel="0" collapsed="false">
      <c r="A398" s="39"/>
      <c r="B398" s="41"/>
      <c r="C398" s="40"/>
      <c r="D398" s="40"/>
      <c r="E398" s="40"/>
      <c r="F398" s="42"/>
      <c r="G398" s="39"/>
      <c r="H398" s="40"/>
      <c r="I398" s="40"/>
      <c r="J398" s="40"/>
      <c r="K398" s="41"/>
      <c r="L398" s="39"/>
      <c r="M398" s="48" t="str">
        <f aca="false">IF($E398="","",IFERROR(INDEX(Parâmetros!$C$15:$C$20,MATCH($P398,Parâmetros!$B$15:$B$20,0)),""))</f>
        <v/>
      </c>
      <c r="N398" s="46" t="str">
        <f aca="false">IF($E398="","",IF($P398="","",IF($P398&gt;=8,"Alta",IF($P398&gt;=5,"Média","Baixa"))))</f>
        <v/>
      </c>
      <c r="O398" s="46" t="str">
        <f aca="false">IF($E398="","",IF(AND(Parâmetros!$C$5&gt;0,$P398&lt;&gt;"",$P398&gt;=Parâmetros!$C$5),"Sim","Não"))</f>
        <v/>
      </c>
      <c r="P398" s="45" t="str">
        <f aca="false">IF($E398="","",IF($G398="","",IF($G398="NOK",$F398,0)))</f>
        <v/>
      </c>
      <c r="Q398" s="46" t="str">
        <f aca="false">IF($E398="","",IF($O398&lt;&gt;"Sim","",COUNTIF($O$3:$O398,"Sim")))</f>
        <v/>
      </c>
      <c r="R398" s="47" t="n">
        <f aca="false">IF($P398="",0,$P398)</f>
        <v>0</v>
      </c>
    </row>
    <row r="399" customFormat="false" ht="18" hidden="false" customHeight="true" outlineLevel="0" collapsed="false">
      <c r="A399" s="39"/>
      <c r="B399" s="41"/>
      <c r="C399" s="40"/>
      <c r="D399" s="40"/>
      <c r="E399" s="40"/>
      <c r="F399" s="42"/>
      <c r="G399" s="39"/>
      <c r="H399" s="40"/>
      <c r="I399" s="40"/>
      <c r="J399" s="40"/>
      <c r="K399" s="41"/>
      <c r="L399" s="39"/>
      <c r="M399" s="48" t="str">
        <f aca="false">IF($E399="","",IFERROR(INDEX(Parâmetros!$C$15:$C$20,MATCH($P399,Parâmetros!$B$15:$B$20,0)),""))</f>
        <v/>
      </c>
      <c r="N399" s="46" t="str">
        <f aca="false">IF($E399="","",IF($P399="","",IF($P399&gt;=8,"Alta",IF($P399&gt;=5,"Média","Baixa"))))</f>
        <v/>
      </c>
      <c r="O399" s="46" t="str">
        <f aca="false">IF($E399="","",IF(AND(Parâmetros!$C$5&gt;0,$P399&lt;&gt;"",$P399&gt;=Parâmetros!$C$5),"Sim","Não"))</f>
        <v/>
      </c>
      <c r="P399" s="45" t="str">
        <f aca="false">IF($E399="","",IF($G399="","",IF($G399="NOK",$F399,0)))</f>
        <v/>
      </c>
      <c r="Q399" s="46" t="str">
        <f aca="false">IF($E399="","",IF($O399&lt;&gt;"Sim","",COUNTIF($O$3:$O399,"Sim")))</f>
        <v/>
      </c>
      <c r="R399" s="47" t="n">
        <f aca="false">IF($P399="",0,$P399)</f>
        <v>0</v>
      </c>
    </row>
    <row r="400" customFormat="false" ht="18" hidden="false" customHeight="true" outlineLevel="0" collapsed="false">
      <c r="A400" s="39"/>
      <c r="B400" s="41"/>
      <c r="C400" s="40"/>
      <c r="D400" s="40"/>
      <c r="E400" s="40"/>
      <c r="F400" s="42"/>
      <c r="G400" s="39"/>
      <c r="H400" s="40"/>
      <c r="I400" s="40"/>
      <c r="J400" s="40"/>
      <c r="K400" s="41"/>
      <c r="L400" s="39"/>
      <c r="M400" s="48" t="str">
        <f aca="false">IF($E400="","",IFERROR(INDEX(Parâmetros!$C$15:$C$20,MATCH($P400,Parâmetros!$B$15:$B$20,0)),""))</f>
        <v/>
      </c>
      <c r="N400" s="46" t="str">
        <f aca="false">IF($E400="","",IF($P400="","",IF($P400&gt;=8,"Alta",IF($P400&gt;=5,"Média","Baixa"))))</f>
        <v/>
      </c>
      <c r="O400" s="46" t="str">
        <f aca="false">IF($E400="","",IF(AND(Parâmetros!$C$5&gt;0,$P400&lt;&gt;"",$P400&gt;=Parâmetros!$C$5),"Sim","Não"))</f>
        <v/>
      </c>
      <c r="P400" s="45" t="str">
        <f aca="false">IF($E400="","",IF($G400="","",IF($G400="NOK",$F400,0)))</f>
        <v/>
      </c>
      <c r="Q400" s="46" t="str">
        <f aca="false">IF($E400="","",IF($O400&lt;&gt;"Sim","",COUNTIF($O$3:$O400,"Sim")))</f>
        <v/>
      </c>
      <c r="R400" s="47" t="n">
        <f aca="false">IF($P400="",0,$P400)</f>
        <v>0</v>
      </c>
    </row>
    <row r="401" customFormat="false" ht="18" hidden="false" customHeight="true" outlineLevel="0" collapsed="false">
      <c r="A401" s="39"/>
      <c r="B401" s="41"/>
      <c r="C401" s="40"/>
      <c r="D401" s="40"/>
      <c r="E401" s="40"/>
      <c r="F401" s="42"/>
      <c r="G401" s="39"/>
      <c r="H401" s="40"/>
      <c r="I401" s="40"/>
      <c r="J401" s="40"/>
      <c r="K401" s="41"/>
      <c r="L401" s="39"/>
      <c r="M401" s="48" t="str">
        <f aca="false">IF($E401="","",IFERROR(INDEX(Parâmetros!$C$15:$C$20,MATCH($P401,Parâmetros!$B$15:$B$20,0)),""))</f>
        <v/>
      </c>
      <c r="N401" s="46" t="str">
        <f aca="false">IF($E401="","",IF($P401="","",IF($P401&gt;=8,"Alta",IF($P401&gt;=5,"Média","Baixa"))))</f>
        <v/>
      </c>
      <c r="O401" s="46" t="str">
        <f aca="false">IF($E401="","",IF(AND(Parâmetros!$C$5&gt;0,$P401&lt;&gt;"",$P401&gt;=Parâmetros!$C$5),"Sim","Não"))</f>
        <v/>
      </c>
      <c r="P401" s="45" t="str">
        <f aca="false">IF($E401="","",IF($G401="","",IF($G401="NOK",$F401,0)))</f>
        <v/>
      </c>
      <c r="Q401" s="46" t="str">
        <f aca="false">IF($E401="","",IF($O401&lt;&gt;"Sim","",COUNTIF($O$3:$O401,"Sim")))</f>
        <v/>
      </c>
      <c r="R401" s="47" t="n">
        <f aca="false">IF($P401="",0,$P401)</f>
        <v>0</v>
      </c>
    </row>
    <row r="402" customFormat="false" ht="18" hidden="false" customHeight="true" outlineLevel="0" collapsed="false">
      <c r="A402" s="39"/>
      <c r="B402" s="41"/>
      <c r="C402" s="40"/>
      <c r="D402" s="40"/>
      <c r="E402" s="40"/>
      <c r="F402" s="42"/>
      <c r="G402" s="39"/>
      <c r="H402" s="40"/>
      <c r="I402" s="40"/>
      <c r="J402" s="40"/>
      <c r="K402" s="41"/>
      <c r="L402" s="39"/>
      <c r="M402" s="48" t="str">
        <f aca="false">IF($E402="","",IFERROR(INDEX(Parâmetros!$C$15:$C$20,MATCH($P402,Parâmetros!$B$15:$B$20,0)),""))</f>
        <v/>
      </c>
      <c r="N402" s="46" t="str">
        <f aca="false">IF($E402="","",IF($P402="","",IF($P402&gt;=8,"Alta",IF($P402&gt;=5,"Média","Baixa"))))</f>
        <v/>
      </c>
      <c r="O402" s="46" t="str">
        <f aca="false">IF($E402="","",IF(AND(Parâmetros!$C$5&gt;0,$P402&lt;&gt;"",$P402&gt;=Parâmetros!$C$5),"Sim","Não"))</f>
        <v/>
      </c>
      <c r="P402" s="45" t="str">
        <f aca="false">IF($E402="","",IF($G402="","",IF($G402="NOK",$F402,0)))</f>
        <v/>
      </c>
      <c r="Q402" s="46" t="str">
        <f aca="false">IF($E402="","",IF($O402&lt;&gt;"Sim","",COUNTIF($O$3:$O402,"Sim")))</f>
        <v/>
      </c>
      <c r="R402" s="47" t="n">
        <f aca="false">IF($P402="",0,$P402)</f>
        <v>0</v>
      </c>
    </row>
    <row r="403" customFormat="false" ht="18" hidden="false" customHeight="true" outlineLevel="0" collapsed="false">
      <c r="A403" s="39"/>
      <c r="B403" s="41"/>
      <c r="C403" s="40"/>
      <c r="D403" s="40"/>
      <c r="E403" s="40"/>
      <c r="F403" s="42"/>
      <c r="G403" s="39"/>
      <c r="H403" s="40"/>
      <c r="I403" s="40"/>
      <c r="J403" s="40"/>
      <c r="K403" s="41"/>
      <c r="L403" s="39"/>
      <c r="M403" s="48" t="str">
        <f aca="false">IF($E403="","",IFERROR(INDEX(Parâmetros!$C$15:$C$20,MATCH($P403,Parâmetros!$B$15:$B$20,0)),""))</f>
        <v/>
      </c>
      <c r="N403" s="46" t="str">
        <f aca="false">IF($E403="","",IF($P403="","",IF($P403&gt;=8,"Alta",IF($P403&gt;=5,"Média","Baixa"))))</f>
        <v/>
      </c>
      <c r="O403" s="46" t="str">
        <f aca="false">IF($E403="","",IF(AND(Parâmetros!$C$5&gt;0,$P403&lt;&gt;"",$P403&gt;=Parâmetros!$C$5),"Sim","Não"))</f>
        <v/>
      </c>
      <c r="P403" s="45" t="str">
        <f aca="false">IF($E403="","",IF($G403="","",IF($G403="NOK",$F403,0)))</f>
        <v/>
      </c>
      <c r="Q403" s="46" t="str">
        <f aca="false">IF($E403="","",IF($O403&lt;&gt;"Sim","",COUNTIF($O$3:$O403,"Sim")))</f>
        <v/>
      </c>
      <c r="R403" s="47" t="n">
        <f aca="false">IF($P403="",0,$P403)</f>
        <v>0</v>
      </c>
    </row>
    <row r="404" customFormat="false" ht="18" hidden="false" customHeight="true" outlineLevel="0" collapsed="false">
      <c r="A404" s="39"/>
      <c r="B404" s="41"/>
      <c r="C404" s="40"/>
      <c r="D404" s="40"/>
      <c r="E404" s="40"/>
      <c r="F404" s="42"/>
      <c r="G404" s="39"/>
      <c r="H404" s="40"/>
      <c r="I404" s="40"/>
      <c r="J404" s="40"/>
      <c r="K404" s="41"/>
      <c r="L404" s="39"/>
      <c r="M404" s="48" t="str">
        <f aca="false">IF($E404="","",IFERROR(INDEX(Parâmetros!$C$15:$C$20,MATCH($P404,Parâmetros!$B$15:$B$20,0)),""))</f>
        <v/>
      </c>
      <c r="N404" s="46" t="str">
        <f aca="false">IF($E404="","",IF($P404="","",IF($P404&gt;=8,"Alta",IF($P404&gt;=5,"Média","Baixa"))))</f>
        <v/>
      </c>
      <c r="O404" s="46" t="str">
        <f aca="false">IF($E404="","",IF(AND(Parâmetros!$C$5&gt;0,$P404&lt;&gt;"",$P404&gt;=Parâmetros!$C$5),"Sim","Não"))</f>
        <v/>
      </c>
      <c r="P404" s="45" t="str">
        <f aca="false">IF($E404="","",IF($G404="","",IF($G404="NOK",$F404,0)))</f>
        <v/>
      </c>
      <c r="Q404" s="46" t="str">
        <f aca="false">IF($E404="","",IF($O404&lt;&gt;"Sim","",COUNTIF($O$3:$O404,"Sim")))</f>
        <v/>
      </c>
      <c r="R404" s="47" t="n">
        <f aca="false">IF($P404="",0,$P404)</f>
        <v>0</v>
      </c>
    </row>
    <row r="405" customFormat="false" ht="18" hidden="false" customHeight="true" outlineLevel="0" collapsed="false">
      <c r="A405" s="39"/>
      <c r="B405" s="41"/>
      <c r="C405" s="40"/>
      <c r="D405" s="40"/>
      <c r="E405" s="40"/>
      <c r="F405" s="42"/>
      <c r="G405" s="39"/>
      <c r="H405" s="40"/>
      <c r="I405" s="40"/>
      <c r="J405" s="40"/>
      <c r="K405" s="41"/>
      <c r="L405" s="39"/>
      <c r="M405" s="48" t="str">
        <f aca="false">IF($E405="","",IFERROR(INDEX(Parâmetros!$C$15:$C$20,MATCH($P405,Parâmetros!$B$15:$B$20,0)),""))</f>
        <v/>
      </c>
      <c r="N405" s="46" t="str">
        <f aca="false">IF($E405="","",IF($P405="","",IF($P405&gt;=8,"Alta",IF($P405&gt;=5,"Média","Baixa"))))</f>
        <v/>
      </c>
      <c r="O405" s="46" t="str">
        <f aca="false">IF($E405="","",IF(AND(Parâmetros!$C$5&gt;0,$P405&lt;&gt;"",$P405&gt;=Parâmetros!$C$5),"Sim","Não"))</f>
        <v/>
      </c>
      <c r="P405" s="45" t="str">
        <f aca="false">IF($E405="","",IF($G405="","",IF($G405="NOK",$F405,0)))</f>
        <v/>
      </c>
      <c r="Q405" s="46" t="str">
        <f aca="false">IF($E405="","",IF($O405&lt;&gt;"Sim","",COUNTIF($O$3:$O405,"Sim")))</f>
        <v/>
      </c>
      <c r="R405" s="47" t="n">
        <f aca="false">IF($P405="",0,$P405)</f>
        <v>0</v>
      </c>
    </row>
    <row r="406" customFormat="false" ht="18" hidden="false" customHeight="true" outlineLevel="0" collapsed="false">
      <c r="A406" s="39"/>
      <c r="B406" s="41"/>
      <c r="C406" s="40"/>
      <c r="D406" s="40"/>
      <c r="E406" s="40"/>
      <c r="F406" s="42"/>
      <c r="G406" s="39"/>
      <c r="H406" s="40"/>
      <c r="I406" s="40"/>
      <c r="J406" s="40"/>
      <c r="K406" s="41"/>
      <c r="L406" s="39"/>
      <c r="M406" s="48" t="str">
        <f aca="false">IF($E406="","",IFERROR(INDEX(Parâmetros!$C$15:$C$20,MATCH($P406,Parâmetros!$B$15:$B$20,0)),""))</f>
        <v/>
      </c>
      <c r="N406" s="46" t="str">
        <f aca="false">IF($E406="","",IF($P406="","",IF($P406&gt;=8,"Alta",IF($P406&gt;=5,"Média","Baixa"))))</f>
        <v/>
      </c>
      <c r="O406" s="46" t="str">
        <f aca="false">IF($E406="","",IF(AND(Parâmetros!$C$5&gt;0,$P406&lt;&gt;"",$P406&gt;=Parâmetros!$C$5),"Sim","Não"))</f>
        <v/>
      </c>
      <c r="P406" s="45" t="str">
        <f aca="false">IF($E406="","",IF($G406="","",IF($G406="NOK",$F406,0)))</f>
        <v/>
      </c>
      <c r="Q406" s="46" t="str">
        <f aca="false">IF($E406="","",IF($O406&lt;&gt;"Sim","",COUNTIF($O$3:$O406,"Sim")))</f>
        <v/>
      </c>
      <c r="R406" s="47" t="n">
        <f aca="false">IF($P406="",0,$P406)</f>
        <v>0</v>
      </c>
    </row>
    <row r="407" customFormat="false" ht="18" hidden="false" customHeight="true" outlineLevel="0" collapsed="false">
      <c r="A407" s="39"/>
      <c r="B407" s="41"/>
      <c r="C407" s="40"/>
      <c r="D407" s="40"/>
      <c r="E407" s="40"/>
      <c r="F407" s="42"/>
      <c r="G407" s="39"/>
      <c r="H407" s="40"/>
      <c r="I407" s="40"/>
      <c r="J407" s="40"/>
      <c r="K407" s="41"/>
      <c r="L407" s="39"/>
      <c r="M407" s="48" t="str">
        <f aca="false">IF($E407="","",IFERROR(INDEX(Parâmetros!$C$15:$C$20,MATCH($P407,Parâmetros!$B$15:$B$20,0)),""))</f>
        <v/>
      </c>
      <c r="N407" s="46" t="str">
        <f aca="false">IF($E407="","",IF($P407="","",IF($P407&gt;=8,"Alta",IF($P407&gt;=5,"Média","Baixa"))))</f>
        <v/>
      </c>
      <c r="O407" s="46" t="str">
        <f aca="false">IF($E407="","",IF(AND(Parâmetros!$C$5&gt;0,$P407&lt;&gt;"",$P407&gt;=Parâmetros!$C$5),"Sim","Não"))</f>
        <v/>
      </c>
      <c r="P407" s="45" t="str">
        <f aca="false">IF($E407="","",IF($G407="","",IF($G407="NOK",$F407,0)))</f>
        <v/>
      </c>
      <c r="Q407" s="46" t="str">
        <f aca="false">IF($E407="","",IF($O407&lt;&gt;"Sim","",COUNTIF($O$3:$O407,"Sim")))</f>
        <v/>
      </c>
      <c r="R407" s="47" t="n">
        <f aca="false">IF($P407="",0,$P407)</f>
        <v>0</v>
      </c>
    </row>
    <row r="408" customFormat="false" ht="18" hidden="false" customHeight="true" outlineLevel="0" collapsed="false">
      <c r="A408" s="39"/>
      <c r="B408" s="41"/>
      <c r="C408" s="40"/>
      <c r="D408" s="40"/>
      <c r="E408" s="40"/>
      <c r="F408" s="42"/>
      <c r="G408" s="39"/>
      <c r="H408" s="40"/>
      <c r="I408" s="40"/>
      <c r="J408" s="40"/>
      <c r="K408" s="41"/>
      <c r="L408" s="39"/>
      <c r="M408" s="48" t="str">
        <f aca="false">IF($E408="","",IFERROR(INDEX(Parâmetros!$C$15:$C$20,MATCH($P408,Parâmetros!$B$15:$B$20,0)),""))</f>
        <v/>
      </c>
      <c r="N408" s="46" t="str">
        <f aca="false">IF($E408="","",IF($P408="","",IF($P408&gt;=8,"Alta",IF($P408&gt;=5,"Média","Baixa"))))</f>
        <v/>
      </c>
      <c r="O408" s="46" t="str">
        <f aca="false">IF($E408="","",IF(AND(Parâmetros!$C$5&gt;0,$P408&lt;&gt;"",$P408&gt;=Parâmetros!$C$5),"Sim","Não"))</f>
        <v/>
      </c>
      <c r="P408" s="45" t="str">
        <f aca="false">IF($E408="","",IF($G408="","",IF($G408="NOK",$F408,0)))</f>
        <v/>
      </c>
      <c r="Q408" s="46" t="str">
        <f aca="false">IF($E408="","",IF($O408&lt;&gt;"Sim","",COUNTIF($O$3:$O408,"Sim")))</f>
        <v/>
      </c>
      <c r="R408" s="47" t="n">
        <f aca="false">IF($P408="",0,$P408)</f>
        <v>0</v>
      </c>
    </row>
    <row r="409" customFormat="false" ht="18" hidden="false" customHeight="true" outlineLevel="0" collapsed="false">
      <c r="A409" s="39"/>
      <c r="B409" s="41"/>
      <c r="C409" s="40"/>
      <c r="D409" s="40"/>
      <c r="E409" s="40"/>
      <c r="F409" s="42"/>
      <c r="G409" s="39"/>
      <c r="H409" s="40"/>
      <c r="I409" s="40"/>
      <c r="J409" s="40"/>
      <c r="K409" s="41"/>
      <c r="L409" s="39"/>
      <c r="M409" s="48" t="str">
        <f aca="false">IF($E409="","",IFERROR(INDEX(Parâmetros!$C$15:$C$20,MATCH($P409,Parâmetros!$B$15:$B$20,0)),""))</f>
        <v/>
      </c>
      <c r="N409" s="46" t="str">
        <f aca="false">IF($E409="","",IF($P409="","",IF($P409&gt;=8,"Alta",IF($P409&gt;=5,"Média","Baixa"))))</f>
        <v/>
      </c>
      <c r="O409" s="46" t="str">
        <f aca="false">IF($E409="","",IF(AND(Parâmetros!$C$5&gt;0,$P409&lt;&gt;"",$P409&gt;=Parâmetros!$C$5),"Sim","Não"))</f>
        <v/>
      </c>
      <c r="P409" s="45" t="str">
        <f aca="false">IF($E409="","",IF($G409="","",IF($G409="NOK",$F409,0)))</f>
        <v/>
      </c>
      <c r="Q409" s="46" t="str">
        <f aca="false">IF($E409="","",IF($O409&lt;&gt;"Sim","",COUNTIF($O$3:$O409,"Sim")))</f>
        <v/>
      </c>
      <c r="R409" s="47" t="n">
        <f aca="false">IF($P409="",0,$P409)</f>
        <v>0</v>
      </c>
    </row>
    <row r="410" customFormat="false" ht="18" hidden="false" customHeight="true" outlineLevel="0" collapsed="false">
      <c r="A410" s="39"/>
      <c r="B410" s="41"/>
      <c r="C410" s="40"/>
      <c r="D410" s="40"/>
      <c r="E410" s="40"/>
      <c r="F410" s="42"/>
      <c r="G410" s="39"/>
      <c r="H410" s="40"/>
      <c r="I410" s="40"/>
      <c r="J410" s="40"/>
      <c r="K410" s="41"/>
      <c r="L410" s="39"/>
      <c r="M410" s="48" t="str">
        <f aca="false">IF($E410="","",IFERROR(INDEX(Parâmetros!$C$15:$C$20,MATCH($P410,Parâmetros!$B$15:$B$20,0)),""))</f>
        <v/>
      </c>
      <c r="N410" s="46" t="str">
        <f aca="false">IF($E410="","",IF($P410="","",IF($P410&gt;=8,"Alta",IF($P410&gt;=5,"Média","Baixa"))))</f>
        <v/>
      </c>
      <c r="O410" s="46" t="str">
        <f aca="false">IF($E410="","",IF(AND(Parâmetros!$C$5&gt;0,$P410&lt;&gt;"",$P410&gt;=Parâmetros!$C$5),"Sim","Não"))</f>
        <v/>
      </c>
      <c r="P410" s="45" t="str">
        <f aca="false">IF($E410="","",IF($G410="","",IF($G410="NOK",$F410,0)))</f>
        <v/>
      </c>
      <c r="Q410" s="46" t="str">
        <f aca="false">IF($E410="","",IF($O410&lt;&gt;"Sim","",COUNTIF($O$3:$O410,"Sim")))</f>
        <v/>
      </c>
      <c r="R410" s="47" t="n">
        <f aca="false">IF($P410="",0,$P410)</f>
        <v>0</v>
      </c>
    </row>
    <row r="411" customFormat="false" ht="18" hidden="false" customHeight="true" outlineLevel="0" collapsed="false">
      <c r="A411" s="39"/>
      <c r="B411" s="41"/>
      <c r="C411" s="40"/>
      <c r="D411" s="40"/>
      <c r="E411" s="40"/>
      <c r="F411" s="42"/>
      <c r="G411" s="39"/>
      <c r="H411" s="40"/>
      <c r="I411" s="40"/>
      <c r="J411" s="40"/>
      <c r="K411" s="41"/>
      <c r="L411" s="39"/>
      <c r="M411" s="48" t="str">
        <f aca="false">IF($E411="","",IFERROR(INDEX(Parâmetros!$C$15:$C$20,MATCH($P411,Parâmetros!$B$15:$B$20,0)),""))</f>
        <v/>
      </c>
      <c r="N411" s="46" t="str">
        <f aca="false">IF($E411="","",IF($P411="","",IF($P411&gt;=8,"Alta",IF($P411&gt;=5,"Média","Baixa"))))</f>
        <v/>
      </c>
      <c r="O411" s="46" t="str">
        <f aca="false">IF($E411="","",IF(AND(Parâmetros!$C$5&gt;0,$P411&lt;&gt;"",$P411&gt;=Parâmetros!$C$5),"Sim","Não"))</f>
        <v/>
      </c>
      <c r="P411" s="45" t="str">
        <f aca="false">IF($E411="","",IF($G411="","",IF($G411="NOK",$F411,0)))</f>
        <v/>
      </c>
      <c r="Q411" s="46" t="str">
        <f aca="false">IF($E411="","",IF($O411&lt;&gt;"Sim","",COUNTIF($O$3:$O411,"Sim")))</f>
        <v/>
      </c>
      <c r="R411" s="47" t="n">
        <f aca="false">IF($P411="",0,$P411)</f>
        <v>0</v>
      </c>
    </row>
    <row r="412" customFormat="false" ht="18" hidden="false" customHeight="true" outlineLevel="0" collapsed="false">
      <c r="A412" s="39"/>
      <c r="B412" s="41"/>
      <c r="C412" s="40"/>
      <c r="D412" s="40"/>
      <c r="E412" s="40"/>
      <c r="F412" s="42"/>
      <c r="G412" s="39"/>
      <c r="H412" s="40"/>
      <c r="I412" s="40"/>
      <c r="J412" s="40"/>
      <c r="K412" s="41"/>
      <c r="L412" s="39"/>
      <c r="M412" s="48" t="str">
        <f aca="false">IF($E412="","",IFERROR(INDEX(Parâmetros!$C$15:$C$20,MATCH($P412,Parâmetros!$B$15:$B$20,0)),""))</f>
        <v/>
      </c>
      <c r="N412" s="46" t="str">
        <f aca="false">IF($E412="","",IF($P412="","",IF($P412&gt;=8,"Alta",IF($P412&gt;=5,"Média","Baixa"))))</f>
        <v/>
      </c>
      <c r="O412" s="46" t="str">
        <f aca="false">IF($E412="","",IF(AND(Parâmetros!$C$5&gt;0,$P412&lt;&gt;"",$P412&gt;=Parâmetros!$C$5),"Sim","Não"))</f>
        <v/>
      </c>
      <c r="P412" s="45" t="str">
        <f aca="false">IF($E412="","",IF($G412="","",IF($G412="NOK",$F412,0)))</f>
        <v/>
      </c>
      <c r="Q412" s="46" t="str">
        <f aca="false">IF($E412="","",IF($O412&lt;&gt;"Sim","",COUNTIF($O$3:$O412,"Sim")))</f>
        <v/>
      </c>
      <c r="R412" s="47" t="n">
        <f aca="false">IF($P412="",0,$P412)</f>
        <v>0</v>
      </c>
    </row>
    <row r="413" customFormat="false" ht="18" hidden="false" customHeight="true" outlineLevel="0" collapsed="false">
      <c r="A413" s="39"/>
      <c r="B413" s="41"/>
      <c r="C413" s="40"/>
      <c r="D413" s="40"/>
      <c r="E413" s="40"/>
      <c r="F413" s="42"/>
      <c r="G413" s="39"/>
      <c r="H413" s="40"/>
      <c r="I413" s="40"/>
      <c r="J413" s="40"/>
      <c r="K413" s="41"/>
      <c r="L413" s="39"/>
      <c r="M413" s="48" t="str">
        <f aca="false">IF($E413="","",IFERROR(INDEX(Parâmetros!$C$15:$C$20,MATCH($P413,Parâmetros!$B$15:$B$20,0)),""))</f>
        <v/>
      </c>
      <c r="N413" s="46" t="str">
        <f aca="false">IF($E413="","",IF($P413="","",IF($P413&gt;=8,"Alta",IF($P413&gt;=5,"Média","Baixa"))))</f>
        <v/>
      </c>
      <c r="O413" s="46" t="str">
        <f aca="false">IF($E413="","",IF(AND(Parâmetros!$C$5&gt;0,$P413&lt;&gt;"",$P413&gt;=Parâmetros!$C$5),"Sim","Não"))</f>
        <v/>
      </c>
      <c r="P413" s="45" t="str">
        <f aca="false">IF($E413="","",IF($G413="","",IF($G413="NOK",$F413,0)))</f>
        <v/>
      </c>
      <c r="Q413" s="46" t="str">
        <f aca="false">IF($E413="","",IF($O413&lt;&gt;"Sim","",COUNTIF($O$3:$O413,"Sim")))</f>
        <v/>
      </c>
      <c r="R413" s="47" t="n">
        <f aca="false">IF($P413="",0,$P413)</f>
        <v>0</v>
      </c>
    </row>
    <row r="414" customFormat="false" ht="18" hidden="false" customHeight="true" outlineLevel="0" collapsed="false">
      <c r="A414" s="39"/>
      <c r="B414" s="41"/>
      <c r="C414" s="40"/>
      <c r="D414" s="40"/>
      <c r="E414" s="40"/>
      <c r="F414" s="42"/>
      <c r="G414" s="39"/>
      <c r="H414" s="40"/>
      <c r="I414" s="40"/>
      <c r="J414" s="40"/>
      <c r="K414" s="41"/>
      <c r="L414" s="39"/>
      <c r="M414" s="48" t="str">
        <f aca="false">IF($E414="","",IFERROR(INDEX(Parâmetros!$C$15:$C$20,MATCH($P414,Parâmetros!$B$15:$B$20,0)),""))</f>
        <v/>
      </c>
      <c r="N414" s="46" t="str">
        <f aca="false">IF($E414="","",IF($P414="","",IF($P414&gt;=8,"Alta",IF($P414&gt;=5,"Média","Baixa"))))</f>
        <v/>
      </c>
      <c r="O414" s="46" t="str">
        <f aca="false">IF($E414="","",IF(AND(Parâmetros!$C$5&gt;0,$P414&lt;&gt;"",$P414&gt;=Parâmetros!$C$5),"Sim","Não"))</f>
        <v/>
      </c>
      <c r="P414" s="45" t="str">
        <f aca="false">IF($E414="","",IF($G414="","",IF($G414="NOK",$F414,0)))</f>
        <v/>
      </c>
      <c r="Q414" s="46" t="str">
        <f aca="false">IF($E414="","",IF($O414&lt;&gt;"Sim","",COUNTIF($O$3:$O414,"Sim")))</f>
        <v/>
      </c>
      <c r="R414" s="47" t="n">
        <f aca="false">IF($P414="",0,$P414)</f>
        <v>0</v>
      </c>
    </row>
    <row r="415" customFormat="false" ht="18" hidden="false" customHeight="true" outlineLevel="0" collapsed="false">
      <c r="A415" s="39"/>
      <c r="B415" s="41"/>
      <c r="C415" s="40"/>
      <c r="D415" s="40"/>
      <c r="E415" s="40"/>
      <c r="F415" s="42"/>
      <c r="G415" s="39"/>
      <c r="H415" s="40"/>
      <c r="I415" s="40"/>
      <c r="J415" s="40"/>
      <c r="K415" s="41"/>
      <c r="L415" s="39"/>
      <c r="M415" s="48" t="str">
        <f aca="false">IF($E415="","",IFERROR(INDEX(Parâmetros!$C$15:$C$20,MATCH($P415,Parâmetros!$B$15:$B$20,0)),""))</f>
        <v/>
      </c>
      <c r="N415" s="46" t="str">
        <f aca="false">IF($E415="","",IF($P415="","",IF($P415&gt;=8,"Alta",IF($P415&gt;=5,"Média","Baixa"))))</f>
        <v/>
      </c>
      <c r="O415" s="46" t="str">
        <f aca="false">IF($E415="","",IF(AND(Parâmetros!$C$5&gt;0,$P415&lt;&gt;"",$P415&gt;=Parâmetros!$C$5),"Sim","Não"))</f>
        <v/>
      </c>
      <c r="P415" s="45" t="str">
        <f aca="false">IF($E415="","",IF($G415="","",IF($G415="NOK",$F415,0)))</f>
        <v/>
      </c>
      <c r="Q415" s="46" t="str">
        <f aca="false">IF($E415="","",IF($O415&lt;&gt;"Sim","",COUNTIF($O$3:$O415,"Sim")))</f>
        <v/>
      </c>
      <c r="R415" s="47" t="n">
        <f aca="false">IF($P415="",0,$P415)</f>
        <v>0</v>
      </c>
    </row>
    <row r="416" customFormat="false" ht="18" hidden="false" customHeight="true" outlineLevel="0" collapsed="false">
      <c r="A416" s="39"/>
      <c r="B416" s="41"/>
      <c r="C416" s="40"/>
      <c r="D416" s="40"/>
      <c r="E416" s="40"/>
      <c r="F416" s="42"/>
      <c r="G416" s="39"/>
      <c r="H416" s="40"/>
      <c r="I416" s="40"/>
      <c r="J416" s="40"/>
      <c r="K416" s="41"/>
      <c r="L416" s="39"/>
      <c r="M416" s="48" t="str">
        <f aca="false">IF($E416="","",IFERROR(INDEX(Parâmetros!$C$15:$C$20,MATCH($P416,Parâmetros!$B$15:$B$20,0)),""))</f>
        <v/>
      </c>
      <c r="N416" s="46" t="str">
        <f aca="false">IF($E416="","",IF($P416="","",IF($P416&gt;=8,"Alta",IF($P416&gt;=5,"Média","Baixa"))))</f>
        <v/>
      </c>
      <c r="O416" s="46" t="str">
        <f aca="false">IF($E416="","",IF(AND(Parâmetros!$C$5&gt;0,$P416&lt;&gt;"",$P416&gt;=Parâmetros!$C$5),"Sim","Não"))</f>
        <v/>
      </c>
      <c r="P416" s="45" t="str">
        <f aca="false">IF($E416="","",IF($G416="","",IF($G416="NOK",$F416,0)))</f>
        <v/>
      </c>
      <c r="Q416" s="46" t="str">
        <f aca="false">IF($E416="","",IF($O416&lt;&gt;"Sim","",COUNTIF($O$3:$O416,"Sim")))</f>
        <v/>
      </c>
      <c r="R416" s="47" t="n">
        <f aca="false">IF($P416="",0,$P416)</f>
        <v>0</v>
      </c>
    </row>
    <row r="417" customFormat="false" ht="18" hidden="false" customHeight="true" outlineLevel="0" collapsed="false">
      <c r="A417" s="39"/>
      <c r="B417" s="41"/>
      <c r="C417" s="40"/>
      <c r="D417" s="40"/>
      <c r="E417" s="40"/>
      <c r="F417" s="42"/>
      <c r="G417" s="39"/>
      <c r="H417" s="40"/>
      <c r="I417" s="40"/>
      <c r="J417" s="40"/>
      <c r="K417" s="41"/>
      <c r="L417" s="39"/>
      <c r="M417" s="48" t="str">
        <f aca="false">IF($E417="","",IFERROR(INDEX(Parâmetros!$C$15:$C$20,MATCH($P417,Parâmetros!$B$15:$B$20,0)),""))</f>
        <v/>
      </c>
      <c r="N417" s="46" t="str">
        <f aca="false">IF($E417="","",IF($P417="","",IF($P417&gt;=8,"Alta",IF($P417&gt;=5,"Média","Baixa"))))</f>
        <v/>
      </c>
      <c r="O417" s="46" t="str">
        <f aca="false">IF($E417="","",IF(AND(Parâmetros!$C$5&gt;0,$P417&lt;&gt;"",$P417&gt;=Parâmetros!$C$5),"Sim","Não"))</f>
        <v/>
      </c>
      <c r="P417" s="45" t="str">
        <f aca="false">IF($E417="","",IF($G417="","",IF($G417="NOK",$F417,0)))</f>
        <v/>
      </c>
      <c r="Q417" s="46" t="str">
        <f aca="false">IF($E417="","",IF($O417&lt;&gt;"Sim","",COUNTIF($O$3:$O417,"Sim")))</f>
        <v/>
      </c>
      <c r="R417" s="47" t="n">
        <f aca="false">IF($P417="",0,$P417)</f>
        <v>0</v>
      </c>
    </row>
    <row r="418" customFormat="false" ht="18" hidden="false" customHeight="true" outlineLevel="0" collapsed="false">
      <c r="A418" s="39"/>
      <c r="B418" s="41"/>
      <c r="C418" s="40"/>
      <c r="D418" s="40"/>
      <c r="E418" s="40"/>
      <c r="F418" s="42"/>
      <c r="G418" s="39"/>
      <c r="H418" s="40"/>
      <c r="I418" s="40"/>
      <c r="J418" s="40"/>
      <c r="K418" s="41"/>
      <c r="L418" s="39"/>
      <c r="M418" s="48" t="str">
        <f aca="false">IF($E418="","",IFERROR(INDEX(Parâmetros!$C$15:$C$20,MATCH($P418,Parâmetros!$B$15:$B$20,0)),""))</f>
        <v/>
      </c>
      <c r="N418" s="46" t="str">
        <f aca="false">IF($E418="","",IF($P418="","",IF($P418&gt;=8,"Alta",IF($P418&gt;=5,"Média","Baixa"))))</f>
        <v/>
      </c>
      <c r="O418" s="46" t="str">
        <f aca="false">IF($E418="","",IF(AND(Parâmetros!$C$5&gt;0,$P418&lt;&gt;"",$P418&gt;=Parâmetros!$C$5),"Sim","Não"))</f>
        <v/>
      </c>
      <c r="P418" s="45" t="str">
        <f aca="false">IF($E418="","",IF($G418="","",IF($G418="NOK",$F418,0)))</f>
        <v/>
      </c>
      <c r="Q418" s="46" t="str">
        <f aca="false">IF($E418="","",IF($O418&lt;&gt;"Sim","",COUNTIF($O$3:$O418,"Sim")))</f>
        <v/>
      </c>
      <c r="R418" s="47" t="n">
        <f aca="false">IF($P418="",0,$P418)</f>
        <v>0</v>
      </c>
    </row>
    <row r="419" customFormat="false" ht="18" hidden="false" customHeight="true" outlineLevel="0" collapsed="false">
      <c r="A419" s="39"/>
      <c r="B419" s="41"/>
      <c r="C419" s="40"/>
      <c r="D419" s="40"/>
      <c r="E419" s="40"/>
      <c r="F419" s="42"/>
      <c r="G419" s="39"/>
      <c r="H419" s="40"/>
      <c r="I419" s="40"/>
      <c r="J419" s="40"/>
      <c r="K419" s="41"/>
      <c r="L419" s="39"/>
      <c r="M419" s="48" t="str">
        <f aca="false">IF($E419="","",IFERROR(INDEX(Parâmetros!$C$15:$C$20,MATCH($P419,Parâmetros!$B$15:$B$20,0)),""))</f>
        <v/>
      </c>
      <c r="N419" s="46" t="str">
        <f aca="false">IF($E419="","",IF($P419="","",IF($P419&gt;=8,"Alta",IF($P419&gt;=5,"Média","Baixa"))))</f>
        <v/>
      </c>
      <c r="O419" s="46" t="str">
        <f aca="false">IF($E419="","",IF(AND(Parâmetros!$C$5&gt;0,$P419&lt;&gt;"",$P419&gt;=Parâmetros!$C$5),"Sim","Não"))</f>
        <v/>
      </c>
      <c r="P419" s="45" t="str">
        <f aca="false">IF($E419="","",IF($G419="","",IF($G419="NOK",$F419,0)))</f>
        <v/>
      </c>
      <c r="Q419" s="46" t="str">
        <f aca="false">IF($E419="","",IF($O419&lt;&gt;"Sim","",COUNTIF($O$3:$O419,"Sim")))</f>
        <v/>
      </c>
      <c r="R419" s="47" t="n">
        <f aca="false">IF($P419="",0,$P419)</f>
        <v>0</v>
      </c>
    </row>
    <row r="420" customFormat="false" ht="18" hidden="false" customHeight="true" outlineLevel="0" collapsed="false">
      <c r="A420" s="39"/>
      <c r="B420" s="41"/>
      <c r="C420" s="40"/>
      <c r="D420" s="40"/>
      <c r="E420" s="40"/>
      <c r="F420" s="42"/>
      <c r="G420" s="39"/>
      <c r="H420" s="40"/>
      <c r="I420" s="40"/>
      <c r="J420" s="40"/>
      <c r="K420" s="41"/>
      <c r="L420" s="39"/>
      <c r="M420" s="48" t="str">
        <f aca="false">IF($E420="","",IFERROR(INDEX(Parâmetros!$C$15:$C$20,MATCH($P420,Parâmetros!$B$15:$B$20,0)),""))</f>
        <v/>
      </c>
      <c r="N420" s="46" t="str">
        <f aca="false">IF($E420="","",IF($P420="","",IF($P420&gt;=8,"Alta",IF($P420&gt;=5,"Média","Baixa"))))</f>
        <v/>
      </c>
      <c r="O420" s="46" t="str">
        <f aca="false">IF($E420="","",IF(AND(Parâmetros!$C$5&gt;0,$P420&lt;&gt;"",$P420&gt;=Parâmetros!$C$5),"Sim","Não"))</f>
        <v/>
      </c>
      <c r="P420" s="45" t="str">
        <f aca="false">IF($E420="","",IF($G420="","",IF($G420="NOK",$F420,0)))</f>
        <v/>
      </c>
      <c r="Q420" s="46" t="str">
        <f aca="false">IF($E420="","",IF($O420&lt;&gt;"Sim","",COUNTIF($O$3:$O420,"Sim")))</f>
        <v/>
      </c>
      <c r="R420" s="47" t="n">
        <f aca="false">IF($P420="",0,$P420)</f>
        <v>0</v>
      </c>
    </row>
    <row r="421" customFormat="false" ht="18" hidden="false" customHeight="true" outlineLevel="0" collapsed="false">
      <c r="A421" s="39"/>
      <c r="B421" s="41"/>
      <c r="C421" s="40"/>
      <c r="D421" s="40"/>
      <c r="E421" s="40"/>
      <c r="F421" s="42"/>
      <c r="G421" s="39"/>
      <c r="H421" s="40"/>
      <c r="I421" s="40"/>
      <c r="J421" s="40"/>
      <c r="K421" s="41"/>
      <c r="L421" s="39"/>
      <c r="M421" s="48" t="str">
        <f aca="false">IF($E421="","",IFERROR(INDEX(Parâmetros!$C$15:$C$20,MATCH($P421,Parâmetros!$B$15:$B$20,0)),""))</f>
        <v/>
      </c>
      <c r="N421" s="46" t="str">
        <f aca="false">IF($E421="","",IF($P421="","",IF($P421&gt;=8,"Alta",IF($P421&gt;=5,"Média","Baixa"))))</f>
        <v/>
      </c>
      <c r="O421" s="46" t="str">
        <f aca="false">IF($E421="","",IF(AND(Parâmetros!$C$5&gt;0,$P421&lt;&gt;"",$P421&gt;=Parâmetros!$C$5),"Sim","Não"))</f>
        <v/>
      </c>
      <c r="P421" s="45" t="str">
        <f aca="false">IF($E421="","",IF($G421="","",IF($G421="NOK",$F421,0)))</f>
        <v/>
      </c>
      <c r="Q421" s="46" t="str">
        <f aca="false">IF($E421="","",IF($O421&lt;&gt;"Sim","",COUNTIF($O$3:$O421,"Sim")))</f>
        <v/>
      </c>
      <c r="R421" s="47" t="n">
        <f aca="false">IF($P421="",0,$P421)</f>
        <v>0</v>
      </c>
    </row>
    <row r="422" customFormat="false" ht="18" hidden="false" customHeight="true" outlineLevel="0" collapsed="false">
      <c r="A422" s="39"/>
      <c r="B422" s="41"/>
      <c r="C422" s="40"/>
      <c r="D422" s="40"/>
      <c r="E422" s="40"/>
      <c r="F422" s="42"/>
      <c r="G422" s="39"/>
      <c r="H422" s="40"/>
      <c r="I422" s="40"/>
      <c r="J422" s="40"/>
      <c r="K422" s="41"/>
      <c r="L422" s="39"/>
      <c r="M422" s="48" t="str">
        <f aca="false">IF($E422="","",IFERROR(INDEX(Parâmetros!$C$15:$C$20,MATCH($P422,Parâmetros!$B$15:$B$20,0)),""))</f>
        <v/>
      </c>
      <c r="N422" s="46" t="str">
        <f aca="false">IF($E422="","",IF($P422="","",IF($P422&gt;=8,"Alta",IF($P422&gt;=5,"Média","Baixa"))))</f>
        <v/>
      </c>
      <c r="O422" s="46" t="str">
        <f aca="false">IF($E422="","",IF(AND(Parâmetros!$C$5&gt;0,$P422&lt;&gt;"",$P422&gt;=Parâmetros!$C$5),"Sim","Não"))</f>
        <v/>
      </c>
      <c r="P422" s="45" t="str">
        <f aca="false">IF($E422="","",IF($G422="","",IF($G422="NOK",$F422,0)))</f>
        <v/>
      </c>
      <c r="Q422" s="46" t="str">
        <f aca="false">IF($E422="","",IF($O422&lt;&gt;"Sim","",COUNTIF($O$3:$O422,"Sim")))</f>
        <v/>
      </c>
      <c r="R422" s="47" t="n">
        <f aca="false">IF($P422="",0,$P422)</f>
        <v>0</v>
      </c>
    </row>
    <row r="423" customFormat="false" ht="18" hidden="false" customHeight="true" outlineLevel="0" collapsed="false">
      <c r="A423" s="39"/>
      <c r="B423" s="41"/>
      <c r="C423" s="40"/>
      <c r="D423" s="40"/>
      <c r="E423" s="40"/>
      <c r="F423" s="42"/>
      <c r="G423" s="39"/>
      <c r="H423" s="40"/>
      <c r="I423" s="40"/>
      <c r="J423" s="40"/>
      <c r="K423" s="41"/>
      <c r="L423" s="39"/>
      <c r="M423" s="48" t="str">
        <f aca="false">IF($E423="","",IFERROR(INDEX(Parâmetros!$C$15:$C$20,MATCH($P423,Parâmetros!$B$15:$B$20,0)),""))</f>
        <v/>
      </c>
      <c r="N423" s="46" t="str">
        <f aca="false">IF($E423="","",IF($P423="","",IF($P423&gt;=8,"Alta",IF($P423&gt;=5,"Média","Baixa"))))</f>
        <v/>
      </c>
      <c r="O423" s="46" t="str">
        <f aca="false">IF($E423="","",IF(AND(Parâmetros!$C$5&gt;0,$P423&lt;&gt;"",$P423&gt;=Parâmetros!$C$5),"Sim","Não"))</f>
        <v/>
      </c>
      <c r="P423" s="45" t="str">
        <f aca="false">IF($E423="","",IF($G423="","",IF($G423="NOK",$F423,0)))</f>
        <v/>
      </c>
      <c r="Q423" s="46" t="str">
        <f aca="false">IF($E423="","",IF($O423&lt;&gt;"Sim","",COUNTIF($O$3:$O423,"Sim")))</f>
        <v/>
      </c>
      <c r="R423" s="47" t="n">
        <f aca="false">IF($P423="",0,$P423)</f>
        <v>0</v>
      </c>
    </row>
    <row r="424" customFormat="false" ht="18" hidden="false" customHeight="true" outlineLevel="0" collapsed="false">
      <c r="A424" s="39"/>
      <c r="B424" s="41"/>
      <c r="C424" s="40"/>
      <c r="D424" s="40"/>
      <c r="E424" s="40"/>
      <c r="F424" s="42"/>
      <c r="G424" s="39"/>
      <c r="H424" s="40"/>
      <c r="I424" s="40"/>
      <c r="J424" s="40"/>
      <c r="K424" s="41"/>
      <c r="L424" s="39"/>
      <c r="M424" s="48" t="str">
        <f aca="false">IF($E424="","",IFERROR(INDEX(Parâmetros!$C$15:$C$20,MATCH($P424,Parâmetros!$B$15:$B$20,0)),""))</f>
        <v/>
      </c>
      <c r="N424" s="46" t="str">
        <f aca="false">IF($E424="","",IF($P424="","",IF($P424&gt;=8,"Alta",IF($P424&gt;=5,"Média","Baixa"))))</f>
        <v/>
      </c>
      <c r="O424" s="46" t="str">
        <f aca="false">IF($E424="","",IF(AND(Parâmetros!$C$5&gt;0,$P424&lt;&gt;"",$P424&gt;=Parâmetros!$C$5),"Sim","Não"))</f>
        <v/>
      </c>
      <c r="P424" s="45" t="str">
        <f aca="false">IF($E424="","",IF($G424="","",IF($G424="NOK",$F424,0)))</f>
        <v/>
      </c>
      <c r="Q424" s="46" t="str">
        <f aca="false">IF($E424="","",IF($O424&lt;&gt;"Sim","",COUNTIF($O$3:$O424,"Sim")))</f>
        <v/>
      </c>
      <c r="R424" s="47" t="n">
        <f aca="false">IF($P424="",0,$P424)</f>
        <v>0</v>
      </c>
    </row>
    <row r="425" customFormat="false" ht="18" hidden="false" customHeight="true" outlineLevel="0" collapsed="false">
      <c r="A425" s="39"/>
      <c r="B425" s="41"/>
      <c r="C425" s="40"/>
      <c r="D425" s="40"/>
      <c r="E425" s="40"/>
      <c r="F425" s="42"/>
      <c r="G425" s="39"/>
      <c r="H425" s="40"/>
      <c r="I425" s="40"/>
      <c r="J425" s="40"/>
      <c r="K425" s="41"/>
      <c r="L425" s="39"/>
      <c r="M425" s="48" t="str">
        <f aca="false">IF($E425="","",IFERROR(INDEX(Parâmetros!$C$15:$C$20,MATCH($P425,Parâmetros!$B$15:$B$20,0)),""))</f>
        <v/>
      </c>
      <c r="N425" s="46" t="str">
        <f aca="false">IF($E425="","",IF($P425="","",IF($P425&gt;=8,"Alta",IF($P425&gt;=5,"Média","Baixa"))))</f>
        <v/>
      </c>
      <c r="O425" s="46" t="str">
        <f aca="false">IF($E425="","",IF(AND(Parâmetros!$C$5&gt;0,$P425&lt;&gt;"",$P425&gt;=Parâmetros!$C$5),"Sim","Não"))</f>
        <v/>
      </c>
      <c r="P425" s="45" t="str">
        <f aca="false">IF($E425="","",IF($G425="","",IF($G425="NOK",$F425,0)))</f>
        <v/>
      </c>
      <c r="Q425" s="46" t="str">
        <f aca="false">IF($E425="","",IF($O425&lt;&gt;"Sim","",COUNTIF($O$3:$O425,"Sim")))</f>
        <v/>
      </c>
      <c r="R425" s="47" t="n">
        <f aca="false">IF($P425="",0,$P425)</f>
        <v>0</v>
      </c>
    </row>
    <row r="426" customFormat="false" ht="18" hidden="false" customHeight="true" outlineLevel="0" collapsed="false">
      <c r="A426" s="39"/>
      <c r="B426" s="41"/>
      <c r="C426" s="40"/>
      <c r="D426" s="40"/>
      <c r="E426" s="40"/>
      <c r="F426" s="42"/>
      <c r="G426" s="39"/>
      <c r="H426" s="40"/>
      <c r="I426" s="40"/>
      <c r="J426" s="40"/>
      <c r="K426" s="41"/>
      <c r="L426" s="39"/>
      <c r="M426" s="48" t="str">
        <f aca="false">IF($E426="","",IFERROR(INDEX(Parâmetros!$C$15:$C$20,MATCH($P426,Parâmetros!$B$15:$B$20,0)),""))</f>
        <v/>
      </c>
      <c r="N426" s="46" t="str">
        <f aca="false">IF($E426="","",IF($P426="","",IF($P426&gt;=8,"Alta",IF($P426&gt;=5,"Média","Baixa"))))</f>
        <v/>
      </c>
      <c r="O426" s="46" t="str">
        <f aca="false">IF($E426="","",IF(AND(Parâmetros!$C$5&gt;0,$P426&lt;&gt;"",$P426&gt;=Parâmetros!$C$5),"Sim","Não"))</f>
        <v/>
      </c>
      <c r="P426" s="45" t="str">
        <f aca="false">IF($E426="","",IF($G426="","",IF($G426="NOK",$F426,0)))</f>
        <v/>
      </c>
      <c r="Q426" s="46" t="str">
        <f aca="false">IF($E426="","",IF($O426&lt;&gt;"Sim","",COUNTIF($O$3:$O426,"Sim")))</f>
        <v/>
      </c>
      <c r="R426" s="47" t="n">
        <f aca="false">IF($P426="",0,$P426)</f>
        <v>0</v>
      </c>
    </row>
    <row r="427" customFormat="false" ht="18" hidden="false" customHeight="true" outlineLevel="0" collapsed="false">
      <c r="A427" s="39"/>
      <c r="B427" s="41"/>
      <c r="C427" s="40"/>
      <c r="D427" s="40"/>
      <c r="E427" s="40"/>
      <c r="F427" s="42"/>
      <c r="G427" s="39"/>
      <c r="H427" s="40"/>
      <c r="I427" s="40"/>
      <c r="J427" s="40"/>
      <c r="K427" s="41"/>
      <c r="L427" s="39"/>
      <c r="M427" s="48" t="str">
        <f aca="false">IF($E427="","",IFERROR(INDEX(Parâmetros!$C$15:$C$20,MATCH($P427,Parâmetros!$B$15:$B$20,0)),""))</f>
        <v/>
      </c>
      <c r="N427" s="46" t="str">
        <f aca="false">IF($E427="","",IF($P427="","",IF($P427&gt;=8,"Alta",IF($P427&gt;=5,"Média","Baixa"))))</f>
        <v/>
      </c>
      <c r="O427" s="46" t="str">
        <f aca="false">IF($E427="","",IF(AND(Parâmetros!$C$5&gt;0,$P427&lt;&gt;"",$P427&gt;=Parâmetros!$C$5),"Sim","Não"))</f>
        <v/>
      </c>
      <c r="P427" s="45" t="str">
        <f aca="false">IF($E427="","",IF($G427="","",IF($G427="NOK",$F427,0)))</f>
        <v/>
      </c>
      <c r="Q427" s="46" t="str">
        <f aca="false">IF($E427="","",IF($O427&lt;&gt;"Sim","",COUNTIF($O$3:$O427,"Sim")))</f>
        <v/>
      </c>
      <c r="R427" s="47" t="n">
        <f aca="false">IF($P427="",0,$P427)</f>
        <v>0</v>
      </c>
    </row>
    <row r="428" customFormat="false" ht="18" hidden="false" customHeight="true" outlineLevel="0" collapsed="false">
      <c r="A428" s="39"/>
      <c r="B428" s="41"/>
      <c r="C428" s="40"/>
      <c r="D428" s="40"/>
      <c r="E428" s="40"/>
      <c r="F428" s="42"/>
      <c r="G428" s="39"/>
      <c r="H428" s="40"/>
      <c r="I428" s="40"/>
      <c r="J428" s="40"/>
      <c r="K428" s="41"/>
      <c r="L428" s="39"/>
      <c r="M428" s="48" t="str">
        <f aca="false">IF($E428="","",IFERROR(INDEX(Parâmetros!$C$15:$C$20,MATCH($P428,Parâmetros!$B$15:$B$20,0)),""))</f>
        <v/>
      </c>
      <c r="N428" s="46" t="str">
        <f aca="false">IF($E428="","",IF($P428="","",IF($P428&gt;=8,"Alta",IF($P428&gt;=5,"Média","Baixa"))))</f>
        <v/>
      </c>
      <c r="O428" s="46" t="str">
        <f aca="false">IF($E428="","",IF(AND(Parâmetros!$C$5&gt;0,$P428&lt;&gt;"",$P428&gt;=Parâmetros!$C$5),"Sim","Não"))</f>
        <v/>
      </c>
      <c r="P428" s="45" t="str">
        <f aca="false">IF($E428="","",IF($G428="","",IF($G428="NOK",$F428,0)))</f>
        <v/>
      </c>
      <c r="Q428" s="46" t="str">
        <f aca="false">IF($E428="","",IF($O428&lt;&gt;"Sim","",COUNTIF($O$3:$O428,"Sim")))</f>
        <v/>
      </c>
      <c r="R428" s="47" t="n">
        <f aca="false">IF($P428="",0,$P428)</f>
        <v>0</v>
      </c>
    </row>
    <row r="429" customFormat="false" ht="18" hidden="false" customHeight="true" outlineLevel="0" collapsed="false">
      <c r="A429" s="39"/>
      <c r="B429" s="41"/>
      <c r="C429" s="40"/>
      <c r="D429" s="40"/>
      <c r="E429" s="40"/>
      <c r="F429" s="42"/>
      <c r="G429" s="39"/>
      <c r="H429" s="40"/>
      <c r="I429" s="40"/>
      <c r="J429" s="40"/>
      <c r="K429" s="41"/>
      <c r="L429" s="39"/>
      <c r="M429" s="48" t="str">
        <f aca="false">IF($E429="","",IFERROR(INDEX(Parâmetros!$C$15:$C$20,MATCH($P429,Parâmetros!$B$15:$B$20,0)),""))</f>
        <v/>
      </c>
      <c r="N429" s="46" t="str">
        <f aca="false">IF($E429="","",IF($P429="","",IF($P429&gt;=8,"Alta",IF($P429&gt;=5,"Média","Baixa"))))</f>
        <v/>
      </c>
      <c r="O429" s="46" t="str">
        <f aca="false">IF($E429="","",IF(AND(Parâmetros!$C$5&gt;0,$P429&lt;&gt;"",$P429&gt;=Parâmetros!$C$5),"Sim","Não"))</f>
        <v/>
      </c>
      <c r="P429" s="45" t="str">
        <f aca="false">IF($E429="","",IF($G429="","",IF($G429="NOK",$F429,0)))</f>
        <v/>
      </c>
      <c r="Q429" s="46" t="str">
        <f aca="false">IF($E429="","",IF($O429&lt;&gt;"Sim","",COUNTIF($O$3:$O429,"Sim")))</f>
        <v/>
      </c>
      <c r="R429" s="47" t="n">
        <f aca="false">IF($P429="",0,$P429)</f>
        <v>0</v>
      </c>
    </row>
    <row r="430" customFormat="false" ht="18" hidden="false" customHeight="true" outlineLevel="0" collapsed="false">
      <c r="A430" s="39"/>
      <c r="B430" s="41"/>
      <c r="C430" s="40"/>
      <c r="D430" s="40"/>
      <c r="E430" s="40"/>
      <c r="F430" s="42"/>
      <c r="G430" s="39"/>
      <c r="H430" s="40"/>
      <c r="I430" s="40"/>
      <c r="J430" s="40"/>
      <c r="K430" s="41"/>
      <c r="L430" s="39"/>
      <c r="M430" s="48" t="str">
        <f aca="false">IF($E430="","",IFERROR(INDEX(Parâmetros!$C$15:$C$20,MATCH($P430,Parâmetros!$B$15:$B$20,0)),""))</f>
        <v/>
      </c>
      <c r="N430" s="46" t="str">
        <f aca="false">IF($E430="","",IF($P430="","",IF($P430&gt;=8,"Alta",IF($P430&gt;=5,"Média","Baixa"))))</f>
        <v/>
      </c>
      <c r="O430" s="46" t="str">
        <f aca="false">IF($E430="","",IF(AND(Parâmetros!$C$5&gt;0,$P430&lt;&gt;"",$P430&gt;=Parâmetros!$C$5),"Sim","Não"))</f>
        <v/>
      </c>
      <c r="P430" s="45" t="str">
        <f aca="false">IF($E430="","",IF($G430="","",IF($G430="NOK",$F430,0)))</f>
        <v/>
      </c>
      <c r="Q430" s="46" t="str">
        <f aca="false">IF($E430="","",IF($O430&lt;&gt;"Sim","",COUNTIF($O$3:$O430,"Sim")))</f>
        <v/>
      </c>
      <c r="R430" s="47" t="n">
        <f aca="false">IF($P430="",0,$P430)</f>
        <v>0</v>
      </c>
    </row>
    <row r="431" customFormat="false" ht="18" hidden="false" customHeight="true" outlineLevel="0" collapsed="false">
      <c r="A431" s="39"/>
      <c r="B431" s="41"/>
      <c r="C431" s="40"/>
      <c r="D431" s="40"/>
      <c r="E431" s="40"/>
      <c r="F431" s="42"/>
      <c r="G431" s="39"/>
      <c r="H431" s="40"/>
      <c r="I431" s="40"/>
      <c r="J431" s="40"/>
      <c r="K431" s="41"/>
      <c r="L431" s="39"/>
      <c r="M431" s="48" t="str">
        <f aca="false">IF($E431="","",IFERROR(INDEX(Parâmetros!$C$15:$C$20,MATCH($P431,Parâmetros!$B$15:$B$20,0)),""))</f>
        <v/>
      </c>
      <c r="N431" s="46" t="str">
        <f aca="false">IF($E431="","",IF($P431="","",IF($P431&gt;=8,"Alta",IF($P431&gt;=5,"Média","Baixa"))))</f>
        <v/>
      </c>
      <c r="O431" s="46" t="str">
        <f aca="false">IF($E431="","",IF(AND(Parâmetros!$C$5&gt;0,$P431&lt;&gt;"",$P431&gt;=Parâmetros!$C$5),"Sim","Não"))</f>
        <v/>
      </c>
      <c r="P431" s="45" t="str">
        <f aca="false">IF($E431="","",IF($G431="","",IF($G431="NOK",$F431,0)))</f>
        <v/>
      </c>
      <c r="Q431" s="46" t="str">
        <f aca="false">IF($E431="","",IF($O431&lt;&gt;"Sim","",COUNTIF($O$3:$O431,"Sim")))</f>
        <v/>
      </c>
      <c r="R431" s="47" t="n">
        <f aca="false">IF($P431="",0,$P431)</f>
        <v>0</v>
      </c>
    </row>
    <row r="432" customFormat="false" ht="18" hidden="false" customHeight="true" outlineLevel="0" collapsed="false">
      <c r="A432" s="39"/>
      <c r="B432" s="41"/>
      <c r="C432" s="40"/>
      <c r="D432" s="40"/>
      <c r="E432" s="40"/>
      <c r="F432" s="42"/>
      <c r="G432" s="39"/>
      <c r="H432" s="40"/>
      <c r="I432" s="40"/>
      <c r="J432" s="40"/>
      <c r="K432" s="41"/>
      <c r="L432" s="39"/>
      <c r="M432" s="48" t="str">
        <f aca="false">IF($E432="","",IFERROR(INDEX(Parâmetros!$C$15:$C$20,MATCH($P432,Parâmetros!$B$15:$B$20,0)),""))</f>
        <v/>
      </c>
      <c r="N432" s="46" t="str">
        <f aca="false">IF($E432="","",IF($P432="","",IF($P432&gt;=8,"Alta",IF($P432&gt;=5,"Média","Baixa"))))</f>
        <v/>
      </c>
      <c r="O432" s="46" t="str">
        <f aca="false">IF($E432="","",IF(AND(Parâmetros!$C$5&gt;0,$P432&lt;&gt;"",$P432&gt;=Parâmetros!$C$5),"Sim","Não"))</f>
        <v/>
      </c>
      <c r="P432" s="45" t="str">
        <f aca="false">IF($E432="","",IF($G432="","",IF($G432="NOK",$F432,0)))</f>
        <v/>
      </c>
      <c r="Q432" s="46" t="str">
        <f aca="false">IF($E432="","",IF($O432&lt;&gt;"Sim","",COUNTIF($O$3:$O432,"Sim")))</f>
        <v/>
      </c>
      <c r="R432" s="47" t="n">
        <f aca="false">IF($P432="",0,$P432)</f>
        <v>0</v>
      </c>
    </row>
    <row r="433" customFormat="false" ht="18" hidden="false" customHeight="true" outlineLevel="0" collapsed="false">
      <c r="A433" s="39"/>
      <c r="B433" s="41"/>
      <c r="C433" s="40"/>
      <c r="D433" s="40"/>
      <c r="E433" s="40"/>
      <c r="F433" s="42"/>
      <c r="G433" s="39"/>
      <c r="H433" s="40"/>
      <c r="I433" s="40"/>
      <c r="J433" s="40"/>
      <c r="K433" s="41"/>
      <c r="L433" s="39"/>
      <c r="M433" s="48" t="str">
        <f aca="false">IF($E433="","",IFERROR(INDEX(Parâmetros!$C$15:$C$20,MATCH($P433,Parâmetros!$B$15:$B$20,0)),""))</f>
        <v/>
      </c>
      <c r="N433" s="46" t="str">
        <f aca="false">IF($E433="","",IF($P433="","",IF($P433&gt;=8,"Alta",IF($P433&gt;=5,"Média","Baixa"))))</f>
        <v/>
      </c>
      <c r="O433" s="46" t="str">
        <f aca="false">IF($E433="","",IF(AND(Parâmetros!$C$5&gt;0,$P433&lt;&gt;"",$P433&gt;=Parâmetros!$C$5),"Sim","Não"))</f>
        <v/>
      </c>
      <c r="P433" s="45" t="str">
        <f aca="false">IF($E433="","",IF($G433="","",IF($G433="NOK",$F433,0)))</f>
        <v/>
      </c>
      <c r="Q433" s="46" t="str">
        <f aca="false">IF($E433="","",IF($O433&lt;&gt;"Sim","",COUNTIF($O$3:$O433,"Sim")))</f>
        <v/>
      </c>
      <c r="R433" s="47" t="n">
        <f aca="false">IF($P433="",0,$P433)</f>
        <v>0</v>
      </c>
    </row>
    <row r="434" customFormat="false" ht="18" hidden="false" customHeight="true" outlineLevel="0" collapsed="false">
      <c r="A434" s="39"/>
      <c r="B434" s="41"/>
      <c r="C434" s="40"/>
      <c r="D434" s="40"/>
      <c r="E434" s="40"/>
      <c r="F434" s="42"/>
      <c r="G434" s="39"/>
      <c r="H434" s="40"/>
      <c r="I434" s="40"/>
      <c r="J434" s="40"/>
      <c r="K434" s="41"/>
      <c r="L434" s="39"/>
      <c r="M434" s="48" t="str">
        <f aca="false">IF($E434="","",IFERROR(INDEX(Parâmetros!$C$15:$C$20,MATCH($P434,Parâmetros!$B$15:$B$20,0)),""))</f>
        <v/>
      </c>
      <c r="N434" s="46" t="str">
        <f aca="false">IF($E434="","",IF($P434="","",IF($P434&gt;=8,"Alta",IF($P434&gt;=5,"Média","Baixa"))))</f>
        <v/>
      </c>
      <c r="O434" s="46" t="str">
        <f aca="false">IF($E434="","",IF(AND(Parâmetros!$C$5&gt;0,$P434&lt;&gt;"",$P434&gt;=Parâmetros!$C$5),"Sim","Não"))</f>
        <v/>
      </c>
      <c r="P434" s="45" t="str">
        <f aca="false">IF($E434="","",IF($G434="","",IF($G434="NOK",$F434,0)))</f>
        <v/>
      </c>
      <c r="Q434" s="46" t="str">
        <f aca="false">IF($E434="","",IF($O434&lt;&gt;"Sim","",COUNTIF($O$3:$O434,"Sim")))</f>
        <v/>
      </c>
      <c r="R434" s="47" t="n">
        <f aca="false">IF($P434="",0,$P434)</f>
        <v>0</v>
      </c>
    </row>
    <row r="435" customFormat="false" ht="18" hidden="false" customHeight="true" outlineLevel="0" collapsed="false">
      <c r="A435" s="39"/>
      <c r="B435" s="41"/>
      <c r="C435" s="40"/>
      <c r="D435" s="40"/>
      <c r="E435" s="40"/>
      <c r="F435" s="42"/>
      <c r="G435" s="39"/>
      <c r="H435" s="40"/>
      <c r="I435" s="40"/>
      <c r="J435" s="40"/>
      <c r="K435" s="41"/>
      <c r="L435" s="39"/>
      <c r="M435" s="48" t="str">
        <f aca="false">IF($E435="","",IFERROR(INDEX(Parâmetros!$C$15:$C$20,MATCH($P435,Parâmetros!$B$15:$B$20,0)),""))</f>
        <v/>
      </c>
      <c r="N435" s="46" t="str">
        <f aca="false">IF($E435="","",IF($P435="","",IF($P435&gt;=8,"Alta",IF($P435&gt;=5,"Média","Baixa"))))</f>
        <v/>
      </c>
      <c r="O435" s="46" t="str">
        <f aca="false">IF($E435="","",IF(AND(Parâmetros!$C$5&gt;0,$P435&lt;&gt;"",$P435&gt;=Parâmetros!$C$5),"Sim","Não"))</f>
        <v/>
      </c>
      <c r="P435" s="45" t="str">
        <f aca="false">IF($E435="","",IF($G435="","",IF($G435="NOK",$F435,0)))</f>
        <v/>
      </c>
      <c r="Q435" s="46" t="str">
        <f aca="false">IF($E435="","",IF($O435&lt;&gt;"Sim","",COUNTIF($O$3:$O435,"Sim")))</f>
        <v/>
      </c>
      <c r="R435" s="47" t="n">
        <f aca="false">IF($P435="",0,$P435)</f>
        <v>0</v>
      </c>
    </row>
    <row r="436" customFormat="false" ht="18" hidden="false" customHeight="true" outlineLevel="0" collapsed="false">
      <c r="A436" s="39"/>
      <c r="B436" s="41"/>
      <c r="C436" s="40"/>
      <c r="D436" s="40"/>
      <c r="E436" s="40"/>
      <c r="F436" s="42"/>
      <c r="G436" s="39"/>
      <c r="H436" s="40"/>
      <c r="I436" s="40"/>
      <c r="J436" s="40"/>
      <c r="K436" s="41"/>
      <c r="L436" s="39"/>
      <c r="M436" s="48" t="str">
        <f aca="false">IF($E436="","",IFERROR(INDEX(Parâmetros!$C$15:$C$20,MATCH($P436,Parâmetros!$B$15:$B$20,0)),""))</f>
        <v/>
      </c>
      <c r="N436" s="46" t="str">
        <f aca="false">IF($E436="","",IF($P436="","",IF($P436&gt;=8,"Alta",IF($P436&gt;=5,"Média","Baixa"))))</f>
        <v/>
      </c>
      <c r="O436" s="46" t="str">
        <f aca="false">IF($E436="","",IF(AND(Parâmetros!$C$5&gt;0,$P436&lt;&gt;"",$P436&gt;=Parâmetros!$C$5),"Sim","Não"))</f>
        <v/>
      </c>
      <c r="P436" s="45" t="str">
        <f aca="false">IF($E436="","",IF($G436="","",IF($G436="NOK",$F436,0)))</f>
        <v/>
      </c>
      <c r="Q436" s="46" t="str">
        <f aca="false">IF($E436="","",IF($O436&lt;&gt;"Sim","",COUNTIF($O$3:$O436,"Sim")))</f>
        <v/>
      </c>
      <c r="R436" s="47" t="n">
        <f aca="false">IF($P436="",0,$P436)</f>
        <v>0</v>
      </c>
    </row>
    <row r="437" customFormat="false" ht="18" hidden="false" customHeight="true" outlineLevel="0" collapsed="false">
      <c r="A437" s="39"/>
      <c r="B437" s="41"/>
      <c r="C437" s="40"/>
      <c r="D437" s="40"/>
      <c r="E437" s="40"/>
      <c r="F437" s="42"/>
      <c r="G437" s="39"/>
      <c r="H437" s="40"/>
      <c r="I437" s="40"/>
      <c r="J437" s="40"/>
      <c r="K437" s="41"/>
      <c r="L437" s="39"/>
      <c r="M437" s="48" t="str">
        <f aca="false">IF($E437="","",IFERROR(INDEX(Parâmetros!$C$15:$C$20,MATCH($P437,Parâmetros!$B$15:$B$20,0)),""))</f>
        <v/>
      </c>
      <c r="N437" s="46" t="str">
        <f aca="false">IF($E437="","",IF($P437="","",IF($P437&gt;=8,"Alta",IF($P437&gt;=5,"Média","Baixa"))))</f>
        <v/>
      </c>
      <c r="O437" s="46" t="str">
        <f aca="false">IF($E437="","",IF(AND(Parâmetros!$C$5&gt;0,$P437&lt;&gt;"",$P437&gt;=Parâmetros!$C$5),"Sim","Não"))</f>
        <v/>
      </c>
      <c r="P437" s="45" t="str">
        <f aca="false">IF($E437="","",IF($G437="","",IF($G437="NOK",$F437,0)))</f>
        <v/>
      </c>
      <c r="Q437" s="46" t="str">
        <f aca="false">IF($E437="","",IF($O437&lt;&gt;"Sim","",COUNTIF($O$3:$O437,"Sim")))</f>
        <v/>
      </c>
      <c r="R437" s="47" t="n">
        <f aca="false">IF($P437="",0,$P437)</f>
        <v>0</v>
      </c>
    </row>
    <row r="438" customFormat="false" ht="18" hidden="false" customHeight="true" outlineLevel="0" collapsed="false">
      <c r="A438" s="39"/>
      <c r="B438" s="41"/>
      <c r="C438" s="40"/>
      <c r="D438" s="40"/>
      <c r="E438" s="40"/>
      <c r="F438" s="42"/>
      <c r="G438" s="39"/>
      <c r="H438" s="40"/>
      <c r="I438" s="40"/>
      <c r="J438" s="40"/>
      <c r="K438" s="41"/>
      <c r="L438" s="39"/>
      <c r="M438" s="48" t="str">
        <f aca="false">IF($E438="","",IFERROR(INDEX(Parâmetros!$C$15:$C$20,MATCH($P438,Parâmetros!$B$15:$B$20,0)),""))</f>
        <v/>
      </c>
      <c r="N438" s="46" t="str">
        <f aca="false">IF($E438="","",IF($P438="","",IF($P438&gt;=8,"Alta",IF($P438&gt;=5,"Média","Baixa"))))</f>
        <v/>
      </c>
      <c r="O438" s="46" t="str">
        <f aca="false">IF($E438="","",IF(AND(Parâmetros!$C$5&gt;0,$P438&lt;&gt;"",$P438&gt;=Parâmetros!$C$5),"Sim","Não"))</f>
        <v/>
      </c>
      <c r="P438" s="45" t="str">
        <f aca="false">IF($E438="","",IF($G438="","",IF($G438="NOK",$F438,0)))</f>
        <v/>
      </c>
      <c r="Q438" s="46" t="str">
        <f aca="false">IF($E438="","",IF($O438&lt;&gt;"Sim","",COUNTIF($O$3:$O438,"Sim")))</f>
        <v/>
      </c>
      <c r="R438" s="47" t="n">
        <f aca="false">IF($P438="",0,$P438)</f>
        <v>0</v>
      </c>
    </row>
    <row r="439" customFormat="false" ht="18" hidden="false" customHeight="true" outlineLevel="0" collapsed="false">
      <c r="A439" s="39"/>
      <c r="B439" s="41"/>
      <c r="C439" s="40"/>
      <c r="D439" s="40"/>
      <c r="E439" s="40"/>
      <c r="F439" s="42"/>
      <c r="G439" s="39"/>
      <c r="H439" s="40"/>
      <c r="I439" s="40"/>
      <c r="J439" s="40"/>
      <c r="K439" s="41"/>
      <c r="L439" s="39"/>
      <c r="M439" s="48" t="str">
        <f aca="false">IF($E439="","",IFERROR(INDEX(Parâmetros!$C$15:$C$20,MATCH($P439,Parâmetros!$B$15:$B$20,0)),""))</f>
        <v/>
      </c>
      <c r="N439" s="46" t="str">
        <f aca="false">IF($E439="","",IF($P439="","",IF($P439&gt;=8,"Alta",IF($P439&gt;=5,"Média","Baixa"))))</f>
        <v/>
      </c>
      <c r="O439" s="46" t="str">
        <f aca="false">IF($E439="","",IF(AND(Parâmetros!$C$5&gt;0,$P439&lt;&gt;"",$P439&gt;=Parâmetros!$C$5),"Sim","Não"))</f>
        <v/>
      </c>
      <c r="P439" s="45" t="str">
        <f aca="false">IF($E439="","",IF($G439="","",IF($G439="NOK",$F439,0)))</f>
        <v/>
      </c>
      <c r="Q439" s="46" t="str">
        <f aca="false">IF($E439="","",IF($O439&lt;&gt;"Sim","",COUNTIF($O$3:$O439,"Sim")))</f>
        <v/>
      </c>
      <c r="R439" s="47" t="n">
        <f aca="false">IF($P439="",0,$P439)</f>
        <v>0</v>
      </c>
    </row>
    <row r="440" customFormat="false" ht="18" hidden="false" customHeight="true" outlineLevel="0" collapsed="false">
      <c r="A440" s="39"/>
      <c r="B440" s="41"/>
      <c r="C440" s="40"/>
      <c r="D440" s="40"/>
      <c r="E440" s="40"/>
      <c r="F440" s="42"/>
      <c r="G440" s="39"/>
      <c r="H440" s="40"/>
      <c r="I440" s="40"/>
      <c r="J440" s="40"/>
      <c r="K440" s="41"/>
      <c r="L440" s="39"/>
      <c r="M440" s="48" t="str">
        <f aca="false">IF($E440="","",IFERROR(INDEX(Parâmetros!$C$15:$C$20,MATCH($P440,Parâmetros!$B$15:$B$20,0)),""))</f>
        <v/>
      </c>
      <c r="N440" s="46" t="str">
        <f aca="false">IF($E440="","",IF($P440="","",IF($P440&gt;=8,"Alta",IF($P440&gt;=5,"Média","Baixa"))))</f>
        <v/>
      </c>
      <c r="O440" s="46" t="str">
        <f aca="false">IF($E440="","",IF(AND(Parâmetros!$C$5&gt;0,$P440&lt;&gt;"",$P440&gt;=Parâmetros!$C$5),"Sim","Não"))</f>
        <v/>
      </c>
      <c r="P440" s="45" t="str">
        <f aca="false">IF($E440="","",IF($G440="","",IF($G440="NOK",$F440,0)))</f>
        <v/>
      </c>
      <c r="Q440" s="46" t="str">
        <f aca="false">IF($E440="","",IF($O440&lt;&gt;"Sim","",COUNTIF($O$3:$O440,"Sim")))</f>
        <v/>
      </c>
      <c r="R440" s="47" t="n">
        <f aca="false">IF($P440="",0,$P440)</f>
        <v>0</v>
      </c>
    </row>
    <row r="441" customFormat="false" ht="18" hidden="false" customHeight="true" outlineLevel="0" collapsed="false">
      <c r="A441" s="39"/>
      <c r="B441" s="41"/>
      <c r="C441" s="40"/>
      <c r="D441" s="40"/>
      <c r="E441" s="40"/>
      <c r="F441" s="42"/>
      <c r="G441" s="39"/>
      <c r="H441" s="40"/>
      <c r="I441" s="40"/>
      <c r="J441" s="40"/>
      <c r="K441" s="41"/>
      <c r="L441" s="39"/>
      <c r="M441" s="48" t="str">
        <f aca="false">IF($E441="","",IFERROR(INDEX(Parâmetros!$C$15:$C$20,MATCH($P441,Parâmetros!$B$15:$B$20,0)),""))</f>
        <v/>
      </c>
      <c r="N441" s="46" t="str">
        <f aca="false">IF($E441="","",IF($P441="","",IF($P441&gt;=8,"Alta",IF($P441&gt;=5,"Média","Baixa"))))</f>
        <v/>
      </c>
      <c r="O441" s="46" t="str">
        <f aca="false">IF($E441="","",IF(AND(Parâmetros!$C$5&gt;0,$P441&lt;&gt;"",$P441&gt;=Parâmetros!$C$5),"Sim","Não"))</f>
        <v/>
      </c>
      <c r="P441" s="45" t="str">
        <f aca="false">IF($E441="","",IF($G441="","",IF($G441="NOK",$F441,0)))</f>
        <v/>
      </c>
      <c r="Q441" s="46" t="str">
        <f aca="false">IF($E441="","",IF($O441&lt;&gt;"Sim","",COUNTIF($O$3:$O441,"Sim")))</f>
        <v/>
      </c>
      <c r="R441" s="47" t="n">
        <f aca="false">IF($P441="",0,$P441)</f>
        <v>0</v>
      </c>
    </row>
    <row r="442" customFormat="false" ht="18" hidden="false" customHeight="true" outlineLevel="0" collapsed="false">
      <c r="A442" s="39"/>
      <c r="B442" s="41"/>
      <c r="C442" s="40"/>
      <c r="D442" s="40"/>
      <c r="E442" s="40"/>
      <c r="F442" s="42"/>
      <c r="G442" s="39"/>
      <c r="H442" s="40"/>
      <c r="I442" s="40"/>
      <c r="J442" s="40"/>
      <c r="K442" s="41"/>
      <c r="L442" s="39"/>
      <c r="M442" s="48" t="str">
        <f aca="false">IF($E442="","",IFERROR(INDEX(Parâmetros!$C$15:$C$20,MATCH($P442,Parâmetros!$B$15:$B$20,0)),""))</f>
        <v/>
      </c>
      <c r="N442" s="46" t="str">
        <f aca="false">IF($E442="","",IF($P442="","",IF($P442&gt;=8,"Alta",IF($P442&gt;=5,"Média","Baixa"))))</f>
        <v/>
      </c>
      <c r="O442" s="46" t="str">
        <f aca="false">IF($E442="","",IF(AND(Parâmetros!$C$5&gt;0,$P442&lt;&gt;"",$P442&gt;=Parâmetros!$C$5),"Sim","Não"))</f>
        <v/>
      </c>
      <c r="P442" s="45" t="str">
        <f aca="false">IF($E442="","",IF($G442="","",IF($G442="NOK",$F442,0)))</f>
        <v/>
      </c>
      <c r="Q442" s="46" t="str">
        <f aca="false">IF($E442="","",IF($O442&lt;&gt;"Sim","",COUNTIF($O$3:$O442,"Sim")))</f>
        <v/>
      </c>
      <c r="R442" s="47" t="n">
        <f aca="false">IF($P442="",0,$P442)</f>
        <v>0</v>
      </c>
    </row>
    <row r="443" customFormat="false" ht="18" hidden="false" customHeight="true" outlineLevel="0" collapsed="false">
      <c r="A443" s="39"/>
      <c r="B443" s="41"/>
      <c r="C443" s="40"/>
      <c r="D443" s="40"/>
      <c r="E443" s="40"/>
      <c r="F443" s="42"/>
      <c r="G443" s="39"/>
      <c r="H443" s="40"/>
      <c r="I443" s="40"/>
      <c r="J443" s="40"/>
      <c r="K443" s="41"/>
      <c r="L443" s="39"/>
      <c r="M443" s="48" t="str">
        <f aca="false">IF($E443="","",IFERROR(INDEX(Parâmetros!$C$15:$C$20,MATCH($P443,Parâmetros!$B$15:$B$20,0)),""))</f>
        <v/>
      </c>
      <c r="N443" s="46" t="str">
        <f aca="false">IF($E443="","",IF($P443="","",IF($P443&gt;=8,"Alta",IF($P443&gt;=5,"Média","Baixa"))))</f>
        <v/>
      </c>
      <c r="O443" s="46" t="str">
        <f aca="false">IF($E443="","",IF(AND(Parâmetros!$C$5&gt;0,$P443&lt;&gt;"",$P443&gt;=Parâmetros!$C$5),"Sim","Não"))</f>
        <v/>
      </c>
      <c r="P443" s="45" t="str">
        <f aca="false">IF($E443="","",IF($G443="","",IF($G443="NOK",$F443,0)))</f>
        <v/>
      </c>
      <c r="Q443" s="46" t="str">
        <f aca="false">IF($E443="","",IF($O443&lt;&gt;"Sim","",COUNTIF($O$3:$O443,"Sim")))</f>
        <v/>
      </c>
      <c r="R443" s="47" t="n">
        <f aca="false">IF($P443="",0,$P443)</f>
        <v>0</v>
      </c>
    </row>
    <row r="444" customFormat="false" ht="18" hidden="false" customHeight="true" outlineLevel="0" collapsed="false">
      <c r="A444" s="39"/>
      <c r="B444" s="41"/>
      <c r="C444" s="40"/>
      <c r="D444" s="40"/>
      <c r="E444" s="40"/>
      <c r="F444" s="42"/>
      <c r="G444" s="39"/>
      <c r="H444" s="40"/>
      <c r="I444" s="40"/>
      <c r="J444" s="40"/>
      <c r="K444" s="41"/>
      <c r="L444" s="39"/>
      <c r="M444" s="48" t="str">
        <f aca="false">IF($E444="","",IFERROR(INDEX(Parâmetros!$C$15:$C$20,MATCH($P444,Parâmetros!$B$15:$B$20,0)),""))</f>
        <v/>
      </c>
      <c r="N444" s="46" t="str">
        <f aca="false">IF($E444="","",IF($P444="","",IF($P444&gt;=8,"Alta",IF($P444&gt;=5,"Média","Baixa"))))</f>
        <v/>
      </c>
      <c r="O444" s="46" t="str">
        <f aca="false">IF($E444="","",IF(AND(Parâmetros!$C$5&gt;0,$P444&lt;&gt;"",$P444&gt;=Parâmetros!$C$5),"Sim","Não"))</f>
        <v/>
      </c>
      <c r="P444" s="45" t="str">
        <f aca="false">IF($E444="","",IF($G444="","",IF($G444="NOK",$F444,0)))</f>
        <v/>
      </c>
      <c r="Q444" s="46" t="str">
        <f aca="false">IF($E444="","",IF($O444&lt;&gt;"Sim","",COUNTIF($O$3:$O444,"Sim")))</f>
        <v/>
      </c>
      <c r="R444" s="47" t="n">
        <f aca="false">IF($P444="",0,$P444)</f>
        <v>0</v>
      </c>
    </row>
    <row r="445" customFormat="false" ht="18" hidden="false" customHeight="true" outlineLevel="0" collapsed="false">
      <c r="A445" s="39"/>
      <c r="B445" s="41"/>
      <c r="C445" s="40"/>
      <c r="D445" s="40"/>
      <c r="E445" s="40"/>
      <c r="F445" s="42"/>
      <c r="G445" s="39"/>
      <c r="H445" s="40"/>
      <c r="I445" s="40"/>
      <c r="J445" s="40"/>
      <c r="K445" s="41"/>
      <c r="L445" s="39"/>
      <c r="M445" s="48" t="str">
        <f aca="false">IF($E445="","",IFERROR(INDEX(Parâmetros!$C$15:$C$20,MATCH($P445,Parâmetros!$B$15:$B$20,0)),""))</f>
        <v/>
      </c>
      <c r="N445" s="46" t="str">
        <f aca="false">IF($E445="","",IF($P445="","",IF($P445&gt;=8,"Alta",IF($P445&gt;=5,"Média","Baixa"))))</f>
        <v/>
      </c>
      <c r="O445" s="46" t="str">
        <f aca="false">IF($E445="","",IF(AND(Parâmetros!$C$5&gt;0,$P445&lt;&gt;"",$P445&gt;=Parâmetros!$C$5),"Sim","Não"))</f>
        <v/>
      </c>
      <c r="P445" s="45" t="str">
        <f aca="false">IF($E445="","",IF($G445="","",IF($G445="NOK",$F445,0)))</f>
        <v/>
      </c>
      <c r="Q445" s="46" t="str">
        <f aca="false">IF($E445="","",IF($O445&lt;&gt;"Sim","",COUNTIF($O$3:$O445,"Sim")))</f>
        <v/>
      </c>
      <c r="R445" s="47" t="n">
        <f aca="false">IF($P445="",0,$P445)</f>
        <v>0</v>
      </c>
    </row>
    <row r="446" customFormat="false" ht="18" hidden="false" customHeight="true" outlineLevel="0" collapsed="false">
      <c r="A446" s="39"/>
      <c r="B446" s="41"/>
      <c r="C446" s="40"/>
      <c r="D446" s="40"/>
      <c r="E446" s="40"/>
      <c r="F446" s="42"/>
      <c r="G446" s="39"/>
      <c r="H446" s="40"/>
      <c r="I446" s="40"/>
      <c r="J446" s="40"/>
      <c r="K446" s="41"/>
      <c r="L446" s="39"/>
      <c r="M446" s="48" t="str">
        <f aca="false">IF($E446="","",IFERROR(INDEX(Parâmetros!$C$15:$C$20,MATCH($P446,Parâmetros!$B$15:$B$20,0)),""))</f>
        <v/>
      </c>
      <c r="N446" s="46" t="str">
        <f aca="false">IF($E446="","",IF($P446="","",IF($P446&gt;=8,"Alta",IF($P446&gt;=5,"Média","Baixa"))))</f>
        <v/>
      </c>
      <c r="O446" s="46" t="str">
        <f aca="false">IF($E446="","",IF(AND(Parâmetros!$C$5&gt;0,$P446&lt;&gt;"",$P446&gt;=Parâmetros!$C$5),"Sim","Não"))</f>
        <v/>
      </c>
      <c r="P446" s="45" t="str">
        <f aca="false">IF($E446="","",IF($G446="","",IF($G446="NOK",$F446,0)))</f>
        <v/>
      </c>
      <c r="Q446" s="46" t="str">
        <f aca="false">IF($E446="","",IF($O446&lt;&gt;"Sim","",COUNTIF($O$3:$O446,"Sim")))</f>
        <v/>
      </c>
      <c r="R446" s="47" t="n">
        <f aca="false">IF($P446="",0,$P446)</f>
        <v>0</v>
      </c>
    </row>
    <row r="447" customFormat="false" ht="18" hidden="false" customHeight="true" outlineLevel="0" collapsed="false">
      <c r="A447" s="39"/>
      <c r="B447" s="41"/>
      <c r="C447" s="40"/>
      <c r="D447" s="40"/>
      <c r="E447" s="40"/>
      <c r="F447" s="42"/>
      <c r="G447" s="39"/>
      <c r="H447" s="40"/>
      <c r="I447" s="40"/>
      <c r="J447" s="40"/>
      <c r="K447" s="41"/>
      <c r="L447" s="39"/>
      <c r="M447" s="48" t="str">
        <f aca="false">IF($E447="","",IFERROR(INDEX(Parâmetros!$C$15:$C$20,MATCH($P447,Parâmetros!$B$15:$B$20,0)),""))</f>
        <v/>
      </c>
      <c r="N447" s="46" t="str">
        <f aca="false">IF($E447="","",IF($P447="","",IF($P447&gt;=8,"Alta",IF($P447&gt;=5,"Média","Baixa"))))</f>
        <v/>
      </c>
      <c r="O447" s="46" t="str">
        <f aca="false">IF($E447="","",IF(AND(Parâmetros!$C$5&gt;0,$P447&lt;&gt;"",$P447&gt;=Parâmetros!$C$5),"Sim","Não"))</f>
        <v/>
      </c>
      <c r="P447" s="45" t="str">
        <f aca="false">IF($E447="","",IF($G447="","",IF($G447="NOK",$F447,0)))</f>
        <v/>
      </c>
      <c r="Q447" s="46" t="str">
        <f aca="false">IF($E447="","",IF($O447&lt;&gt;"Sim","",COUNTIF($O$3:$O447,"Sim")))</f>
        <v/>
      </c>
      <c r="R447" s="47" t="n">
        <f aca="false">IF($P447="",0,$P447)</f>
        <v>0</v>
      </c>
    </row>
    <row r="448" customFormat="false" ht="18" hidden="false" customHeight="true" outlineLevel="0" collapsed="false">
      <c r="A448" s="39"/>
      <c r="B448" s="41"/>
      <c r="C448" s="40"/>
      <c r="D448" s="40"/>
      <c r="E448" s="40"/>
      <c r="F448" s="42"/>
      <c r="G448" s="39"/>
      <c r="H448" s="40"/>
      <c r="I448" s="40"/>
      <c r="J448" s="40"/>
      <c r="K448" s="41"/>
      <c r="L448" s="39"/>
      <c r="M448" s="48" t="str">
        <f aca="false">IF($E448="","",IFERROR(INDEX(Parâmetros!$C$15:$C$20,MATCH($P448,Parâmetros!$B$15:$B$20,0)),""))</f>
        <v/>
      </c>
      <c r="N448" s="46" t="str">
        <f aca="false">IF($E448="","",IF($P448="","",IF($P448&gt;=8,"Alta",IF($P448&gt;=5,"Média","Baixa"))))</f>
        <v/>
      </c>
      <c r="O448" s="46" t="str">
        <f aca="false">IF($E448="","",IF(AND(Parâmetros!$C$5&gt;0,$P448&lt;&gt;"",$P448&gt;=Parâmetros!$C$5),"Sim","Não"))</f>
        <v/>
      </c>
      <c r="P448" s="45" t="str">
        <f aca="false">IF($E448="","",IF($G448="","",IF($G448="NOK",$F448,0)))</f>
        <v/>
      </c>
      <c r="Q448" s="46" t="str">
        <f aca="false">IF($E448="","",IF($O448&lt;&gt;"Sim","",COUNTIF($O$3:$O448,"Sim")))</f>
        <v/>
      </c>
      <c r="R448" s="47" t="n">
        <f aca="false">IF($P448="",0,$P448)</f>
        <v>0</v>
      </c>
    </row>
    <row r="449" customFormat="false" ht="18" hidden="false" customHeight="true" outlineLevel="0" collapsed="false">
      <c r="A449" s="39"/>
      <c r="B449" s="41"/>
      <c r="C449" s="40"/>
      <c r="D449" s="40"/>
      <c r="E449" s="40"/>
      <c r="F449" s="42"/>
      <c r="G449" s="39"/>
      <c r="H449" s="40"/>
      <c r="I449" s="40"/>
      <c r="J449" s="40"/>
      <c r="K449" s="41"/>
      <c r="L449" s="39"/>
      <c r="M449" s="48" t="str">
        <f aca="false">IF($E449="","",IFERROR(INDEX(Parâmetros!$C$15:$C$20,MATCH($P449,Parâmetros!$B$15:$B$20,0)),""))</f>
        <v/>
      </c>
      <c r="N449" s="46" t="str">
        <f aca="false">IF($E449="","",IF($P449="","",IF($P449&gt;=8,"Alta",IF($P449&gt;=5,"Média","Baixa"))))</f>
        <v/>
      </c>
      <c r="O449" s="46" t="str">
        <f aca="false">IF($E449="","",IF(AND(Parâmetros!$C$5&gt;0,$P449&lt;&gt;"",$P449&gt;=Parâmetros!$C$5),"Sim","Não"))</f>
        <v/>
      </c>
      <c r="P449" s="45" t="str">
        <f aca="false">IF($E449="","",IF($G449="","",IF($G449="NOK",$F449,0)))</f>
        <v/>
      </c>
      <c r="Q449" s="46" t="str">
        <f aca="false">IF($E449="","",IF($O449&lt;&gt;"Sim","",COUNTIF($O$3:$O449,"Sim")))</f>
        <v/>
      </c>
      <c r="R449" s="47" t="n">
        <f aca="false">IF($P449="",0,$P449)</f>
        <v>0</v>
      </c>
    </row>
    <row r="450" customFormat="false" ht="18" hidden="false" customHeight="true" outlineLevel="0" collapsed="false">
      <c r="A450" s="39"/>
      <c r="B450" s="41"/>
      <c r="C450" s="40"/>
      <c r="D450" s="40"/>
      <c r="E450" s="40"/>
      <c r="F450" s="42"/>
      <c r="G450" s="39"/>
      <c r="H450" s="40"/>
      <c r="I450" s="40"/>
      <c r="J450" s="40"/>
      <c r="K450" s="41"/>
      <c r="L450" s="39"/>
      <c r="M450" s="48" t="str">
        <f aca="false">IF($E450="","",IFERROR(INDEX(Parâmetros!$C$15:$C$20,MATCH($P450,Parâmetros!$B$15:$B$20,0)),""))</f>
        <v/>
      </c>
      <c r="N450" s="46" t="str">
        <f aca="false">IF($E450="","",IF($P450="","",IF($P450&gt;=8,"Alta",IF($P450&gt;=5,"Média","Baixa"))))</f>
        <v/>
      </c>
      <c r="O450" s="46" t="str">
        <f aca="false">IF($E450="","",IF(AND(Parâmetros!$C$5&gt;0,$P450&lt;&gt;"",$P450&gt;=Parâmetros!$C$5),"Sim","Não"))</f>
        <v/>
      </c>
      <c r="P450" s="45" t="str">
        <f aca="false">IF($E450="","",IF($G450="","",IF($G450="NOK",$F450,0)))</f>
        <v/>
      </c>
      <c r="Q450" s="46" t="str">
        <f aca="false">IF($E450="","",IF($O450&lt;&gt;"Sim","",COUNTIF($O$3:$O450,"Sim")))</f>
        <v/>
      </c>
      <c r="R450" s="47" t="n">
        <f aca="false">IF($P450="",0,$P450)</f>
        <v>0</v>
      </c>
    </row>
    <row r="451" customFormat="false" ht="18" hidden="false" customHeight="true" outlineLevel="0" collapsed="false">
      <c r="A451" s="39"/>
      <c r="B451" s="41"/>
      <c r="C451" s="40"/>
      <c r="D451" s="40"/>
      <c r="E451" s="40"/>
      <c r="F451" s="42"/>
      <c r="G451" s="39"/>
      <c r="H451" s="40"/>
      <c r="I451" s="40"/>
      <c r="J451" s="40"/>
      <c r="K451" s="41"/>
      <c r="L451" s="39"/>
      <c r="M451" s="48" t="str">
        <f aca="false">IF($E451="","",IFERROR(INDEX(Parâmetros!$C$15:$C$20,MATCH($P451,Parâmetros!$B$15:$B$20,0)),""))</f>
        <v/>
      </c>
      <c r="N451" s="46" t="str">
        <f aca="false">IF($E451="","",IF($P451="","",IF($P451&gt;=8,"Alta",IF($P451&gt;=5,"Média","Baixa"))))</f>
        <v/>
      </c>
      <c r="O451" s="46" t="str">
        <f aca="false">IF($E451="","",IF(AND(Parâmetros!$C$5&gt;0,$P451&lt;&gt;"",$P451&gt;=Parâmetros!$C$5),"Sim","Não"))</f>
        <v/>
      </c>
      <c r="P451" s="45" t="str">
        <f aca="false">IF($E451="","",IF($G451="","",IF($G451="NOK",$F451,0)))</f>
        <v/>
      </c>
      <c r="Q451" s="46" t="str">
        <f aca="false">IF($E451="","",IF($O451&lt;&gt;"Sim","",COUNTIF($O$3:$O451,"Sim")))</f>
        <v/>
      </c>
      <c r="R451" s="47" t="n">
        <f aca="false">IF($P451="",0,$P451)</f>
        <v>0</v>
      </c>
    </row>
    <row r="452" customFormat="false" ht="18" hidden="false" customHeight="true" outlineLevel="0" collapsed="false">
      <c r="A452" s="39"/>
      <c r="B452" s="41"/>
      <c r="C452" s="40"/>
      <c r="D452" s="40"/>
      <c r="E452" s="40"/>
      <c r="F452" s="42"/>
      <c r="G452" s="39"/>
      <c r="H452" s="40"/>
      <c r="I452" s="40"/>
      <c r="J452" s="40"/>
      <c r="K452" s="41"/>
      <c r="L452" s="39"/>
      <c r="M452" s="48" t="str">
        <f aca="false">IF($E452="","",IFERROR(INDEX(Parâmetros!$C$15:$C$20,MATCH($P452,Parâmetros!$B$15:$B$20,0)),""))</f>
        <v/>
      </c>
      <c r="N452" s="46" t="str">
        <f aca="false">IF($E452="","",IF($P452="","",IF($P452&gt;=8,"Alta",IF($P452&gt;=5,"Média","Baixa"))))</f>
        <v/>
      </c>
      <c r="O452" s="46" t="str">
        <f aca="false">IF($E452="","",IF(AND(Parâmetros!$C$5&gt;0,$P452&lt;&gt;"",$P452&gt;=Parâmetros!$C$5),"Sim","Não"))</f>
        <v/>
      </c>
      <c r="P452" s="45" t="str">
        <f aca="false">IF($E452="","",IF($G452="","",IF($G452="NOK",$F452,0)))</f>
        <v/>
      </c>
      <c r="Q452" s="46" t="str">
        <f aca="false">IF($E452="","",IF($O452&lt;&gt;"Sim","",COUNTIF($O$3:$O452,"Sim")))</f>
        <v/>
      </c>
      <c r="R452" s="47" t="n">
        <f aca="false">IF($P452="",0,$P452)</f>
        <v>0</v>
      </c>
    </row>
    <row r="453" customFormat="false" ht="18" hidden="false" customHeight="true" outlineLevel="0" collapsed="false">
      <c r="A453" s="39"/>
      <c r="B453" s="41"/>
      <c r="C453" s="40"/>
      <c r="D453" s="40"/>
      <c r="E453" s="40"/>
      <c r="F453" s="42"/>
      <c r="G453" s="39"/>
      <c r="H453" s="40"/>
      <c r="I453" s="40"/>
      <c r="J453" s="40"/>
      <c r="K453" s="41"/>
      <c r="L453" s="39"/>
      <c r="M453" s="48" t="str">
        <f aca="false">IF($E453="","",IFERROR(INDEX(Parâmetros!$C$15:$C$20,MATCH($P453,Parâmetros!$B$15:$B$20,0)),""))</f>
        <v/>
      </c>
      <c r="N453" s="46" t="str">
        <f aca="false">IF($E453="","",IF($P453="","",IF($P453&gt;=8,"Alta",IF($P453&gt;=5,"Média","Baixa"))))</f>
        <v/>
      </c>
      <c r="O453" s="46" t="str">
        <f aca="false">IF($E453="","",IF(AND(Parâmetros!$C$5&gt;0,$P453&lt;&gt;"",$P453&gt;=Parâmetros!$C$5),"Sim","Não"))</f>
        <v/>
      </c>
      <c r="P453" s="45" t="str">
        <f aca="false">IF($E453="","",IF($G453="","",IF($G453="NOK",$F453,0)))</f>
        <v/>
      </c>
      <c r="Q453" s="46" t="str">
        <f aca="false">IF($E453="","",IF($O453&lt;&gt;"Sim","",COUNTIF($O$3:$O453,"Sim")))</f>
        <v/>
      </c>
      <c r="R453" s="47" t="n">
        <f aca="false">IF($P453="",0,$P453)</f>
        <v>0</v>
      </c>
    </row>
    <row r="454" customFormat="false" ht="18" hidden="false" customHeight="true" outlineLevel="0" collapsed="false">
      <c r="A454" s="39"/>
      <c r="B454" s="41"/>
      <c r="C454" s="40"/>
      <c r="D454" s="40"/>
      <c r="E454" s="40"/>
      <c r="F454" s="42"/>
      <c r="G454" s="39"/>
      <c r="H454" s="40"/>
      <c r="I454" s="40"/>
      <c r="J454" s="40"/>
      <c r="K454" s="41"/>
      <c r="L454" s="39"/>
      <c r="M454" s="48" t="str">
        <f aca="false">IF($E454="","",IFERROR(INDEX(Parâmetros!$C$15:$C$20,MATCH($P454,Parâmetros!$B$15:$B$20,0)),""))</f>
        <v/>
      </c>
      <c r="N454" s="46" t="str">
        <f aca="false">IF($E454="","",IF($P454="","",IF($P454&gt;=8,"Alta",IF($P454&gt;=5,"Média","Baixa"))))</f>
        <v/>
      </c>
      <c r="O454" s="46" t="str">
        <f aca="false">IF($E454="","",IF(AND(Parâmetros!$C$5&gt;0,$P454&lt;&gt;"",$P454&gt;=Parâmetros!$C$5),"Sim","Não"))</f>
        <v/>
      </c>
      <c r="P454" s="45" t="str">
        <f aca="false">IF($E454="","",IF($G454="","",IF($G454="NOK",$F454,0)))</f>
        <v/>
      </c>
      <c r="Q454" s="46" t="str">
        <f aca="false">IF($E454="","",IF($O454&lt;&gt;"Sim","",COUNTIF($O$3:$O454,"Sim")))</f>
        <v/>
      </c>
      <c r="R454" s="47" t="n">
        <f aca="false">IF($P454="",0,$P454)</f>
        <v>0</v>
      </c>
    </row>
    <row r="455" customFormat="false" ht="18" hidden="false" customHeight="true" outlineLevel="0" collapsed="false">
      <c r="A455" s="39"/>
      <c r="B455" s="41"/>
      <c r="C455" s="40"/>
      <c r="D455" s="40"/>
      <c r="E455" s="40"/>
      <c r="F455" s="42"/>
      <c r="G455" s="39"/>
      <c r="H455" s="40"/>
      <c r="I455" s="40"/>
      <c r="J455" s="40"/>
      <c r="K455" s="41"/>
      <c r="L455" s="39"/>
      <c r="M455" s="48" t="str">
        <f aca="false">IF($E455="","",IFERROR(INDEX(Parâmetros!$C$15:$C$20,MATCH($P455,Parâmetros!$B$15:$B$20,0)),""))</f>
        <v/>
      </c>
      <c r="N455" s="46" t="str">
        <f aca="false">IF($E455="","",IF($P455="","",IF($P455&gt;=8,"Alta",IF($P455&gt;=5,"Média","Baixa"))))</f>
        <v/>
      </c>
      <c r="O455" s="46" t="str">
        <f aca="false">IF($E455="","",IF(AND(Parâmetros!$C$5&gt;0,$P455&lt;&gt;"",$P455&gt;=Parâmetros!$C$5),"Sim","Não"))</f>
        <v/>
      </c>
      <c r="P455" s="45" t="str">
        <f aca="false">IF($E455="","",IF($G455="","",IF($G455="NOK",$F455,0)))</f>
        <v/>
      </c>
      <c r="Q455" s="46" t="str">
        <f aca="false">IF($E455="","",IF($O455&lt;&gt;"Sim","",COUNTIF($O$3:$O455,"Sim")))</f>
        <v/>
      </c>
      <c r="R455" s="47" t="n">
        <f aca="false">IF($P455="",0,$P455)</f>
        <v>0</v>
      </c>
    </row>
    <row r="456" customFormat="false" ht="18" hidden="false" customHeight="true" outlineLevel="0" collapsed="false">
      <c r="A456" s="39"/>
      <c r="B456" s="41"/>
      <c r="C456" s="40"/>
      <c r="D456" s="40"/>
      <c r="E456" s="40"/>
      <c r="F456" s="42"/>
      <c r="G456" s="39"/>
      <c r="H456" s="40"/>
      <c r="I456" s="40"/>
      <c r="J456" s="40"/>
      <c r="K456" s="41"/>
      <c r="L456" s="39"/>
      <c r="M456" s="48" t="str">
        <f aca="false">IF($E456="","",IFERROR(INDEX(Parâmetros!$C$15:$C$20,MATCH($P456,Parâmetros!$B$15:$B$20,0)),""))</f>
        <v/>
      </c>
      <c r="N456" s="46" t="str">
        <f aca="false">IF($E456="","",IF($P456="","",IF($P456&gt;=8,"Alta",IF($P456&gt;=5,"Média","Baixa"))))</f>
        <v/>
      </c>
      <c r="O456" s="46" t="str">
        <f aca="false">IF($E456="","",IF(AND(Parâmetros!$C$5&gt;0,$P456&lt;&gt;"",$P456&gt;=Parâmetros!$C$5),"Sim","Não"))</f>
        <v/>
      </c>
      <c r="P456" s="45" t="str">
        <f aca="false">IF($E456="","",IF($G456="","",IF($G456="NOK",$F456,0)))</f>
        <v/>
      </c>
      <c r="Q456" s="46" t="str">
        <f aca="false">IF($E456="","",IF($O456&lt;&gt;"Sim","",COUNTIF($O$3:$O456,"Sim")))</f>
        <v/>
      </c>
      <c r="R456" s="47" t="n">
        <f aca="false">IF($P456="",0,$P456)</f>
        <v>0</v>
      </c>
    </row>
    <row r="457" customFormat="false" ht="18" hidden="false" customHeight="true" outlineLevel="0" collapsed="false">
      <c r="A457" s="39"/>
      <c r="B457" s="41"/>
      <c r="C457" s="40"/>
      <c r="D457" s="40"/>
      <c r="E457" s="40"/>
      <c r="F457" s="42"/>
      <c r="G457" s="39"/>
      <c r="H457" s="40"/>
      <c r="I457" s="40"/>
      <c r="J457" s="40"/>
      <c r="K457" s="41"/>
      <c r="L457" s="39"/>
      <c r="M457" s="48" t="str">
        <f aca="false">IF($E457="","",IFERROR(INDEX(Parâmetros!$C$15:$C$20,MATCH($P457,Parâmetros!$B$15:$B$20,0)),""))</f>
        <v/>
      </c>
      <c r="N457" s="46" t="str">
        <f aca="false">IF($E457="","",IF($P457="","",IF($P457&gt;=8,"Alta",IF($P457&gt;=5,"Média","Baixa"))))</f>
        <v/>
      </c>
      <c r="O457" s="46" t="str">
        <f aca="false">IF($E457="","",IF(AND(Parâmetros!$C$5&gt;0,$P457&lt;&gt;"",$P457&gt;=Parâmetros!$C$5),"Sim","Não"))</f>
        <v/>
      </c>
      <c r="P457" s="45" t="str">
        <f aca="false">IF($E457="","",IF($G457="","",IF($G457="NOK",$F457,0)))</f>
        <v/>
      </c>
      <c r="Q457" s="46" t="str">
        <f aca="false">IF($E457="","",IF($O457&lt;&gt;"Sim","",COUNTIF($O$3:$O457,"Sim")))</f>
        <v/>
      </c>
      <c r="R457" s="47" t="n">
        <f aca="false">IF($P457="",0,$P457)</f>
        <v>0</v>
      </c>
    </row>
    <row r="458" customFormat="false" ht="18" hidden="false" customHeight="true" outlineLevel="0" collapsed="false">
      <c r="A458" s="39"/>
      <c r="B458" s="41"/>
      <c r="C458" s="40"/>
      <c r="D458" s="40"/>
      <c r="E458" s="40"/>
      <c r="F458" s="42"/>
      <c r="G458" s="39"/>
      <c r="H458" s="40"/>
      <c r="I458" s="40"/>
      <c r="J458" s="40"/>
      <c r="K458" s="41"/>
      <c r="L458" s="39"/>
      <c r="M458" s="48" t="str">
        <f aca="false">IF($E458="","",IFERROR(INDEX(Parâmetros!$C$15:$C$20,MATCH($P458,Parâmetros!$B$15:$B$20,0)),""))</f>
        <v/>
      </c>
      <c r="N458" s="46" t="str">
        <f aca="false">IF($E458="","",IF($P458="","",IF($P458&gt;=8,"Alta",IF($P458&gt;=5,"Média","Baixa"))))</f>
        <v/>
      </c>
      <c r="O458" s="46" t="str">
        <f aca="false">IF($E458="","",IF(AND(Parâmetros!$C$5&gt;0,$P458&lt;&gt;"",$P458&gt;=Parâmetros!$C$5),"Sim","Não"))</f>
        <v/>
      </c>
      <c r="P458" s="45" t="str">
        <f aca="false">IF($E458="","",IF($G458="","",IF($G458="NOK",$F458,0)))</f>
        <v/>
      </c>
      <c r="Q458" s="46" t="str">
        <f aca="false">IF($E458="","",IF($O458&lt;&gt;"Sim","",COUNTIF($O$3:$O458,"Sim")))</f>
        <v/>
      </c>
      <c r="R458" s="47" t="n">
        <f aca="false">IF($P458="",0,$P458)</f>
        <v>0</v>
      </c>
    </row>
    <row r="459" customFormat="false" ht="18" hidden="false" customHeight="true" outlineLevel="0" collapsed="false">
      <c r="A459" s="39"/>
      <c r="B459" s="41"/>
      <c r="C459" s="40"/>
      <c r="D459" s="40"/>
      <c r="E459" s="40"/>
      <c r="F459" s="42"/>
      <c r="G459" s="39"/>
      <c r="H459" s="40"/>
      <c r="I459" s="40"/>
      <c r="J459" s="40"/>
      <c r="K459" s="41"/>
      <c r="L459" s="39"/>
      <c r="M459" s="48" t="str">
        <f aca="false">IF($E459="","",IFERROR(INDEX(Parâmetros!$C$15:$C$20,MATCH($P459,Parâmetros!$B$15:$B$20,0)),""))</f>
        <v/>
      </c>
      <c r="N459" s="46" t="str">
        <f aca="false">IF($E459="","",IF($P459="","",IF($P459&gt;=8,"Alta",IF($P459&gt;=5,"Média","Baixa"))))</f>
        <v/>
      </c>
      <c r="O459" s="46" t="str">
        <f aca="false">IF($E459="","",IF(AND(Parâmetros!$C$5&gt;0,$P459&lt;&gt;"",$P459&gt;=Parâmetros!$C$5),"Sim","Não"))</f>
        <v/>
      </c>
      <c r="P459" s="45" t="str">
        <f aca="false">IF($E459="","",IF($G459="","",IF($G459="NOK",$F459,0)))</f>
        <v/>
      </c>
      <c r="Q459" s="46" t="str">
        <f aca="false">IF($E459="","",IF($O459&lt;&gt;"Sim","",COUNTIF($O$3:$O459,"Sim")))</f>
        <v/>
      </c>
      <c r="R459" s="47" t="n">
        <f aca="false">IF($P459="",0,$P459)</f>
        <v>0</v>
      </c>
    </row>
    <row r="460" customFormat="false" ht="18" hidden="false" customHeight="true" outlineLevel="0" collapsed="false">
      <c r="A460" s="39"/>
      <c r="B460" s="41"/>
      <c r="C460" s="40"/>
      <c r="D460" s="40"/>
      <c r="E460" s="40"/>
      <c r="F460" s="42"/>
      <c r="G460" s="39"/>
      <c r="H460" s="40"/>
      <c r="I460" s="40"/>
      <c r="J460" s="40"/>
      <c r="K460" s="41"/>
      <c r="L460" s="39"/>
      <c r="M460" s="48" t="str">
        <f aca="false">IF($E460="","",IFERROR(INDEX(Parâmetros!$C$15:$C$20,MATCH($P460,Parâmetros!$B$15:$B$20,0)),""))</f>
        <v/>
      </c>
      <c r="N460" s="46" t="str">
        <f aca="false">IF($E460="","",IF($P460="","",IF($P460&gt;=8,"Alta",IF($P460&gt;=5,"Média","Baixa"))))</f>
        <v/>
      </c>
      <c r="O460" s="46" t="str">
        <f aca="false">IF($E460="","",IF(AND(Parâmetros!$C$5&gt;0,$P460&lt;&gt;"",$P460&gt;=Parâmetros!$C$5),"Sim","Não"))</f>
        <v/>
      </c>
      <c r="P460" s="45" t="str">
        <f aca="false">IF($E460="","",IF($G460="","",IF($G460="NOK",$F460,0)))</f>
        <v/>
      </c>
      <c r="Q460" s="46" t="str">
        <f aca="false">IF($E460="","",IF($O460&lt;&gt;"Sim","",COUNTIF($O$3:$O460,"Sim")))</f>
        <v/>
      </c>
      <c r="R460" s="47" t="n">
        <f aca="false">IF($P460="",0,$P460)</f>
        <v>0</v>
      </c>
    </row>
    <row r="461" customFormat="false" ht="18" hidden="false" customHeight="true" outlineLevel="0" collapsed="false">
      <c r="A461" s="39"/>
      <c r="B461" s="41"/>
      <c r="C461" s="40"/>
      <c r="D461" s="40"/>
      <c r="E461" s="40"/>
      <c r="F461" s="42"/>
      <c r="G461" s="39"/>
      <c r="H461" s="40"/>
      <c r="I461" s="40"/>
      <c r="J461" s="40"/>
      <c r="K461" s="41"/>
      <c r="L461" s="39"/>
      <c r="M461" s="48" t="str">
        <f aca="false">IF($E461="","",IFERROR(INDEX(Parâmetros!$C$15:$C$20,MATCH($P461,Parâmetros!$B$15:$B$20,0)),""))</f>
        <v/>
      </c>
      <c r="N461" s="46" t="str">
        <f aca="false">IF($E461="","",IF($P461="","",IF($P461&gt;=8,"Alta",IF($P461&gt;=5,"Média","Baixa"))))</f>
        <v/>
      </c>
      <c r="O461" s="46" t="str">
        <f aca="false">IF($E461="","",IF(AND(Parâmetros!$C$5&gt;0,$P461&lt;&gt;"",$P461&gt;=Parâmetros!$C$5),"Sim","Não"))</f>
        <v/>
      </c>
      <c r="P461" s="45" t="str">
        <f aca="false">IF($E461="","",IF($G461="","",IF($G461="NOK",$F461,0)))</f>
        <v/>
      </c>
      <c r="Q461" s="46" t="str">
        <f aca="false">IF($E461="","",IF($O461&lt;&gt;"Sim","",COUNTIF($O$3:$O461,"Sim")))</f>
        <v/>
      </c>
      <c r="R461" s="47" t="n">
        <f aca="false">IF($P461="",0,$P461)</f>
        <v>0</v>
      </c>
    </row>
    <row r="462" customFormat="false" ht="18" hidden="false" customHeight="true" outlineLevel="0" collapsed="false">
      <c r="A462" s="39"/>
      <c r="B462" s="41"/>
      <c r="C462" s="40"/>
      <c r="D462" s="40"/>
      <c r="E462" s="40"/>
      <c r="F462" s="42"/>
      <c r="G462" s="39"/>
      <c r="H462" s="40"/>
      <c r="I462" s="40"/>
      <c r="J462" s="40"/>
      <c r="K462" s="41"/>
      <c r="L462" s="39"/>
      <c r="M462" s="48" t="str">
        <f aca="false">IF($E462="","",IFERROR(INDEX(Parâmetros!$C$15:$C$20,MATCH($P462,Parâmetros!$B$15:$B$20,0)),""))</f>
        <v/>
      </c>
      <c r="N462" s="46" t="str">
        <f aca="false">IF($E462="","",IF($P462="","",IF($P462&gt;=8,"Alta",IF($P462&gt;=5,"Média","Baixa"))))</f>
        <v/>
      </c>
      <c r="O462" s="46" t="str">
        <f aca="false">IF($E462="","",IF(AND(Parâmetros!$C$5&gt;0,$P462&lt;&gt;"",$P462&gt;=Parâmetros!$C$5),"Sim","Não"))</f>
        <v/>
      </c>
      <c r="P462" s="45" t="str">
        <f aca="false">IF($E462="","",IF($G462="","",IF($G462="NOK",$F462,0)))</f>
        <v/>
      </c>
      <c r="Q462" s="46" t="str">
        <f aca="false">IF($E462="","",IF($O462&lt;&gt;"Sim","",COUNTIF($O$3:$O462,"Sim")))</f>
        <v/>
      </c>
      <c r="R462" s="47" t="n">
        <f aca="false">IF($P462="",0,$P462)</f>
        <v>0</v>
      </c>
    </row>
    <row r="463" customFormat="false" ht="18" hidden="false" customHeight="true" outlineLevel="0" collapsed="false">
      <c r="A463" s="39"/>
      <c r="B463" s="41"/>
      <c r="C463" s="40"/>
      <c r="D463" s="40"/>
      <c r="E463" s="40"/>
      <c r="F463" s="42"/>
      <c r="G463" s="39"/>
      <c r="H463" s="40"/>
      <c r="I463" s="40"/>
      <c r="J463" s="40"/>
      <c r="K463" s="41"/>
      <c r="L463" s="39"/>
      <c r="M463" s="48" t="str">
        <f aca="false">IF($E463="","",IFERROR(INDEX(Parâmetros!$C$15:$C$20,MATCH($P463,Parâmetros!$B$15:$B$20,0)),""))</f>
        <v/>
      </c>
      <c r="N463" s="46" t="str">
        <f aca="false">IF($E463="","",IF($P463="","",IF($P463&gt;=8,"Alta",IF($P463&gt;=5,"Média","Baixa"))))</f>
        <v/>
      </c>
      <c r="O463" s="46" t="str">
        <f aca="false">IF($E463="","",IF(AND(Parâmetros!$C$5&gt;0,$P463&lt;&gt;"",$P463&gt;=Parâmetros!$C$5),"Sim","Não"))</f>
        <v/>
      </c>
      <c r="P463" s="45" t="str">
        <f aca="false">IF($E463="","",IF($G463="","",IF($G463="NOK",$F463,0)))</f>
        <v/>
      </c>
      <c r="Q463" s="46" t="str">
        <f aca="false">IF($E463="","",IF($O463&lt;&gt;"Sim","",COUNTIF($O$3:$O463,"Sim")))</f>
        <v/>
      </c>
      <c r="R463" s="47" t="n">
        <f aca="false">IF($P463="",0,$P463)</f>
        <v>0</v>
      </c>
    </row>
    <row r="464" customFormat="false" ht="18" hidden="false" customHeight="true" outlineLevel="0" collapsed="false">
      <c r="A464" s="39"/>
      <c r="B464" s="41"/>
      <c r="C464" s="40"/>
      <c r="D464" s="40"/>
      <c r="E464" s="40"/>
      <c r="F464" s="42"/>
      <c r="G464" s="39"/>
      <c r="H464" s="40"/>
      <c r="I464" s="40"/>
      <c r="J464" s="40"/>
      <c r="K464" s="41"/>
      <c r="L464" s="39"/>
      <c r="M464" s="48" t="str">
        <f aca="false">IF($E464="","",IFERROR(INDEX(Parâmetros!$C$15:$C$20,MATCH($P464,Parâmetros!$B$15:$B$20,0)),""))</f>
        <v/>
      </c>
      <c r="N464" s="46" t="str">
        <f aca="false">IF($E464="","",IF($P464="","",IF($P464&gt;=8,"Alta",IF($P464&gt;=5,"Média","Baixa"))))</f>
        <v/>
      </c>
      <c r="O464" s="46" t="str">
        <f aca="false">IF($E464="","",IF(AND(Parâmetros!$C$5&gt;0,$P464&lt;&gt;"",$P464&gt;=Parâmetros!$C$5),"Sim","Não"))</f>
        <v/>
      </c>
      <c r="P464" s="45" t="str">
        <f aca="false">IF($E464="","",IF($G464="","",IF($G464="NOK",$F464,0)))</f>
        <v/>
      </c>
      <c r="Q464" s="46" t="str">
        <f aca="false">IF($E464="","",IF($O464&lt;&gt;"Sim","",COUNTIF($O$3:$O464,"Sim")))</f>
        <v/>
      </c>
      <c r="R464" s="47" t="n">
        <f aca="false">IF($P464="",0,$P464)</f>
        <v>0</v>
      </c>
    </row>
    <row r="465" customFormat="false" ht="18" hidden="false" customHeight="true" outlineLevel="0" collapsed="false">
      <c r="A465" s="39"/>
      <c r="B465" s="41"/>
      <c r="C465" s="40"/>
      <c r="D465" s="40"/>
      <c r="E465" s="40"/>
      <c r="F465" s="42"/>
      <c r="G465" s="39"/>
      <c r="H465" s="40"/>
      <c r="I465" s="40"/>
      <c r="J465" s="40"/>
      <c r="K465" s="41"/>
      <c r="L465" s="39"/>
      <c r="M465" s="48" t="str">
        <f aca="false">IF($E465="","",IFERROR(INDEX(Parâmetros!$C$15:$C$20,MATCH($P465,Parâmetros!$B$15:$B$20,0)),""))</f>
        <v/>
      </c>
      <c r="N465" s="46" t="str">
        <f aca="false">IF($E465="","",IF($P465="","",IF($P465&gt;=8,"Alta",IF($P465&gt;=5,"Média","Baixa"))))</f>
        <v/>
      </c>
      <c r="O465" s="46" t="str">
        <f aca="false">IF($E465="","",IF(AND(Parâmetros!$C$5&gt;0,$P465&lt;&gt;"",$P465&gt;=Parâmetros!$C$5),"Sim","Não"))</f>
        <v/>
      </c>
      <c r="P465" s="45" t="str">
        <f aca="false">IF($E465="","",IF($G465="","",IF($G465="NOK",$F465,0)))</f>
        <v/>
      </c>
      <c r="Q465" s="46" t="str">
        <f aca="false">IF($E465="","",IF($O465&lt;&gt;"Sim","",COUNTIF($O$3:$O465,"Sim")))</f>
        <v/>
      </c>
      <c r="R465" s="47" t="n">
        <f aca="false">IF($P465="",0,$P465)</f>
        <v>0</v>
      </c>
    </row>
    <row r="466" customFormat="false" ht="18" hidden="false" customHeight="true" outlineLevel="0" collapsed="false">
      <c r="A466" s="39"/>
      <c r="B466" s="41"/>
      <c r="C466" s="40"/>
      <c r="D466" s="40"/>
      <c r="E466" s="40"/>
      <c r="F466" s="42"/>
      <c r="G466" s="39"/>
      <c r="H466" s="40"/>
      <c r="I466" s="40"/>
      <c r="J466" s="40"/>
      <c r="K466" s="41"/>
      <c r="L466" s="39"/>
      <c r="M466" s="48" t="str">
        <f aca="false">IF($E466="","",IFERROR(INDEX(Parâmetros!$C$15:$C$20,MATCH($P466,Parâmetros!$B$15:$B$20,0)),""))</f>
        <v/>
      </c>
      <c r="N466" s="46" t="str">
        <f aca="false">IF($E466="","",IF($P466="","",IF($P466&gt;=8,"Alta",IF($P466&gt;=5,"Média","Baixa"))))</f>
        <v/>
      </c>
      <c r="O466" s="46" t="str">
        <f aca="false">IF($E466="","",IF(AND(Parâmetros!$C$5&gt;0,$P466&lt;&gt;"",$P466&gt;=Parâmetros!$C$5),"Sim","Não"))</f>
        <v/>
      </c>
      <c r="P466" s="45" t="str">
        <f aca="false">IF($E466="","",IF($G466="","",IF($G466="NOK",$F466,0)))</f>
        <v/>
      </c>
      <c r="Q466" s="46" t="str">
        <f aca="false">IF($E466="","",IF($O466&lt;&gt;"Sim","",COUNTIF($O$3:$O466,"Sim")))</f>
        <v/>
      </c>
      <c r="R466" s="47" t="n">
        <f aca="false">IF($P466="",0,$P466)</f>
        <v>0</v>
      </c>
    </row>
    <row r="467" customFormat="false" ht="18" hidden="false" customHeight="true" outlineLevel="0" collapsed="false">
      <c r="A467" s="39"/>
      <c r="B467" s="41"/>
      <c r="C467" s="40"/>
      <c r="D467" s="40"/>
      <c r="E467" s="40"/>
      <c r="F467" s="42"/>
      <c r="G467" s="39"/>
      <c r="H467" s="40"/>
      <c r="I467" s="40"/>
      <c r="J467" s="40"/>
      <c r="K467" s="41"/>
      <c r="L467" s="39"/>
      <c r="M467" s="48" t="str">
        <f aca="false">IF($E467="","",IFERROR(INDEX(Parâmetros!$C$15:$C$20,MATCH($P467,Parâmetros!$B$15:$B$20,0)),""))</f>
        <v/>
      </c>
      <c r="N467" s="46" t="str">
        <f aca="false">IF($E467="","",IF($P467="","",IF($P467&gt;=8,"Alta",IF($P467&gt;=5,"Média","Baixa"))))</f>
        <v/>
      </c>
      <c r="O467" s="46" t="str">
        <f aca="false">IF($E467="","",IF(AND(Parâmetros!$C$5&gt;0,$P467&lt;&gt;"",$P467&gt;=Parâmetros!$C$5),"Sim","Não"))</f>
        <v/>
      </c>
      <c r="P467" s="45" t="str">
        <f aca="false">IF($E467="","",IF($G467="","",IF($G467="NOK",$F467,0)))</f>
        <v/>
      </c>
      <c r="Q467" s="46" t="str">
        <f aca="false">IF($E467="","",IF($O467&lt;&gt;"Sim","",COUNTIF($O$3:$O467,"Sim")))</f>
        <v/>
      </c>
      <c r="R467" s="47" t="n">
        <f aca="false">IF($P467="",0,$P467)</f>
        <v>0</v>
      </c>
    </row>
    <row r="468" customFormat="false" ht="18" hidden="false" customHeight="true" outlineLevel="0" collapsed="false">
      <c r="A468" s="39"/>
      <c r="B468" s="41"/>
      <c r="C468" s="40"/>
      <c r="D468" s="40"/>
      <c r="E468" s="40"/>
      <c r="F468" s="42"/>
      <c r="G468" s="39"/>
      <c r="H468" s="40"/>
      <c r="I468" s="40"/>
      <c r="J468" s="40"/>
      <c r="K468" s="41"/>
      <c r="L468" s="39"/>
      <c r="M468" s="48" t="str">
        <f aca="false">IF($E468="","",IFERROR(INDEX(Parâmetros!$C$15:$C$20,MATCH($P468,Parâmetros!$B$15:$B$20,0)),""))</f>
        <v/>
      </c>
      <c r="N468" s="46" t="str">
        <f aca="false">IF($E468="","",IF($P468="","",IF($P468&gt;=8,"Alta",IF($P468&gt;=5,"Média","Baixa"))))</f>
        <v/>
      </c>
      <c r="O468" s="46" t="str">
        <f aca="false">IF($E468="","",IF(AND(Parâmetros!$C$5&gt;0,$P468&lt;&gt;"",$P468&gt;=Parâmetros!$C$5),"Sim","Não"))</f>
        <v/>
      </c>
      <c r="P468" s="45" t="str">
        <f aca="false">IF($E468="","",IF($G468="","",IF($G468="NOK",$F468,0)))</f>
        <v/>
      </c>
      <c r="Q468" s="46" t="str">
        <f aca="false">IF($E468="","",IF($O468&lt;&gt;"Sim","",COUNTIF($O$3:$O468,"Sim")))</f>
        <v/>
      </c>
      <c r="R468" s="47" t="n">
        <f aca="false">IF($P468="",0,$P468)</f>
        <v>0</v>
      </c>
    </row>
    <row r="469" customFormat="false" ht="18" hidden="false" customHeight="true" outlineLevel="0" collapsed="false">
      <c r="A469" s="39"/>
      <c r="B469" s="41"/>
      <c r="C469" s="40"/>
      <c r="D469" s="40"/>
      <c r="E469" s="40"/>
      <c r="F469" s="42"/>
      <c r="G469" s="39"/>
      <c r="H469" s="40"/>
      <c r="I469" s="40"/>
      <c r="J469" s="40"/>
      <c r="K469" s="41"/>
      <c r="L469" s="39"/>
      <c r="M469" s="48" t="str">
        <f aca="false">IF($E469="","",IFERROR(INDEX(Parâmetros!$C$15:$C$20,MATCH($P469,Parâmetros!$B$15:$B$20,0)),""))</f>
        <v/>
      </c>
      <c r="N469" s="46" t="str">
        <f aca="false">IF($E469="","",IF($P469="","",IF($P469&gt;=8,"Alta",IF($P469&gt;=5,"Média","Baixa"))))</f>
        <v/>
      </c>
      <c r="O469" s="46" t="str">
        <f aca="false">IF($E469="","",IF(AND(Parâmetros!$C$5&gt;0,$P469&lt;&gt;"",$P469&gt;=Parâmetros!$C$5),"Sim","Não"))</f>
        <v/>
      </c>
      <c r="P469" s="45" t="str">
        <f aca="false">IF($E469="","",IF($G469="","",IF($G469="NOK",$F469,0)))</f>
        <v/>
      </c>
      <c r="Q469" s="46" t="str">
        <f aca="false">IF($E469="","",IF($O469&lt;&gt;"Sim","",COUNTIF($O$3:$O469,"Sim")))</f>
        <v/>
      </c>
      <c r="R469" s="47" t="n">
        <f aca="false">IF($P469="",0,$P469)</f>
        <v>0</v>
      </c>
    </row>
    <row r="470" customFormat="false" ht="18" hidden="false" customHeight="true" outlineLevel="0" collapsed="false">
      <c r="A470" s="39"/>
      <c r="B470" s="41"/>
      <c r="C470" s="40"/>
      <c r="D470" s="40"/>
      <c r="E470" s="40"/>
      <c r="F470" s="42"/>
      <c r="G470" s="39"/>
      <c r="H470" s="40"/>
      <c r="I470" s="40"/>
      <c r="J470" s="40"/>
      <c r="K470" s="41"/>
      <c r="L470" s="39"/>
      <c r="M470" s="48" t="str">
        <f aca="false">IF($E470="","",IFERROR(INDEX(Parâmetros!$C$15:$C$20,MATCH($P470,Parâmetros!$B$15:$B$20,0)),""))</f>
        <v/>
      </c>
      <c r="N470" s="46" t="str">
        <f aca="false">IF($E470="","",IF($P470="","",IF($P470&gt;=8,"Alta",IF($P470&gt;=5,"Média","Baixa"))))</f>
        <v/>
      </c>
      <c r="O470" s="46" t="str">
        <f aca="false">IF($E470="","",IF(AND(Parâmetros!$C$5&gt;0,$P470&lt;&gt;"",$P470&gt;=Parâmetros!$C$5),"Sim","Não"))</f>
        <v/>
      </c>
      <c r="P470" s="45" t="str">
        <f aca="false">IF($E470="","",IF($G470="","",IF($G470="NOK",$F470,0)))</f>
        <v/>
      </c>
      <c r="Q470" s="46" t="str">
        <f aca="false">IF($E470="","",IF($O470&lt;&gt;"Sim","",COUNTIF($O$3:$O470,"Sim")))</f>
        <v/>
      </c>
      <c r="R470" s="47" t="n">
        <f aca="false">IF($P470="",0,$P470)</f>
        <v>0</v>
      </c>
    </row>
    <row r="471" customFormat="false" ht="18" hidden="false" customHeight="true" outlineLevel="0" collapsed="false">
      <c r="A471" s="39"/>
      <c r="B471" s="41"/>
      <c r="C471" s="40"/>
      <c r="D471" s="40"/>
      <c r="E471" s="40"/>
      <c r="F471" s="42"/>
      <c r="G471" s="39"/>
      <c r="H471" s="40"/>
      <c r="I471" s="40"/>
      <c r="J471" s="40"/>
      <c r="K471" s="41"/>
      <c r="L471" s="39"/>
      <c r="M471" s="48" t="str">
        <f aca="false">IF($E471="","",IFERROR(INDEX(Parâmetros!$C$15:$C$20,MATCH($P471,Parâmetros!$B$15:$B$20,0)),""))</f>
        <v/>
      </c>
      <c r="N471" s="46" t="str">
        <f aca="false">IF($E471="","",IF($P471="","",IF($P471&gt;=8,"Alta",IF($P471&gt;=5,"Média","Baixa"))))</f>
        <v/>
      </c>
      <c r="O471" s="46" t="str">
        <f aca="false">IF($E471="","",IF(AND(Parâmetros!$C$5&gt;0,$P471&lt;&gt;"",$P471&gt;=Parâmetros!$C$5),"Sim","Não"))</f>
        <v/>
      </c>
      <c r="P471" s="45" t="str">
        <f aca="false">IF($E471="","",IF($G471="","",IF($G471="NOK",$F471,0)))</f>
        <v/>
      </c>
      <c r="Q471" s="46" t="str">
        <f aca="false">IF($E471="","",IF($O471&lt;&gt;"Sim","",COUNTIF($O$3:$O471,"Sim")))</f>
        <v/>
      </c>
      <c r="R471" s="47" t="n">
        <f aca="false">IF($P471="",0,$P471)</f>
        <v>0</v>
      </c>
    </row>
    <row r="472" customFormat="false" ht="18" hidden="false" customHeight="true" outlineLevel="0" collapsed="false">
      <c r="A472" s="39"/>
      <c r="B472" s="41"/>
      <c r="C472" s="40"/>
      <c r="D472" s="40"/>
      <c r="E472" s="40"/>
      <c r="F472" s="42"/>
      <c r="G472" s="39"/>
      <c r="H472" s="40"/>
      <c r="I472" s="40"/>
      <c r="J472" s="40"/>
      <c r="K472" s="41"/>
      <c r="L472" s="39"/>
      <c r="M472" s="48" t="str">
        <f aca="false">IF($E472="","",IFERROR(INDEX(Parâmetros!$C$15:$C$20,MATCH($P472,Parâmetros!$B$15:$B$20,0)),""))</f>
        <v/>
      </c>
      <c r="N472" s="46" t="str">
        <f aca="false">IF($E472="","",IF($P472="","",IF($P472&gt;=8,"Alta",IF($P472&gt;=5,"Média","Baixa"))))</f>
        <v/>
      </c>
      <c r="O472" s="46" t="str">
        <f aca="false">IF($E472="","",IF(AND(Parâmetros!$C$5&gt;0,$P472&lt;&gt;"",$P472&gt;=Parâmetros!$C$5),"Sim","Não"))</f>
        <v/>
      </c>
      <c r="P472" s="45" t="str">
        <f aca="false">IF($E472="","",IF($G472="","",IF($G472="NOK",$F472,0)))</f>
        <v/>
      </c>
      <c r="Q472" s="46" t="str">
        <f aca="false">IF($E472="","",IF($O472&lt;&gt;"Sim","",COUNTIF($O$3:$O472,"Sim")))</f>
        <v/>
      </c>
      <c r="R472" s="47" t="n">
        <f aca="false">IF($P472="",0,$P472)</f>
        <v>0</v>
      </c>
    </row>
    <row r="473" customFormat="false" ht="18" hidden="false" customHeight="true" outlineLevel="0" collapsed="false">
      <c r="A473" s="39"/>
      <c r="B473" s="41"/>
      <c r="C473" s="40"/>
      <c r="D473" s="40"/>
      <c r="E473" s="40"/>
      <c r="F473" s="42"/>
      <c r="G473" s="39"/>
      <c r="H473" s="40"/>
      <c r="I473" s="40"/>
      <c r="J473" s="40"/>
      <c r="K473" s="41"/>
      <c r="L473" s="39"/>
      <c r="M473" s="48" t="str">
        <f aca="false">IF($E473="","",IFERROR(INDEX(Parâmetros!$C$15:$C$20,MATCH($P473,Parâmetros!$B$15:$B$20,0)),""))</f>
        <v/>
      </c>
      <c r="N473" s="46" t="str">
        <f aca="false">IF($E473="","",IF($P473="","",IF($P473&gt;=8,"Alta",IF($P473&gt;=5,"Média","Baixa"))))</f>
        <v/>
      </c>
      <c r="O473" s="46" t="str">
        <f aca="false">IF($E473="","",IF(AND(Parâmetros!$C$5&gt;0,$P473&lt;&gt;"",$P473&gt;=Parâmetros!$C$5),"Sim","Não"))</f>
        <v/>
      </c>
      <c r="P473" s="45" t="str">
        <f aca="false">IF($E473="","",IF($G473="","",IF($G473="NOK",$F473,0)))</f>
        <v/>
      </c>
      <c r="Q473" s="46" t="str">
        <f aca="false">IF($E473="","",IF($O473&lt;&gt;"Sim","",COUNTIF($O$3:$O473,"Sim")))</f>
        <v/>
      </c>
      <c r="R473" s="47" t="n">
        <f aca="false">IF($P473="",0,$P473)</f>
        <v>0</v>
      </c>
    </row>
    <row r="474" customFormat="false" ht="18" hidden="false" customHeight="true" outlineLevel="0" collapsed="false">
      <c r="A474" s="39"/>
      <c r="B474" s="41"/>
      <c r="C474" s="40"/>
      <c r="D474" s="40"/>
      <c r="E474" s="40"/>
      <c r="F474" s="42"/>
      <c r="G474" s="39"/>
      <c r="H474" s="40"/>
      <c r="I474" s="40"/>
      <c r="J474" s="40"/>
      <c r="K474" s="41"/>
      <c r="L474" s="39"/>
      <c r="M474" s="48" t="str">
        <f aca="false">IF($E474="","",IFERROR(INDEX(Parâmetros!$C$15:$C$20,MATCH($P474,Parâmetros!$B$15:$B$20,0)),""))</f>
        <v/>
      </c>
      <c r="N474" s="46" t="str">
        <f aca="false">IF($E474="","",IF($P474="","",IF($P474&gt;=8,"Alta",IF($P474&gt;=5,"Média","Baixa"))))</f>
        <v/>
      </c>
      <c r="O474" s="46" t="str">
        <f aca="false">IF($E474="","",IF(AND(Parâmetros!$C$5&gt;0,$P474&lt;&gt;"",$P474&gt;=Parâmetros!$C$5),"Sim","Não"))</f>
        <v/>
      </c>
      <c r="P474" s="45" t="str">
        <f aca="false">IF($E474="","",IF($G474="","",IF($G474="NOK",$F474,0)))</f>
        <v/>
      </c>
      <c r="Q474" s="46" t="str">
        <f aca="false">IF($E474="","",IF($O474&lt;&gt;"Sim","",COUNTIF($O$3:$O474,"Sim")))</f>
        <v/>
      </c>
      <c r="R474" s="47" t="n">
        <f aca="false">IF($P474="",0,$P474)</f>
        <v>0</v>
      </c>
    </row>
    <row r="475" customFormat="false" ht="18" hidden="false" customHeight="true" outlineLevel="0" collapsed="false">
      <c r="A475" s="39"/>
      <c r="B475" s="41"/>
      <c r="C475" s="40"/>
      <c r="D475" s="40"/>
      <c r="E475" s="40"/>
      <c r="F475" s="42"/>
      <c r="G475" s="39"/>
      <c r="H475" s="40"/>
      <c r="I475" s="40"/>
      <c r="J475" s="40"/>
      <c r="K475" s="41"/>
      <c r="L475" s="39"/>
      <c r="M475" s="48" t="str">
        <f aca="false">IF($E475="","",IFERROR(INDEX(Parâmetros!$C$15:$C$20,MATCH($P475,Parâmetros!$B$15:$B$20,0)),""))</f>
        <v/>
      </c>
      <c r="N475" s="46" t="str">
        <f aca="false">IF($E475="","",IF($P475="","",IF($P475&gt;=8,"Alta",IF($P475&gt;=5,"Média","Baixa"))))</f>
        <v/>
      </c>
      <c r="O475" s="46" t="str">
        <f aca="false">IF($E475="","",IF(AND(Parâmetros!$C$5&gt;0,$P475&lt;&gt;"",$P475&gt;=Parâmetros!$C$5),"Sim","Não"))</f>
        <v/>
      </c>
      <c r="P475" s="45" t="str">
        <f aca="false">IF($E475="","",IF($G475="","",IF($G475="NOK",$F475,0)))</f>
        <v/>
      </c>
      <c r="Q475" s="46" t="str">
        <f aca="false">IF($E475="","",IF($O475&lt;&gt;"Sim","",COUNTIF($O$3:$O475,"Sim")))</f>
        <v/>
      </c>
      <c r="R475" s="47" t="n">
        <f aca="false">IF($P475="",0,$P475)</f>
        <v>0</v>
      </c>
    </row>
    <row r="476" customFormat="false" ht="18" hidden="false" customHeight="true" outlineLevel="0" collapsed="false">
      <c r="A476" s="39"/>
      <c r="B476" s="41"/>
      <c r="C476" s="40"/>
      <c r="D476" s="40"/>
      <c r="E476" s="40"/>
      <c r="F476" s="42"/>
      <c r="G476" s="39"/>
      <c r="H476" s="40"/>
      <c r="I476" s="40"/>
      <c r="J476" s="40"/>
      <c r="K476" s="41"/>
      <c r="L476" s="39"/>
      <c r="M476" s="48" t="str">
        <f aca="false">IF($E476="","",IFERROR(INDEX(Parâmetros!$C$15:$C$20,MATCH($P476,Parâmetros!$B$15:$B$20,0)),""))</f>
        <v/>
      </c>
      <c r="N476" s="46" t="str">
        <f aca="false">IF($E476="","",IF($P476="","",IF($P476&gt;=8,"Alta",IF($P476&gt;=5,"Média","Baixa"))))</f>
        <v/>
      </c>
      <c r="O476" s="46" t="str">
        <f aca="false">IF($E476="","",IF(AND(Parâmetros!$C$5&gt;0,$P476&lt;&gt;"",$P476&gt;=Parâmetros!$C$5),"Sim","Não"))</f>
        <v/>
      </c>
      <c r="P476" s="45" t="str">
        <f aca="false">IF($E476="","",IF($G476="","",IF($G476="NOK",$F476,0)))</f>
        <v/>
      </c>
      <c r="Q476" s="46" t="str">
        <f aca="false">IF($E476="","",IF($O476&lt;&gt;"Sim","",COUNTIF($O$3:$O476,"Sim")))</f>
        <v/>
      </c>
      <c r="R476" s="47" t="n">
        <f aca="false">IF($P476="",0,$P476)</f>
        <v>0</v>
      </c>
    </row>
    <row r="477" customFormat="false" ht="18" hidden="false" customHeight="true" outlineLevel="0" collapsed="false">
      <c r="A477" s="39"/>
      <c r="B477" s="41"/>
      <c r="C477" s="40"/>
      <c r="D477" s="40"/>
      <c r="E477" s="40"/>
      <c r="F477" s="42"/>
      <c r="G477" s="39"/>
      <c r="H477" s="40"/>
      <c r="I477" s="40"/>
      <c r="J477" s="40"/>
      <c r="K477" s="41"/>
      <c r="L477" s="39"/>
      <c r="M477" s="48" t="str">
        <f aca="false">IF($E477="","",IFERROR(INDEX(Parâmetros!$C$15:$C$20,MATCH($P477,Parâmetros!$B$15:$B$20,0)),""))</f>
        <v/>
      </c>
      <c r="N477" s="46" t="str">
        <f aca="false">IF($E477="","",IF($P477="","",IF($P477&gt;=8,"Alta",IF($P477&gt;=5,"Média","Baixa"))))</f>
        <v/>
      </c>
      <c r="O477" s="46" t="str">
        <f aca="false">IF($E477="","",IF(AND(Parâmetros!$C$5&gt;0,$P477&lt;&gt;"",$P477&gt;=Parâmetros!$C$5),"Sim","Não"))</f>
        <v/>
      </c>
      <c r="P477" s="45" t="str">
        <f aca="false">IF($E477="","",IF($G477="","",IF($G477="NOK",$F477,0)))</f>
        <v/>
      </c>
      <c r="Q477" s="46" t="str">
        <f aca="false">IF($E477="","",IF($O477&lt;&gt;"Sim","",COUNTIF($O$3:$O477,"Sim")))</f>
        <v/>
      </c>
      <c r="R477" s="47" t="n">
        <f aca="false">IF($P477="",0,$P477)</f>
        <v>0</v>
      </c>
    </row>
    <row r="478" customFormat="false" ht="18" hidden="false" customHeight="true" outlineLevel="0" collapsed="false">
      <c r="A478" s="39"/>
      <c r="B478" s="41"/>
      <c r="C478" s="40"/>
      <c r="D478" s="40"/>
      <c r="E478" s="40"/>
      <c r="F478" s="42"/>
      <c r="G478" s="39"/>
      <c r="H478" s="40"/>
      <c r="I478" s="40"/>
      <c r="J478" s="40"/>
      <c r="K478" s="41"/>
      <c r="L478" s="39"/>
      <c r="M478" s="48" t="str">
        <f aca="false">IF($E478="","",IFERROR(INDEX(Parâmetros!$C$15:$C$20,MATCH($P478,Parâmetros!$B$15:$B$20,0)),""))</f>
        <v/>
      </c>
      <c r="N478" s="46" t="str">
        <f aca="false">IF($E478="","",IF($P478="","",IF($P478&gt;=8,"Alta",IF($P478&gt;=5,"Média","Baixa"))))</f>
        <v/>
      </c>
      <c r="O478" s="46" t="str">
        <f aca="false">IF($E478="","",IF(AND(Parâmetros!$C$5&gt;0,$P478&lt;&gt;"",$P478&gt;=Parâmetros!$C$5),"Sim","Não"))</f>
        <v/>
      </c>
      <c r="P478" s="45" t="str">
        <f aca="false">IF($E478="","",IF($G478="","",IF($G478="NOK",$F478,0)))</f>
        <v/>
      </c>
      <c r="Q478" s="46" t="str">
        <f aca="false">IF($E478="","",IF($O478&lt;&gt;"Sim","",COUNTIF($O$3:$O478,"Sim")))</f>
        <v/>
      </c>
      <c r="R478" s="47" t="n">
        <f aca="false">IF($P478="",0,$P478)</f>
        <v>0</v>
      </c>
    </row>
    <row r="479" customFormat="false" ht="18" hidden="false" customHeight="true" outlineLevel="0" collapsed="false">
      <c r="A479" s="39"/>
      <c r="B479" s="41"/>
      <c r="C479" s="40"/>
      <c r="D479" s="40"/>
      <c r="E479" s="40"/>
      <c r="F479" s="42"/>
      <c r="G479" s="39"/>
      <c r="H479" s="40"/>
      <c r="I479" s="40"/>
      <c r="J479" s="40"/>
      <c r="K479" s="41"/>
      <c r="L479" s="39"/>
      <c r="M479" s="48" t="str">
        <f aca="false">IF($E479="","",IFERROR(INDEX(Parâmetros!$C$15:$C$20,MATCH($P479,Parâmetros!$B$15:$B$20,0)),""))</f>
        <v/>
      </c>
      <c r="N479" s="46" t="str">
        <f aca="false">IF($E479="","",IF($P479="","",IF($P479&gt;=8,"Alta",IF($P479&gt;=5,"Média","Baixa"))))</f>
        <v/>
      </c>
      <c r="O479" s="46" t="str">
        <f aca="false">IF($E479="","",IF(AND(Parâmetros!$C$5&gt;0,$P479&lt;&gt;"",$P479&gt;=Parâmetros!$C$5),"Sim","Não"))</f>
        <v/>
      </c>
      <c r="P479" s="45" t="str">
        <f aca="false">IF($E479="","",IF($G479="","",IF($G479="NOK",$F479,0)))</f>
        <v/>
      </c>
      <c r="Q479" s="46" t="str">
        <f aca="false">IF($E479="","",IF($O479&lt;&gt;"Sim","",COUNTIF($O$3:$O479,"Sim")))</f>
        <v/>
      </c>
      <c r="R479" s="47" t="n">
        <f aca="false">IF($P479="",0,$P479)</f>
        <v>0</v>
      </c>
    </row>
    <row r="480" customFormat="false" ht="18" hidden="false" customHeight="true" outlineLevel="0" collapsed="false">
      <c r="A480" s="39"/>
      <c r="B480" s="41"/>
      <c r="C480" s="40"/>
      <c r="D480" s="40"/>
      <c r="E480" s="40"/>
      <c r="F480" s="42"/>
      <c r="G480" s="39"/>
      <c r="H480" s="40"/>
      <c r="I480" s="40"/>
      <c r="J480" s="40"/>
      <c r="K480" s="41"/>
      <c r="L480" s="39"/>
      <c r="M480" s="48" t="str">
        <f aca="false">IF($E480="","",IFERROR(INDEX(Parâmetros!$C$15:$C$20,MATCH($P480,Parâmetros!$B$15:$B$20,0)),""))</f>
        <v/>
      </c>
      <c r="N480" s="46" t="str">
        <f aca="false">IF($E480="","",IF($P480="","",IF($P480&gt;=8,"Alta",IF($P480&gt;=5,"Média","Baixa"))))</f>
        <v/>
      </c>
      <c r="O480" s="46" t="str">
        <f aca="false">IF($E480="","",IF(AND(Parâmetros!$C$5&gt;0,$P480&lt;&gt;"",$P480&gt;=Parâmetros!$C$5),"Sim","Não"))</f>
        <v/>
      </c>
      <c r="P480" s="45" t="str">
        <f aca="false">IF($E480="","",IF($G480="","",IF($G480="NOK",$F480,0)))</f>
        <v/>
      </c>
      <c r="Q480" s="46" t="str">
        <f aca="false">IF($E480="","",IF($O480&lt;&gt;"Sim","",COUNTIF($O$3:$O480,"Sim")))</f>
        <v/>
      </c>
      <c r="R480" s="47" t="n">
        <f aca="false">IF($P480="",0,$P480)</f>
        <v>0</v>
      </c>
    </row>
    <row r="481" customFormat="false" ht="18" hidden="false" customHeight="true" outlineLevel="0" collapsed="false">
      <c r="A481" s="39"/>
      <c r="B481" s="41"/>
      <c r="C481" s="40"/>
      <c r="D481" s="40"/>
      <c r="E481" s="40"/>
      <c r="F481" s="42"/>
      <c r="G481" s="39"/>
      <c r="H481" s="40"/>
      <c r="I481" s="40"/>
      <c r="J481" s="40"/>
      <c r="K481" s="41"/>
      <c r="L481" s="39"/>
      <c r="M481" s="48" t="str">
        <f aca="false">IF($E481="","",IFERROR(INDEX(Parâmetros!$C$15:$C$20,MATCH($P481,Parâmetros!$B$15:$B$20,0)),""))</f>
        <v/>
      </c>
      <c r="N481" s="46" t="str">
        <f aca="false">IF($E481="","",IF($P481="","",IF($P481&gt;=8,"Alta",IF($P481&gt;=5,"Média","Baixa"))))</f>
        <v/>
      </c>
      <c r="O481" s="46" t="str">
        <f aca="false">IF($E481="","",IF(AND(Parâmetros!$C$5&gt;0,$P481&lt;&gt;"",$P481&gt;=Parâmetros!$C$5),"Sim","Não"))</f>
        <v/>
      </c>
      <c r="P481" s="45" t="str">
        <f aca="false">IF($E481="","",IF($G481="","",IF($G481="NOK",$F481,0)))</f>
        <v/>
      </c>
      <c r="Q481" s="46" t="str">
        <f aca="false">IF($E481="","",IF($O481&lt;&gt;"Sim","",COUNTIF($O$3:$O481,"Sim")))</f>
        <v/>
      </c>
      <c r="R481" s="47" t="n">
        <f aca="false">IF($P481="",0,$P481)</f>
        <v>0</v>
      </c>
    </row>
    <row r="482" customFormat="false" ht="18" hidden="false" customHeight="true" outlineLevel="0" collapsed="false">
      <c r="A482" s="39"/>
      <c r="B482" s="41"/>
      <c r="C482" s="40"/>
      <c r="D482" s="40"/>
      <c r="E482" s="40"/>
      <c r="F482" s="42"/>
      <c r="G482" s="39"/>
      <c r="H482" s="40"/>
      <c r="I482" s="40"/>
      <c r="J482" s="40"/>
      <c r="K482" s="41"/>
      <c r="L482" s="39"/>
      <c r="M482" s="48" t="str">
        <f aca="false">IF($E482="","",IFERROR(INDEX(Parâmetros!$C$15:$C$20,MATCH($P482,Parâmetros!$B$15:$B$20,0)),""))</f>
        <v/>
      </c>
      <c r="N482" s="46" t="str">
        <f aca="false">IF($E482="","",IF($P482="","",IF($P482&gt;=8,"Alta",IF($P482&gt;=5,"Média","Baixa"))))</f>
        <v/>
      </c>
      <c r="O482" s="46" t="str">
        <f aca="false">IF($E482="","",IF(AND(Parâmetros!$C$5&gt;0,$P482&lt;&gt;"",$P482&gt;=Parâmetros!$C$5),"Sim","Não"))</f>
        <v/>
      </c>
      <c r="P482" s="45" t="str">
        <f aca="false">IF($E482="","",IF($G482="","",IF($G482="NOK",$F482,0)))</f>
        <v/>
      </c>
      <c r="Q482" s="46" t="str">
        <f aca="false">IF($E482="","",IF($O482&lt;&gt;"Sim","",COUNTIF($O$3:$O482,"Sim")))</f>
        <v/>
      </c>
      <c r="R482" s="47" t="n">
        <f aca="false">IF($P482="",0,$P482)</f>
        <v>0</v>
      </c>
    </row>
    <row r="483" customFormat="false" ht="18" hidden="false" customHeight="true" outlineLevel="0" collapsed="false">
      <c r="A483" s="39"/>
      <c r="B483" s="41"/>
      <c r="C483" s="40"/>
      <c r="D483" s="40"/>
      <c r="E483" s="40"/>
      <c r="F483" s="42"/>
      <c r="G483" s="39"/>
      <c r="H483" s="40"/>
      <c r="I483" s="40"/>
      <c r="J483" s="40"/>
      <c r="K483" s="41"/>
      <c r="L483" s="39"/>
      <c r="M483" s="48" t="str">
        <f aca="false">IF($E483="","",IFERROR(INDEX(Parâmetros!$C$15:$C$20,MATCH($P483,Parâmetros!$B$15:$B$20,0)),""))</f>
        <v/>
      </c>
      <c r="N483" s="46" t="str">
        <f aca="false">IF($E483="","",IF($P483="","",IF($P483&gt;=8,"Alta",IF($P483&gt;=5,"Média","Baixa"))))</f>
        <v/>
      </c>
      <c r="O483" s="46" t="str">
        <f aca="false">IF($E483="","",IF(AND(Parâmetros!$C$5&gt;0,$P483&lt;&gt;"",$P483&gt;=Parâmetros!$C$5),"Sim","Não"))</f>
        <v/>
      </c>
      <c r="P483" s="45" t="str">
        <f aca="false">IF($E483="","",IF($G483="","",IF($G483="NOK",$F483,0)))</f>
        <v/>
      </c>
      <c r="Q483" s="46" t="str">
        <f aca="false">IF($E483="","",IF($O483&lt;&gt;"Sim","",COUNTIF($O$3:$O483,"Sim")))</f>
        <v/>
      </c>
      <c r="R483" s="47" t="n">
        <f aca="false">IF($P483="",0,$P483)</f>
        <v>0</v>
      </c>
    </row>
    <row r="484" customFormat="false" ht="18" hidden="false" customHeight="true" outlineLevel="0" collapsed="false">
      <c r="A484" s="39"/>
      <c r="B484" s="41"/>
      <c r="C484" s="40"/>
      <c r="D484" s="40"/>
      <c r="E484" s="40"/>
      <c r="F484" s="42"/>
      <c r="G484" s="39"/>
      <c r="H484" s="40"/>
      <c r="I484" s="40"/>
      <c r="J484" s="40"/>
      <c r="K484" s="41"/>
      <c r="L484" s="39"/>
      <c r="M484" s="48" t="str">
        <f aca="false">IF($E484="","",IFERROR(INDEX(Parâmetros!$C$15:$C$20,MATCH($P484,Parâmetros!$B$15:$B$20,0)),""))</f>
        <v/>
      </c>
      <c r="N484" s="46" t="str">
        <f aca="false">IF($E484="","",IF($P484="","",IF($P484&gt;=8,"Alta",IF($P484&gt;=5,"Média","Baixa"))))</f>
        <v/>
      </c>
      <c r="O484" s="46" t="str">
        <f aca="false">IF($E484="","",IF(AND(Parâmetros!$C$5&gt;0,$P484&lt;&gt;"",$P484&gt;=Parâmetros!$C$5),"Sim","Não"))</f>
        <v/>
      </c>
      <c r="P484" s="45" t="str">
        <f aca="false">IF($E484="","",IF($G484="","",IF($G484="NOK",$F484,0)))</f>
        <v/>
      </c>
      <c r="Q484" s="46" t="str">
        <f aca="false">IF($E484="","",IF($O484&lt;&gt;"Sim","",COUNTIF($O$3:$O484,"Sim")))</f>
        <v/>
      </c>
      <c r="R484" s="47" t="n">
        <f aca="false">IF($P484="",0,$P484)</f>
        <v>0</v>
      </c>
    </row>
    <row r="485" customFormat="false" ht="18" hidden="false" customHeight="true" outlineLevel="0" collapsed="false">
      <c r="A485" s="39"/>
      <c r="B485" s="41"/>
      <c r="C485" s="40"/>
      <c r="D485" s="40"/>
      <c r="E485" s="40"/>
      <c r="F485" s="42"/>
      <c r="G485" s="39"/>
      <c r="H485" s="40"/>
      <c r="I485" s="40"/>
      <c r="J485" s="40"/>
      <c r="K485" s="41"/>
      <c r="L485" s="39"/>
      <c r="M485" s="48" t="str">
        <f aca="false">IF($E485="","",IFERROR(INDEX(Parâmetros!$C$15:$C$20,MATCH($P485,Parâmetros!$B$15:$B$20,0)),""))</f>
        <v/>
      </c>
      <c r="N485" s="46" t="str">
        <f aca="false">IF($E485="","",IF($P485="","",IF($P485&gt;=8,"Alta",IF($P485&gt;=5,"Média","Baixa"))))</f>
        <v/>
      </c>
      <c r="O485" s="46" t="str">
        <f aca="false">IF($E485="","",IF(AND(Parâmetros!$C$5&gt;0,$P485&lt;&gt;"",$P485&gt;=Parâmetros!$C$5),"Sim","Não"))</f>
        <v/>
      </c>
      <c r="P485" s="45" t="str">
        <f aca="false">IF($E485="","",IF($G485="","",IF($G485="NOK",$F485,0)))</f>
        <v/>
      </c>
      <c r="Q485" s="46" t="str">
        <f aca="false">IF($E485="","",IF($O485&lt;&gt;"Sim","",COUNTIF($O$3:$O485,"Sim")))</f>
        <v/>
      </c>
      <c r="R485" s="47" t="n">
        <f aca="false">IF($P485="",0,$P485)</f>
        <v>0</v>
      </c>
    </row>
    <row r="486" customFormat="false" ht="18" hidden="false" customHeight="true" outlineLevel="0" collapsed="false">
      <c r="A486" s="39"/>
      <c r="B486" s="41"/>
      <c r="C486" s="40"/>
      <c r="D486" s="40"/>
      <c r="E486" s="40"/>
      <c r="F486" s="42"/>
      <c r="G486" s="39"/>
      <c r="H486" s="40"/>
      <c r="I486" s="40"/>
      <c r="J486" s="40"/>
      <c r="K486" s="41"/>
      <c r="L486" s="39"/>
      <c r="M486" s="48" t="str">
        <f aca="false">IF($E486="","",IFERROR(INDEX(Parâmetros!$C$15:$C$20,MATCH($P486,Parâmetros!$B$15:$B$20,0)),""))</f>
        <v/>
      </c>
      <c r="N486" s="46" t="str">
        <f aca="false">IF($E486="","",IF($P486="","",IF($P486&gt;=8,"Alta",IF($P486&gt;=5,"Média","Baixa"))))</f>
        <v/>
      </c>
      <c r="O486" s="46" t="str">
        <f aca="false">IF($E486="","",IF(AND(Parâmetros!$C$5&gt;0,$P486&lt;&gt;"",$P486&gt;=Parâmetros!$C$5),"Sim","Não"))</f>
        <v/>
      </c>
      <c r="P486" s="45" t="str">
        <f aca="false">IF($E486="","",IF($G486="","",IF($G486="NOK",$F486,0)))</f>
        <v/>
      </c>
      <c r="Q486" s="46" t="str">
        <f aca="false">IF($E486="","",IF($O486&lt;&gt;"Sim","",COUNTIF($O$3:$O486,"Sim")))</f>
        <v/>
      </c>
      <c r="R486" s="47" t="n">
        <f aca="false">IF($P486="",0,$P486)</f>
        <v>0</v>
      </c>
    </row>
    <row r="487" customFormat="false" ht="18" hidden="false" customHeight="true" outlineLevel="0" collapsed="false">
      <c r="A487" s="39"/>
      <c r="B487" s="41"/>
      <c r="C487" s="40"/>
      <c r="D487" s="40"/>
      <c r="E487" s="40"/>
      <c r="F487" s="42"/>
      <c r="G487" s="39"/>
      <c r="H487" s="40"/>
      <c r="I487" s="40"/>
      <c r="J487" s="40"/>
      <c r="K487" s="41"/>
      <c r="L487" s="39"/>
      <c r="M487" s="48" t="str">
        <f aca="false">IF($E487="","",IFERROR(INDEX(Parâmetros!$C$15:$C$20,MATCH($P487,Parâmetros!$B$15:$B$20,0)),""))</f>
        <v/>
      </c>
      <c r="N487" s="46" t="str">
        <f aca="false">IF($E487="","",IF($P487="","",IF($P487&gt;=8,"Alta",IF($P487&gt;=5,"Média","Baixa"))))</f>
        <v/>
      </c>
      <c r="O487" s="46" t="str">
        <f aca="false">IF($E487="","",IF(AND(Parâmetros!$C$5&gt;0,$P487&lt;&gt;"",$P487&gt;=Parâmetros!$C$5),"Sim","Não"))</f>
        <v/>
      </c>
      <c r="P487" s="45" t="str">
        <f aca="false">IF($E487="","",IF($G487="","",IF($G487="NOK",$F487,0)))</f>
        <v/>
      </c>
      <c r="Q487" s="46" t="str">
        <f aca="false">IF($E487="","",IF($O487&lt;&gt;"Sim","",COUNTIF($O$3:$O487,"Sim")))</f>
        <v/>
      </c>
      <c r="R487" s="47" t="n">
        <f aca="false">IF($P487="",0,$P487)</f>
        <v>0</v>
      </c>
    </row>
    <row r="488" customFormat="false" ht="18" hidden="false" customHeight="true" outlineLevel="0" collapsed="false">
      <c r="A488" s="39"/>
      <c r="B488" s="41"/>
      <c r="C488" s="40"/>
      <c r="D488" s="40"/>
      <c r="E488" s="40"/>
      <c r="F488" s="42"/>
      <c r="G488" s="39"/>
      <c r="H488" s="40"/>
      <c r="I488" s="40"/>
      <c r="J488" s="40"/>
      <c r="K488" s="41"/>
      <c r="L488" s="39"/>
      <c r="M488" s="48" t="str">
        <f aca="false">IF($E488="","",IFERROR(INDEX(Parâmetros!$C$15:$C$20,MATCH($P488,Parâmetros!$B$15:$B$20,0)),""))</f>
        <v/>
      </c>
      <c r="N488" s="46" t="str">
        <f aca="false">IF($E488="","",IF($P488="","",IF($P488&gt;=8,"Alta",IF($P488&gt;=5,"Média","Baixa"))))</f>
        <v/>
      </c>
      <c r="O488" s="46" t="str">
        <f aca="false">IF($E488="","",IF(AND(Parâmetros!$C$5&gt;0,$P488&lt;&gt;"",$P488&gt;=Parâmetros!$C$5),"Sim","Não"))</f>
        <v/>
      </c>
      <c r="P488" s="45" t="str">
        <f aca="false">IF($E488="","",IF($G488="","",IF($G488="NOK",$F488,0)))</f>
        <v/>
      </c>
      <c r="Q488" s="46" t="str">
        <f aca="false">IF($E488="","",IF($O488&lt;&gt;"Sim","",COUNTIF($O$3:$O488,"Sim")))</f>
        <v/>
      </c>
      <c r="R488" s="47" t="n">
        <f aca="false">IF($P488="",0,$P488)</f>
        <v>0</v>
      </c>
    </row>
    <row r="489" customFormat="false" ht="18" hidden="false" customHeight="true" outlineLevel="0" collapsed="false">
      <c r="A489" s="39"/>
      <c r="B489" s="41"/>
      <c r="C489" s="40"/>
      <c r="D489" s="40"/>
      <c r="E489" s="40"/>
      <c r="F489" s="42"/>
      <c r="G489" s="39"/>
      <c r="H489" s="40"/>
      <c r="I489" s="40"/>
      <c r="J489" s="40"/>
      <c r="K489" s="41"/>
      <c r="L489" s="39"/>
      <c r="M489" s="48" t="str">
        <f aca="false">IF($E489="","",IFERROR(INDEX(Parâmetros!$C$15:$C$20,MATCH($P489,Parâmetros!$B$15:$B$20,0)),""))</f>
        <v/>
      </c>
      <c r="N489" s="46" t="str">
        <f aca="false">IF($E489="","",IF($P489="","",IF($P489&gt;=8,"Alta",IF($P489&gt;=5,"Média","Baixa"))))</f>
        <v/>
      </c>
      <c r="O489" s="46" t="str">
        <f aca="false">IF($E489="","",IF(AND(Parâmetros!$C$5&gt;0,$P489&lt;&gt;"",$P489&gt;=Parâmetros!$C$5),"Sim","Não"))</f>
        <v/>
      </c>
      <c r="P489" s="45" t="str">
        <f aca="false">IF($E489="","",IF($G489="","",IF($G489="NOK",$F489,0)))</f>
        <v/>
      </c>
      <c r="Q489" s="46" t="str">
        <f aca="false">IF($E489="","",IF($O489&lt;&gt;"Sim","",COUNTIF($O$3:$O489,"Sim")))</f>
        <v/>
      </c>
      <c r="R489" s="47" t="n">
        <f aca="false">IF($P489="",0,$P489)</f>
        <v>0</v>
      </c>
    </row>
    <row r="490" customFormat="false" ht="18" hidden="false" customHeight="true" outlineLevel="0" collapsed="false">
      <c r="A490" s="39"/>
      <c r="B490" s="41"/>
      <c r="C490" s="40"/>
      <c r="D490" s="40"/>
      <c r="E490" s="40"/>
      <c r="F490" s="42"/>
      <c r="G490" s="39"/>
      <c r="H490" s="40"/>
      <c r="I490" s="40"/>
      <c r="J490" s="40"/>
      <c r="K490" s="41"/>
      <c r="L490" s="39"/>
      <c r="M490" s="48" t="str">
        <f aca="false">IF($E490="","",IFERROR(INDEX(Parâmetros!$C$15:$C$20,MATCH($P490,Parâmetros!$B$15:$B$20,0)),""))</f>
        <v/>
      </c>
      <c r="N490" s="46" t="str">
        <f aca="false">IF($E490="","",IF($P490="","",IF($P490&gt;=8,"Alta",IF($P490&gt;=5,"Média","Baixa"))))</f>
        <v/>
      </c>
      <c r="O490" s="46" t="str">
        <f aca="false">IF($E490="","",IF(AND(Parâmetros!$C$5&gt;0,$P490&lt;&gt;"",$P490&gt;=Parâmetros!$C$5),"Sim","Não"))</f>
        <v/>
      </c>
      <c r="P490" s="45" t="str">
        <f aca="false">IF($E490="","",IF($G490="","",IF($G490="NOK",$F490,0)))</f>
        <v/>
      </c>
      <c r="Q490" s="46" t="str">
        <f aca="false">IF($E490="","",IF($O490&lt;&gt;"Sim","",COUNTIF($O$3:$O490,"Sim")))</f>
        <v/>
      </c>
      <c r="R490" s="47" t="n">
        <f aca="false">IF($P490="",0,$P490)</f>
        <v>0</v>
      </c>
    </row>
    <row r="491" customFormat="false" ht="18" hidden="false" customHeight="true" outlineLevel="0" collapsed="false">
      <c r="A491" s="39"/>
      <c r="B491" s="41"/>
      <c r="C491" s="40"/>
      <c r="D491" s="40"/>
      <c r="E491" s="40"/>
      <c r="F491" s="42"/>
      <c r="G491" s="39"/>
      <c r="H491" s="40"/>
      <c r="I491" s="40"/>
      <c r="J491" s="40"/>
      <c r="K491" s="41"/>
      <c r="L491" s="39"/>
      <c r="M491" s="48" t="str">
        <f aca="false">IF($E491="","",IFERROR(INDEX(Parâmetros!$C$15:$C$20,MATCH($P491,Parâmetros!$B$15:$B$20,0)),""))</f>
        <v/>
      </c>
      <c r="N491" s="46" t="str">
        <f aca="false">IF($E491="","",IF($P491="","",IF($P491&gt;=8,"Alta",IF($P491&gt;=5,"Média","Baixa"))))</f>
        <v/>
      </c>
      <c r="O491" s="46" t="str">
        <f aca="false">IF($E491="","",IF(AND(Parâmetros!$C$5&gt;0,$P491&lt;&gt;"",$P491&gt;=Parâmetros!$C$5),"Sim","Não"))</f>
        <v/>
      </c>
      <c r="P491" s="45" t="str">
        <f aca="false">IF($E491="","",IF($G491="","",IF($G491="NOK",$F491,0)))</f>
        <v/>
      </c>
      <c r="Q491" s="46" t="str">
        <f aca="false">IF($E491="","",IF($O491&lt;&gt;"Sim","",COUNTIF($O$3:$O491,"Sim")))</f>
        <v/>
      </c>
      <c r="R491" s="47" t="n">
        <f aca="false">IF($P491="",0,$P491)</f>
        <v>0</v>
      </c>
    </row>
    <row r="492" customFormat="false" ht="18" hidden="false" customHeight="true" outlineLevel="0" collapsed="false">
      <c r="A492" s="39"/>
      <c r="B492" s="41"/>
      <c r="C492" s="40"/>
      <c r="D492" s="40"/>
      <c r="E492" s="40"/>
      <c r="F492" s="42"/>
      <c r="G492" s="39"/>
      <c r="H492" s="40"/>
      <c r="I492" s="40"/>
      <c r="J492" s="40"/>
      <c r="K492" s="41"/>
      <c r="L492" s="39"/>
      <c r="M492" s="48" t="str">
        <f aca="false">IF($E492="","",IFERROR(INDEX(Parâmetros!$C$15:$C$20,MATCH($P492,Parâmetros!$B$15:$B$20,0)),""))</f>
        <v/>
      </c>
      <c r="N492" s="46" t="str">
        <f aca="false">IF($E492="","",IF($P492="","",IF($P492&gt;=8,"Alta",IF($P492&gt;=5,"Média","Baixa"))))</f>
        <v/>
      </c>
      <c r="O492" s="46" t="str">
        <f aca="false">IF($E492="","",IF(AND(Parâmetros!$C$5&gt;0,$P492&lt;&gt;"",$P492&gt;=Parâmetros!$C$5),"Sim","Não"))</f>
        <v/>
      </c>
      <c r="P492" s="45" t="str">
        <f aca="false">IF($E492="","",IF($G492="","",IF($G492="NOK",$F492,0)))</f>
        <v/>
      </c>
      <c r="Q492" s="46" t="str">
        <f aca="false">IF($E492="","",IF($O492&lt;&gt;"Sim","",COUNTIF($O$3:$O492,"Sim")))</f>
        <v/>
      </c>
      <c r="R492" s="47" t="n">
        <f aca="false">IF($P492="",0,$P492)</f>
        <v>0</v>
      </c>
    </row>
    <row r="493" customFormat="false" ht="18" hidden="false" customHeight="true" outlineLevel="0" collapsed="false">
      <c r="A493" s="39"/>
      <c r="B493" s="41"/>
      <c r="C493" s="40"/>
      <c r="D493" s="40"/>
      <c r="E493" s="40"/>
      <c r="F493" s="42"/>
      <c r="G493" s="39"/>
      <c r="H493" s="40"/>
      <c r="I493" s="40"/>
      <c r="J493" s="40"/>
      <c r="K493" s="41"/>
      <c r="L493" s="39"/>
      <c r="M493" s="48" t="str">
        <f aca="false">IF($E493="","",IFERROR(INDEX(Parâmetros!$C$15:$C$20,MATCH($P493,Parâmetros!$B$15:$B$20,0)),""))</f>
        <v/>
      </c>
      <c r="N493" s="46" t="str">
        <f aca="false">IF($E493="","",IF($P493="","",IF($P493&gt;=8,"Alta",IF($P493&gt;=5,"Média","Baixa"))))</f>
        <v/>
      </c>
      <c r="O493" s="46" t="str">
        <f aca="false">IF($E493="","",IF(AND(Parâmetros!$C$5&gt;0,$P493&lt;&gt;"",$P493&gt;=Parâmetros!$C$5),"Sim","Não"))</f>
        <v/>
      </c>
      <c r="P493" s="45" t="str">
        <f aca="false">IF($E493="","",IF($G493="","",IF($G493="NOK",$F493,0)))</f>
        <v/>
      </c>
      <c r="Q493" s="46" t="str">
        <f aca="false">IF($E493="","",IF($O493&lt;&gt;"Sim","",COUNTIF($O$3:$O493,"Sim")))</f>
        <v/>
      </c>
      <c r="R493" s="47" t="n">
        <f aca="false">IF($P493="",0,$P493)</f>
        <v>0</v>
      </c>
    </row>
    <row r="494" customFormat="false" ht="18" hidden="false" customHeight="true" outlineLevel="0" collapsed="false">
      <c r="A494" s="39"/>
      <c r="B494" s="41"/>
      <c r="C494" s="40"/>
      <c r="D494" s="40"/>
      <c r="E494" s="40"/>
      <c r="F494" s="42"/>
      <c r="G494" s="39"/>
      <c r="H494" s="40"/>
      <c r="I494" s="40"/>
      <c r="J494" s="40"/>
      <c r="K494" s="41"/>
      <c r="L494" s="39"/>
      <c r="M494" s="48" t="str">
        <f aca="false">IF($E494="","",IFERROR(INDEX(Parâmetros!$C$15:$C$20,MATCH($P494,Parâmetros!$B$15:$B$20,0)),""))</f>
        <v/>
      </c>
      <c r="N494" s="46" t="str">
        <f aca="false">IF($E494="","",IF($P494="","",IF($P494&gt;=8,"Alta",IF($P494&gt;=5,"Média","Baixa"))))</f>
        <v/>
      </c>
      <c r="O494" s="46" t="str">
        <f aca="false">IF($E494="","",IF(AND(Parâmetros!$C$5&gt;0,$P494&lt;&gt;"",$P494&gt;=Parâmetros!$C$5),"Sim","Não"))</f>
        <v/>
      </c>
      <c r="P494" s="45" t="str">
        <f aca="false">IF($E494="","",IF($G494="","",IF($G494="NOK",$F494,0)))</f>
        <v/>
      </c>
      <c r="Q494" s="46" t="str">
        <f aca="false">IF($E494="","",IF($O494&lt;&gt;"Sim","",COUNTIF($O$3:$O494,"Sim")))</f>
        <v/>
      </c>
      <c r="R494" s="47" t="n">
        <f aca="false">IF($P494="",0,$P494)</f>
        <v>0</v>
      </c>
    </row>
    <row r="495" customFormat="false" ht="18" hidden="false" customHeight="true" outlineLevel="0" collapsed="false">
      <c r="A495" s="39"/>
      <c r="B495" s="41"/>
      <c r="C495" s="40"/>
      <c r="D495" s="40"/>
      <c r="E495" s="40"/>
      <c r="F495" s="42"/>
      <c r="G495" s="39"/>
      <c r="H495" s="40"/>
      <c r="I495" s="40"/>
      <c r="J495" s="40"/>
      <c r="K495" s="41"/>
      <c r="L495" s="39"/>
      <c r="M495" s="48" t="str">
        <f aca="false">IF($E495="","",IFERROR(INDEX(Parâmetros!$C$15:$C$20,MATCH($P495,Parâmetros!$B$15:$B$20,0)),""))</f>
        <v/>
      </c>
      <c r="N495" s="46" t="str">
        <f aca="false">IF($E495="","",IF($P495="","",IF($P495&gt;=8,"Alta",IF($P495&gt;=5,"Média","Baixa"))))</f>
        <v/>
      </c>
      <c r="O495" s="46" t="str">
        <f aca="false">IF($E495="","",IF(AND(Parâmetros!$C$5&gt;0,$P495&lt;&gt;"",$P495&gt;=Parâmetros!$C$5),"Sim","Não"))</f>
        <v/>
      </c>
      <c r="P495" s="45" t="str">
        <f aca="false">IF($E495="","",IF($G495="","",IF($G495="NOK",$F495,0)))</f>
        <v/>
      </c>
      <c r="Q495" s="46" t="str">
        <f aca="false">IF($E495="","",IF($O495&lt;&gt;"Sim","",COUNTIF($O$3:$O495,"Sim")))</f>
        <v/>
      </c>
      <c r="R495" s="47" t="n">
        <f aca="false">IF($P495="",0,$P495)</f>
        <v>0</v>
      </c>
    </row>
    <row r="496" customFormat="false" ht="18" hidden="false" customHeight="true" outlineLevel="0" collapsed="false">
      <c r="A496" s="39"/>
      <c r="B496" s="41"/>
      <c r="C496" s="40"/>
      <c r="D496" s="40"/>
      <c r="E496" s="40"/>
      <c r="F496" s="42"/>
      <c r="G496" s="39"/>
      <c r="H496" s="40"/>
      <c r="I496" s="40"/>
      <c r="J496" s="40"/>
      <c r="K496" s="41"/>
      <c r="L496" s="39"/>
      <c r="M496" s="48" t="str">
        <f aca="false">IF($E496="","",IFERROR(INDEX(Parâmetros!$C$15:$C$20,MATCH($P496,Parâmetros!$B$15:$B$20,0)),""))</f>
        <v/>
      </c>
      <c r="N496" s="46" t="str">
        <f aca="false">IF($E496="","",IF($P496="","",IF($P496&gt;=8,"Alta",IF($P496&gt;=5,"Média","Baixa"))))</f>
        <v/>
      </c>
      <c r="O496" s="46" t="str">
        <f aca="false">IF($E496="","",IF(AND(Parâmetros!$C$5&gt;0,$P496&lt;&gt;"",$P496&gt;=Parâmetros!$C$5),"Sim","Não"))</f>
        <v/>
      </c>
      <c r="P496" s="45" t="str">
        <f aca="false">IF($E496="","",IF($G496="","",IF($G496="NOK",$F496,0)))</f>
        <v/>
      </c>
      <c r="Q496" s="46" t="str">
        <f aca="false">IF($E496="","",IF($O496&lt;&gt;"Sim","",COUNTIF($O$3:$O496,"Sim")))</f>
        <v/>
      </c>
      <c r="R496" s="47" t="n">
        <f aca="false">IF($P496="",0,$P496)</f>
        <v>0</v>
      </c>
    </row>
    <row r="497" customFormat="false" ht="18" hidden="false" customHeight="true" outlineLevel="0" collapsed="false">
      <c r="A497" s="39"/>
      <c r="B497" s="41"/>
      <c r="C497" s="40"/>
      <c r="D497" s="40"/>
      <c r="E497" s="40"/>
      <c r="F497" s="42"/>
      <c r="G497" s="39"/>
      <c r="H497" s="40"/>
      <c r="I497" s="40"/>
      <c r="J497" s="40"/>
      <c r="K497" s="41"/>
      <c r="L497" s="39"/>
      <c r="M497" s="48" t="str">
        <f aca="false">IF($E497="","",IFERROR(INDEX(Parâmetros!$C$15:$C$20,MATCH($P497,Parâmetros!$B$15:$B$20,0)),""))</f>
        <v/>
      </c>
      <c r="N497" s="46" t="str">
        <f aca="false">IF($E497="","",IF($P497="","",IF($P497&gt;=8,"Alta",IF($P497&gt;=5,"Média","Baixa"))))</f>
        <v/>
      </c>
      <c r="O497" s="46" t="str">
        <f aca="false">IF($E497="","",IF(AND(Parâmetros!$C$5&gt;0,$P497&lt;&gt;"",$P497&gt;=Parâmetros!$C$5),"Sim","Não"))</f>
        <v/>
      </c>
      <c r="P497" s="45" t="str">
        <f aca="false">IF($E497="","",IF($G497="","",IF($G497="NOK",$F497,0)))</f>
        <v/>
      </c>
      <c r="Q497" s="46" t="str">
        <f aca="false">IF($E497="","",IF($O497&lt;&gt;"Sim","",COUNTIF($O$3:$O497,"Sim")))</f>
        <v/>
      </c>
      <c r="R497" s="47" t="n">
        <f aca="false">IF($P497="",0,$P497)</f>
        <v>0</v>
      </c>
    </row>
    <row r="498" customFormat="false" ht="18" hidden="false" customHeight="true" outlineLevel="0" collapsed="false">
      <c r="A498" s="39"/>
      <c r="B498" s="41"/>
      <c r="C498" s="40"/>
      <c r="D498" s="40"/>
      <c r="E498" s="40"/>
      <c r="F498" s="42"/>
      <c r="G498" s="39"/>
      <c r="H498" s="40"/>
      <c r="I498" s="40"/>
      <c r="J498" s="40"/>
      <c r="K498" s="41"/>
      <c r="L498" s="39"/>
      <c r="M498" s="48" t="str">
        <f aca="false">IF($E498="","",IFERROR(INDEX(Parâmetros!$C$15:$C$20,MATCH($P498,Parâmetros!$B$15:$B$20,0)),""))</f>
        <v/>
      </c>
      <c r="N498" s="46" t="str">
        <f aca="false">IF($E498="","",IF($P498="","",IF($P498&gt;=8,"Alta",IF($P498&gt;=5,"Média","Baixa"))))</f>
        <v/>
      </c>
      <c r="O498" s="46" t="str">
        <f aca="false">IF($E498="","",IF(AND(Parâmetros!$C$5&gt;0,$P498&lt;&gt;"",$P498&gt;=Parâmetros!$C$5),"Sim","Não"))</f>
        <v/>
      </c>
      <c r="P498" s="45" t="str">
        <f aca="false">IF($E498="","",IF($G498="","",IF($G498="NOK",$F498,0)))</f>
        <v/>
      </c>
      <c r="Q498" s="46" t="str">
        <f aca="false">IF($E498="","",IF($O498&lt;&gt;"Sim","",COUNTIF($O$3:$O498,"Sim")))</f>
        <v/>
      </c>
      <c r="R498" s="47" t="n">
        <f aca="false">IF($P498="",0,$P498)</f>
        <v>0</v>
      </c>
    </row>
    <row r="499" customFormat="false" ht="18" hidden="false" customHeight="true" outlineLevel="0" collapsed="false">
      <c r="A499" s="39"/>
      <c r="B499" s="41"/>
      <c r="C499" s="40"/>
      <c r="D499" s="40"/>
      <c r="E499" s="40"/>
      <c r="F499" s="42"/>
      <c r="G499" s="39"/>
      <c r="H499" s="40"/>
      <c r="I499" s="40"/>
      <c r="J499" s="40"/>
      <c r="K499" s="41"/>
      <c r="L499" s="39"/>
      <c r="M499" s="48" t="str">
        <f aca="false">IF($E499="","",IFERROR(INDEX(Parâmetros!$C$15:$C$20,MATCH($P499,Parâmetros!$B$15:$B$20,0)),""))</f>
        <v/>
      </c>
      <c r="N499" s="46" t="str">
        <f aca="false">IF($E499="","",IF($P499="","",IF($P499&gt;=8,"Alta",IF($P499&gt;=5,"Média","Baixa"))))</f>
        <v/>
      </c>
      <c r="O499" s="46" t="str">
        <f aca="false">IF($E499="","",IF(AND(Parâmetros!$C$5&gt;0,$P499&lt;&gt;"",$P499&gt;=Parâmetros!$C$5),"Sim","Não"))</f>
        <v/>
      </c>
      <c r="P499" s="45" t="str">
        <f aca="false">IF($E499="","",IF($G499="","",IF($G499="NOK",$F499,0)))</f>
        <v/>
      </c>
      <c r="Q499" s="46" t="str">
        <f aca="false">IF($E499="","",IF($O499&lt;&gt;"Sim","",COUNTIF($O$3:$O499,"Sim")))</f>
        <v/>
      </c>
      <c r="R499" s="47" t="n">
        <f aca="false">IF($P499="",0,$P499)</f>
        <v>0</v>
      </c>
    </row>
    <row r="500" customFormat="false" ht="18" hidden="false" customHeight="true" outlineLevel="0" collapsed="false">
      <c r="A500" s="39"/>
      <c r="B500" s="41"/>
      <c r="C500" s="40"/>
      <c r="D500" s="40"/>
      <c r="E500" s="40"/>
      <c r="F500" s="42"/>
      <c r="G500" s="39"/>
      <c r="H500" s="40"/>
      <c r="I500" s="40"/>
      <c r="J500" s="40"/>
      <c r="K500" s="41"/>
      <c r="L500" s="39"/>
      <c r="M500" s="48" t="str">
        <f aca="false">IF($E500="","",IFERROR(INDEX(Parâmetros!$C$15:$C$20,MATCH($P500,Parâmetros!$B$15:$B$20,0)),""))</f>
        <v/>
      </c>
      <c r="N500" s="46" t="str">
        <f aca="false">IF($E500="","",IF($P500="","",IF($P500&gt;=8,"Alta",IF($P500&gt;=5,"Média","Baixa"))))</f>
        <v/>
      </c>
      <c r="O500" s="46" t="str">
        <f aca="false">IF($E500="","",IF(AND(Parâmetros!$C$5&gt;0,$P500&lt;&gt;"",$P500&gt;=Parâmetros!$C$5),"Sim","Não"))</f>
        <v/>
      </c>
      <c r="P500" s="45" t="str">
        <f aca="false">IF($E500="","",IF($G500="","",IF($G500="NOK",$F500,0)))</f>
        <v/>
      </c>
      <c r="Q500" s="46" t="str">
        <f aca="false">IF($E500="","",IF($O500&lt;&gt;"Sim","",COUNTIF($O$3:$O500,"Sim")))</f>
        <v/>
      </c>
      <c r="R500" s="47" t="n">
        <f aca="false">IF($P500="",0,$P500)</f>
        <v>0</v>
      </c>
    </row>
    <row r="501" customFormat="false" ht="18" hidden="false" customHeight="true" outlineLevel="0" collapsed="false">
      <c r="A501" s="39"/>
      <c r="B501" s="41"/>
      <c r="C501" s="40"/>
      <c r="D501" s="40"/>
      <c r="E501" s="40"/>
      <c r="F501" s="42"/>
      <c r="G501" s="39"/>
      <c r="H501" s="40"/>
      <c r="I501" s="40"/>
      <c r="J501" s="40"/>
      <c r="K501" s="41"/>
      <c r="L501" s="39"/>
      <c r="M501" s="48" t="str">
        <f aca="false">IF($E501="","",IFERROR(INDEX(Parâmetros!$C$15:$C$20,MATCH($P501,Parâmetros!$B$15:$B$20,0)),""))</f>
        <v/>
      </c>
      <c r="N501" s="46" t="str">
        <f aca="false">IF($E501="","",IF($P501="","",IF($P501&gt;=8,"Alta",IF($P501&gt;=5,"Média","Baixa"))))</f>
        <v/>
      </c>
      <c r="O501" s="46" t="str">
        <f aca="false">IF($E501="","",IF(AND(Parâmetros!$C$5&gt;0,$P501&lt;&gt;"",$P501&gt;=Parâmetros!$C$5),"Sim","Não"))</f>
        <v/>
      </c>
      <c r="P501" s="45" t="str">
        <f aca="false">IF($E501="","",IF($G501="","",IF($G501="NOK",$F501,0)))</f>
        <v/>
      </c>
      <c r="Q501" s="46" t="str">
        <f aca="false">IF($E501="","",IF($O501&lt;&gt;"Sim","",COUNTIF($O$3:$O501,"Sim")))</f>
        <v/>
      </c>
      <c r="R501" s="47" t="n">
        <f aca="false">IF($P501="",0,$P501)</f>
        <v>0</v>
      </c>
    </row>
    <row r="502" customFormat="false" ht="18" hidden="false" customHeight="true" outlineLevel="0" collapsed="false">
      <c r="A502" s="39"/>
      <c r="B502" s="41"/>
      <c r="C502" s="40"/>
      <c r="D502" s="40"/>
      <c r="E502" s="40"/>
      <c r="F502" s="42"/>
      <c r="G502" s="39"/>
      <c r="H502" s="40"/>
      <c r="I502" s="40"/>
      <c r="J502" s="40"/>
      <c r="K502" s="41"/>
      <c r="L502" s="39"/>
      <c r="M502" s="48" t="str">
        <f aca="false">IF($E502="","",IFERROR(INDEX(Parâmetros!$C$15:$C$20,MATCH($P502,Parâmetros!$B$15:$B$20,0)),""))</f>
        <v/>
      </c>
      <c r="N502" s="46" t="str">
        <f aca="false">IF($E502="","",IF($P502="","",IF($P502&gt;=8,"Alta",IF($P502&gt;=5,"Média","Baixa"))))</f>
        <v/>
      </c>
      <c r="O502" s="46" t="str">
        <f aca="false">IF($E502="","",IF(AND(Parâmetros!$C$5&gt;0,$P502&lt;&gt;"",$P502&gt;=Parâmetros!$C$5),"Sim","Não"))</f>
        <v/>
      </c>
      <c r="P502" s="45" t="str">
        <f aca="false">IF($E502="","",IF($G502="","",IF($G502="NOK",$F502,0)))</f>
        <v/>
      </c>
      <c r="Q502" s="46" t="str">
        <f aca="false">IF($E502="","",IF($O502&lt;&gt;"Sim","",COUNTIF($O$3:$O502,"Sim")))</f>
        <v/>
      </c>
      <c r="R502" s="47" t="n">
        <f aca="false">IF($P502="",0,$P502)</f>
        <v>0</v>
      </c>
    </row>
    <row r="503" customFormat="false" ht="18" hidden="false" customHeight="true" outlineLevel="0" collapsed="false">
      <c r="A503" s="39"/>
      <c r="B503" s="41"/>
      <c r="C503" s="40"/>
      <c r="D503" s="40"/>
      <c r="E503" s="40"/>
      <c r="F503" s="42"/>
      <c r="G503" s="39"/>
      <c r="H503" s="40"/>
      <c r="I503" s="40"/>
      <c r="J503" s="40"/>
      <c r="K503" s="41"/>
      <c r="L503" s="39"/>
      <c r="M503" s="48" t="str">
        <f aca="false">IF($E503="","",IFERROR(INDEX(Parâmetros!$C$15:$C$20,MATCH($P503,Parâmetros!$B$15:$B$20,0)),""))</f>
        <v/>
      </c>
      <c r="N503" s="46" t="str">
        <f aca="false">IF($E503="","",IF($P503="","",IF($P503&gt;=8,"Alta",IF($P503&gt;=5,"Média","Baixa"))))</f>
        <v/>
      </c>
      <c r="O503" s="46" t="str">
        <f aca="false">IF($E503="","",IF(AND(Parâmetros!$C$5&gt;0,$P503&lt;&gt;"",$P503&gt;=Parâmetros!$C$5),"Sim","Não"))</f>
        <v/>
      </c>
      <c r="P503" s="45" t="str">
        <f aca="false">IF($E503="","",IF($G503="","",IF($G503="NOK",$F503,0)))</f>
        <v/>
      </c>
      <c r="Q503" s="46" t="str">
        <f aca="false">IF($E503="","",IF($O503&lt;&gt;"Sim","",COUNTIF($O$3:$O503,"Sim")))</f>
        <v/>
      </c>
      <c r="R503" s="47" t="n">
        <f aca="false">IF($P503="",0,$P503)</f>
        <v>0</v>
      </c>
    </row>
    <row r="504" customFormat="false" ht="18" hidden="false" customHeight="true" outlineLevel="0" collapsed="false">
      <c r="A504" s="39"/>
      <c r="B504" s="41"/>
      <c r="C504" s="40"/>
      <c r="D504" s="40"/>
      <c r="E504" s="40"/>
      <c r="F504" s="42"/>
      <c r="G504" s="39"/>
      <c r="H504" s="40"/>
      <c r="I504" s="40"/>
      <c r="J504" s="40"/>
      <c r="K504" s="41"/>
      <c r="L504" s="39"/>
      <c r="M504" s="48" t="str">
        <f aca="false">IF($E504="","",IFERROR(INDEX(Parâmetros!$C$15:$C$20,MATCH($P504,Parâmetros!$B$15:$B$20,0)),""))</f>
        <v/>
      </c>
      <c r="N504" s="46" t="str">
        <f aca="false">IF($E504="","",IF($P504="","",IF($P504&gt;=8,"Alta",IF($P504&gt;=5,"Média","Baixa"))))</f>
        <v/>
      </c>
      <c r="O504" s="46" t="str">
        <f aca="false">IF($E504="","",IF(AND(Parâmetros!$C$5&gt;0,$P504&lt;&gt;"",$P504&gt;=Parâmetros!$C$5),"Sim","Não"))</f>
        <v/>
      </c>
      <c r="P504" s="45" t="str">
        <f aca="false">IF($E504="","",IF($G504="","",IF($G504="NOK",$F504,0)))</f>
        <v/>
      </c>
      <c r="Q504" s="46" t="str">
        <f aca="false">IF($E504="","",IF($O504&lt;&gt;"Sim","",COUNTIF($O$3:$O504,"Sim")))</f>
        <v/>
      </c>
      <c r="R504" s="47" t="n">
        <f aca="false">IF($P504="",0,$P504)</f>
        <v>0</v>
      </c>
    </row>
    <row r="505" customFormat="false" ht="18" hidden="false" customHeight="true" outlineLevel="0" collapsed="false">
      <c r="A505" s="39"/>
      <c r="B505" s="41"/>
      <c r="C505" s="40"/>
      <c r="D505" s="40"/>
      <c r="E505" s="40"/>
      <c r="F505" s="42"/>
      <c r="G505" s="39"/>
      <c r="H505" s="40"/>
      <c r="I505" s="40"/>
      <c r="J505" s="40"/>
      <c r="K505" s="41"/>
      <c r="L505" s="39"/>
      <c r="M505" s="48" t="str">
        <f aca="false">IF($E505="","",IFERROR(INDEX(Parâmetros!$C$15:$C$20,MATCH($P505,Parâmetros!$B$15:$B$20,0)),""))</f>
        <v/>
      </c>
      <c r="N505" s="46" t="str">
        <f aca="false">IF($E505="","",IF($P505="","",IF($P505&gt;=8,"Alta",IF($P505&gt;=5,"Média","Baixa"))))</f>
        <v/>
      </c>
      <c r="O505" s="46" t="str">
        <f aca="false">IF($E505="","",IF(AND(Parâmetros!$C$5&gt;0,$P505&lt;&gt;"",$P505&gt;=Parâmetros!$C$5),"Sim","Não"))</f>
        <v/>
      </c>
      <c r="P505" s="45" t="str">
        <f aca="false">IF($E505="","",IF($G505="","",IF($G505="NOK",$F505,0)))</f>
        <v/>
      </c>
      <c r="Q505" s="46" t="str">
        <f aca="false">IF($E505="","",IF($O505&lt;&gt;"Sim","",COUNTIF($O$3:$O505,"Sim")))</f>
        <v/>
      </c>
      <c r="R505" s="47" t="n">
        <f aca="false">IF($P505="",0,$P505)</f>
        <v>0</v>
      </c>
    </row>
    <row r="506" customFormat="false" ht="18" hidden="false" customHeight="true" outlineLevel="0" collapsed="false">
      <c r="A506" s="39"/>
      <c r="B506" s="41"/>
      <c r="C506" s="40"/>
      <c r="D506" s="40"/>
      <c r="E506" s="40"/>
      <c r="F506" s="42"/>
      <c r="G506" s="39"/>
      <c r="H506" s="40"/>
      <c r="I506" s="40"/>
      <c r="J506" s="40"/>
      <c r="K506" s="41"/>
      <c r="L506" s="39"/>
      <c r="M506" s="48" t="str">
        <f aca="false">IF($E506="","",IFERROR(INDEX(Parâmetros!$C$15:$C$20,MATCH($P506,Parâmetros!$B$15:$B$20,0)),""))</f>
        <v/>
      </c>
      <c r="N506" s="46" t="str">
        <f aca="false">IF($E506="","",IF($P506="","",IF($P506&gt;=8,"Alta",IF($P506&gt;=5,"Média","Baixa"))))</f>
        <v/>
      </c>
      <c r="O506" s="46" t="str">
        <f aca="false">IF($E506="","",IF(AND(Parâmetros!$C$5&gt;0,$P506&lt;&gt;"",$P506&gt;=Parâmetros!$C$5),"Sim","Não"))</f>
        <v/>
      </c>
      <c r="P506" s="45" t="str">
        <f aca="false">IF($E506="","",IF($G506="","",IF($G506="NOK",$F506,0)))</f>
        <v/>
      </c>
      <c r="Q506" s="46" t="str">
        <f aca="false">IF($E506="","",IF($O506&lt;&gt;"Sim","",COUNTIF($O$3:$O506,"Sim")))</f>
        <v/>
      </c>
      <c r="R506" s="47" t="n">
        <f aca="false">IF($P506="",0,$P506)</f>
        <v>0</v>
      </c>
    </row>
    <row r="507" customFormat="false" ht="18" hidden="false" customHeight="true" outlineLevel="0" collapsed="false">
      <c r="A507" s="39"/>
      <c r="B507" s="41"/>
      <c r="C507" s="40"/>
      <c r="D507" s="40"/>
      <c r="E507" s="40"/>
      <c r="F507" s="42"/>
      <c r="G507" s="39"/>
      <c r="H507" s="40"/>
      <c r="I507" s="40"/>
      <c r="J507" s="40"/>
      <c r="K507" s="41"/>
      <c r="L507" s="39"/>
      <c r="M507" s="48" t="str">
        <f aca="false">IF($E507="","",IFERROR(INDEX(Parâmetros!$C$15:$C$20,MATCH($P507,Parâmetros!$B$15:$B$20,0)),""))</f>
        <v/>
      </c>
      <c r="N507" s="46" t="str">
        <f aca="false">IF($E507="","",IF($P507="","",IF($P507&gt;=8,"Alta",IF($P507&gt;=5,"Média","Baixa"))))</f>
        <v/>
      </c>
      <c r="O507" s="46" t="str">
        <f aca="false">IF($E507="","",IF(AND(Parâmetros!$C$5&gt;0,$P507&lt;&gt;"",$P507&gt;=Parâmetros!$C$5),"Sim","Não"))</f>
        <v/>
      </c>
      <c r="P507" s="45" t="str">
        <f aca="false">IF($E507="","",IF($G507="","",IF($G507="NOK",$F507,0)))</f>
        <v/>
      </c>
      <c r="Q507" s="46" t="str">
        <f aca="false">IF($E507="","",IF($O507&lt;&gt;"Sim","",COUNTIF($O$3:$O507,"Sim")))</f>
        <v/>
      </c>
      <c r="R507" s="47" t="n">
        <f aca="false">IF($P507="",0,$P507)</f>
        <v>0</v>
      </c>
    </row>
    <row r="508" customFormat="false" ht="18" hidden="false" customHeight="true" outlineLevel="0" collapsed="false">
      <c r="A508" s="39"/>
      <c r="B508" s="41"/>
      <c r="C508" s="40"/>
      <c r="D508" s="40"/>
      <c r="E508" s="40"/>
      <c r="F508" s="42"/>
      <c r="G508" s="39"/>
      <c r="H508" s="40"/>
      <c r="I508" s="40"/>
      <c r="J508" s="40"/>
      <c r="K508" s="41"/>
      <c r="L508" s="39"/>
      <c r="M508" s="48" t="str">
        <f aca="false">IF($E508="","",IFERROR(INDEX(Parâmetros!$C$15:$C$20,MATCH($P508,Parâmetros!$B$15:$B$20,0)),""))</f>
        <v/>
      </c>
      <c r="N508" s="46" t="str">
        <f aca="false">IF($E508="","",IF($P508="","",IF($P508&gt;=8,"Alta",IF($P508&gt;=5,"Média","Baixa"))))</f>
        <v/>
      </c>
      <c r="O508" s="46" t="str">
        <f aca="false">IF($E508="","",IF(AND(Parâmetros!$C$5&gt;0,$P508&lt;&gt;"",$P508&gt;=Parâmetros!$C$5),"Sim","Não"))</f>
        <v/>
      </c>
      <c r="P508" s="45" t="str">
        <f aca="false">IF($E508="","",IF($G508="","",IF($G508="NOK",$F508,0)))</f>
        <v/>
      </c>
      <c r="Q508" s="46" t="str">
        <f aca="false">IF($E508="","",IF($O508&lt;&gt;"Sim","",COUNTIF($O$3:$O508,"Sim")))</f>
        <v/>
      </c>
      <c r="R508" s="47" t="n">
        <f aca="false">IF($P508="",0,$P508)</f>
        <v>0</v>
      </c>
    </row>
    <row r="509" customFormat="false" ht="18" hidden="false" customHeight="true" outlineLevel="0" collapsed="false">
      <c r="A509" s="39"/>
      <c r="B509" s="41"/>
      <c r="C509" s="40"/>
      <c r="D509" s="40"/>
      <c r="E509" s="40"/>
      <c r="F509" s="42"/>
      <c r="G509" s="39"/>
      <c r="H509" s="40"/>
      <c r="I509" s="40"/>
      <c r="J509" s="40"/>
      <c r="K509" s="41"/>
      <c r="L509" s="39"/>
      <c r="M509" s="48" t="str">
        <f aca="false">IF($E509="","",IFERROR(INDEX(Parâmetros!$C$15:$C$20,MATCH($P509,Parâmetros!$B$15:$B$20,0)),""))</f>
        <v/>
      </c>
      <c r="N509" s="46" t="str">
        <f aca="false">IF($E509="","",IF($P509="","",IF($P509&gt;=8,"Alta",IF($P509&gt;=5,"Média","Baixa"))))</f>
        <v/>
      </c>
      <c r="O509" s="46" t="str">
        <f aca="false">IF($E509="","",IF(AND(Parâmetros!$C$5&gt;0,$P509&lt;&gt;"",$P509&gt;=Parâmetros!$C$5),"Sim","Não"))</f>
        <v/>
      </c>
      <c r="P509" s="45" t="str">
        <f aca="false">IF($E509="","",IF($G509="","",IF($G509="NOK",$F509,0)))</f>
        <v/>
      </c>
      <c r="Q509" s="46" t="str">
        <f aca="false">IF($E509="","",IF($O509&lt;&gt;"Sim","",COUNTIF($O$3:$O509,"Sim")))</f>
        <v/>
      </c>
      <c r="R509" s="47" t="n">
        <f aca="false">IF($P509="",0,$P509)</f>
        <v>0</v>
      </c>
    </row>
    <row r="510" customFormat="false" ht="18" hidden="false" customHeight="true" outlineLevel="0" collapsed="false">
      <c r="A510" s="39"/>
      <c r="B510" s="41"/>
      <c r="C510" s="40"/>
      <c r="D510" s="40"/>
      <c r="E510" s="40"/>
      <c r="F510" s="42"/>
      <c r="G510" s="39"/>
      <c r="H510" s="40"/>
      <c r="I510" s="40"/>
      <c r="J510" s="40"/>
      <c r="K510" s="41"/>
      <c r="L510" s="39"/>
      <c r="M510" s="48" t="str">
        <f aca="false">IF($E510="","",IFERROR(INDEX(Parâmetros!$C$15:$C$20,MATCH($P510,Parâmetros!$B$15:$B$20,0)),""))</f>
        <v/>
      </c>
      <c r="N510" s="46" t="str">
        <f aca="false">IF($E510="","",IF($P510="","",IF($P510&gt;=8,"Alta",IF($P510&gt;=5,"Média","Baixa"))))</f>
        <v/>
      </c>
      <c r="O510" s="46" t="str">
        <f aca="false">IF($E510="","",IF(AND(Parâmetros!$C$5&gt;0,$P510&lt;&gt;"",$P510&gt;=Parâmetros!$C$5),"Sim","Não"))</f>
        <v/>
      </c>
      <c r="P510" s="45" t="str">
        <f aca="false">IF($E510="","",IF($G510="","",IF($G510="NOK",$F510,0)))</f>
        <v/>
      </c>
      <c r="Q510" s="46" t="str">
        <f aca="false">IF($E510="","",IF($O510&lt;&gt;"Sim","",COUNTIF($O$3:$O510,"Sim")))</f>
        <v/>
      </c>
      <c r="R510" s="47" t="n">
        <f aca="false">IF($P510="",0,$P510)</f>
        <v>0</v>
      </c>
    </row>
    <row r="511" customFormat="false" ht="18" hidden="false" customHeight="true" outlineLevel="0" collapsed="false">
      <c r="A511" s="39"/>
      <c r="B511" s="41"/>
      <c r="C511" s="40"/>
      <c r="D511" s="40"/>
      <c r="E511" s="40"/>
      <c r="F511" s="42"/>
      <c r="G511" s="39"/>
      <c r="H511" s="40"/>
      <c r="I511" s="40"/>
      <c r="J511" s="40"/>
      <c r="K511" s="41"/>
      <c r="L511" s="39"/>
      <c r="M511" s="48" t="str">
        <f aca="false">IF($E511="","",IFERROR(INDEX(Parâmetros!$C$15:$C$20,MATCH($P511,Parâmetros!$B$15:$B$20,0)),""))</f>
        <v/>
      </c>
      <c r="N511" s="46" t="str">
        <f aca="false">IF($E511="","",IF($P511="","",IF($P511&gt;=8,"Alta",IF($P511&gt;=5,"Média","Baixa"))))</f>
        <v/>
      </c>
      <c r="O511" s="46" t="str">
        <f aca="false">IF($E511="","",IF(AND(Parâmetros!$C$5&gt;0,$P511&lt;&gt;"",$P511&gt;=Parâmetros!$C$5),"Sim","Não"))</f>
        <v/>
      </c>
      <c r="P511" s="45" t="str">
        <f aca="false">IF($E511="","",IF($G511="","",IF($G511="NOK",$F511,0)))</f>
        <v/>
      </c>
      <c r="Q511" s="46" t="str">
        <f aca="false">IF($E511="","",IF($O511&lt;&gt;"Sim","",COUNTIF($O$3:$O511,"Sim")))</f>
        <v/>
      </c>
      <c r="R511" s="47" t="n">
        <f aca="false">IF($P511="",0,$P511)</f>
        <v>0</v>
      </c>
    </row>
    <row r="512" customFormat="false" ht="18" hidden="false" customHeight="true" outlineLevel="0" collapsed="false">
      <c r="A512" s="39"/>
      <c r="B512" s="41"/>
      <c r="C512" s="40"/>
      <c r="D512" s="40"/>
      <c r="E512" s="40"/>
      <c r="F512" s="42"/>
      <c r="G512" s="39"/>
      <c r="H512" s="40"/>
      <c r="I512" s="40"/>
      <c r="J512" s="40"/>
      <c r="K512" s="41"/>
      <c r="L512" s="39"/>
      <c r="M512" s="48" t="str">
        <f aca="false">IF($E512="","",IFERROR(INDEX(Parâmetros!$C$15:$C$20,MATCH($P512,Parâmetros!$B$15:$B$20,0)),""))</f>
        <v/>
      </c>
      <c r="N512" s="46" t="str">
        <f aca="false">IF($E512="","",IF($P512="","",IF($P512&gt;=8,"Alta",IF($P512&gt;=5,"Média","Baixa"))))</f>
        <v/>
      </c>
      <c r="O512" s="46" t="str">
        <f aca="false">IF($E512="","",IF(AND(Parâmetros!$C$5&gt;0,$P512&lt;&gt;"",$P512&gt;=Parâmetros!$C$5),"Sim","Não"))</f>
        <v/>
      </c>
      <c r="P512" s="45" t="str">
        <f aca="false">IF($E512="","",IF($G512="","",IF($G512="NOK",$F512,0)))</f>
        <v/>
      </c>
      <c r="Q512" s="46" t="str">
        <f aca="false">IF($E512="","",IF($O512&lt;&gt;"Sim","",COUNTIF($O$3:$O512,"Sim")))</f>
        <v/>
      </c>
      <c r="R512" s="47" t="n">
        <f aca="false">IF($P512="",0,$P512)</f>
        <v>0</v>
      </c>
    </row>
    <row r="513" customFormat="false" ht="18" hidden="false" customHeight="true" outlineLevel="0" collapsed="false">
      <c r="A513" s="39"/>
      <c r="B513" s="41"/>
      <c r="C513" s="40"/>
      <c r="D513" s="40"/>
      <c r="E513" s="40"/>
      <c r="F513" s="42"/>
      <c r="G513" s="39"/>
      <c r="H513" s="40"/>
      <c r="I513" s="40"/>
      <c r="J513" s="40"/>
      <c r="K513" s="41"/>
      <c r="L513" s="39"/>
      <c r="M513" s="48" t="str">
        <f aca="false">IF($E513="","",IFERROR(INDEX(Parâmetros!$C$15:$C$20,MATCH($P513,Parâmetros!$B$15:$B$20,0)),""))</f>
        <v/>
      </c>
      <c r="N513" s="46" t="str">
        <f aca="false">IF($E513="","",IF($P513="","",IF($P513&gt;=8,"Alta",IF($P513&gt;=5,"Média","Baixa"))))</f>
        <v/>
      </c>
      <c r="O513" s="46" t="str">
        <f aca="false">IF($E513="","",IF(AND(Parâmetros!$C$5&gt;0,$P513&lt;&gt;"",$P513&gt;=Parâmetros!$C$5),"Sim","Não"))</f>
        <v/>
      </c>
      <c r="P513" s="45" t="str">
        <f aca="false">IF($E513="","",IF($G513="","",IF($G513="NOK",$F513,0)))</f>
        <v/>
      </c>
      <c r="Q513" s="46" t="str">
        <f aca="false">IF($E513="","",IF($O513&lt;&gt;"Sim","",COUNTIF($O$3:$O513,"Sim")))</f>
        <v/>
      </c>
      <c r="R513" s="47" t="n">
        <f aca="false">IF($P513="",0,$P513)</f>
        <v>0</v>
      </c>
    </row>
    <row r="514" customFormat="false" ht="18" hidden="false" customHeight="true" outlineLevel="0" collapsed="false">
      <c r="A514" s="39"/>
      <c r="B514" s="41"/>
      <c r="C514" s="40"/>
      <c r="D514" s="40"/>
      <c r="E514" s="40"/>
      <c r="F514" s="42"/>
      <c r="G514" s="39"/>
      <c r="H514" s="40"/>
      <c r="I514" s="40"/>
      <c r="J514" s="40"/>
      <c r="K514" s="41"/>
      <c r="L514" s="39"/>
      <c r="M514" s="48" t="str">
        <f aca="false">IF($E514="","",IFERROR(INDEX(Parâmetros!$C$15:$C$20,MATCH($P514,Parâmetros!$B$15:$B$20,0)),""))</f>
        <v/>
      </c>
      <c r="N514" s="46" t="str">
        <f aca="false">IF($E514="","",IF($P514="","",IF($P514&gt;=8,"Alta",IF($P514&gt;=5,"Média","Baixa"))))</f>
        <v/>
      </c>
      <c r="O514" s="46" t="str">
        <f aca="false">IF($E514="","",IF(AND(Parâmetros!$C$5&gt;0,$P514&lt;&gt;"",$P514&gt;=Parâmetros!$C$5),"Sim","Não"))</f>
        <v/>
      </c>
      <c r="P514" s="45" t="str">
        <f aca="false">IF($E514="","",IF($G514="","",IF($G514="NOK",$F514,0)))</f>
        <v/>
      </c>
      <c r="Q514" s="46" t="str">
        <f aca="false">IF($E514="","",IF($O514&lt;&gt;"Sim","",COUNTIF($O$3:$O514,"Sim")))</f>
        <v/>
      </c>
      <c r="R514" s="47" t="n">
        <f aca="false">IF($P514="",0,$P514)</f>
        <v>0</v>
      </c>
    </row>
    <row r="515" customFormat="false" ht="18" hidden="false" customHeight="true" outlineLevel="0" collapsed="false">
      <c r="A515" s="39"/>
      <c r="B515" s="41"/>
      <c r="C515" s="40"/>
      <c r="D515" s="40"/>
      <c r="E515" s="40"/>
      <c r="F515" s="42"/>
      <c r="G515" s="39"/>
      <c r="H515" s="40"/>
      <c r="I515" s="40"/>
      <c r="J515" s="40"/>
      <c r="K515" s="41"/>
      <c r="L515" s="39"/>
      <c r="M515" s="48" t="str">
        <f aca="false">IF($E515="","",IFERROR(INDEX(Parâmetros!$C$15:$C$20,MATCH($P515,Parâmetros!$B$15:$B$20,0)),""))</f>
        <v/>
      </c>
      <c r="N515" s="46" t="str">
        <f aca="false">IF($E515="","",IF($P515="","",IF($P515&gt;=8,"Alta",IF($P515&gt;=5,"Média","Baixa"))))</f>
        <v/>
      </c>
      <c r="O515" s="46" t="str">
        <f aca="false">IF($E515="","",IF(AND(Parâmetros!$C$5&gt;0,$P515&lt;&gt;"",$P515&gt;=Parâmetros!$C$5),"Sim","Não"))</f>
        <v/>
      </c>
      <c r="P515" s="45" t="str">
        <f aca="false">IF($E515="","",IF($G515="","",IF($G515="NOK",$F515,0)))</f>
        <v/>
      </c>
      <c r="Q515" s="46" t="str">
        <f aca="false">IF($E515="","",IF($O515&lt;&gt;"Sim","",COUNTIF($O$3:$O515,"Sim")))</f>
        <v/>
      </c>
      <c r="R515" s="47" t="n">
        <f aca="false">IF($P515="",0,$P515)</f>
        <v>0</v>
      </c>
    </row>
    <row r="516" customFormat="false" ht="18" hidden="false" customHeight="true" outlineLevel="0" collapsed="false">
      <c r="A516" s="39"/>
      <c r="B516" s="41"/>
      <c r="C516" s="40"/>
      <c r="D516" s="40"/>
      <c r="E516" s="40"/>
      <c r="F516" s="42"/>
      <c r="G516" s="39"/>
      <c r="H516" s="40"/>
      <c r="I516" s="40"/>
      <c r="J516" s="40"/>
      <c r="K516" s="41"/>
      <c r="L516" s="39"/>
      <c r="M516" s="48" t="str">
        <f aca="false">IF($E516="","",IFERROR(INDEX(Parâmetros!$C$15:$C$20,MATCH($P516,Parâmetros!$B$15:$B$20,0)),""))</f>
        <v/>
      </c>
      <c r="N516" s="46" t="str">
        <f aca="false">IF($E516="","",IF($P516="","",IF($P516&gt;=8,"Alta",IF($P516&gt;=5,"Média","Baixa"))))</f>
        <v/>
      </c>
      <c r="O516" s="46" t="str">
        <f aca="false">IF($E516="","",IF(AND(Parâmetros!$C$5&gt;0,$P516&lt;&gt;"",$P516&gt;=Parâmetros!$C$5),"Sim","Não"))</f>
        <v/>
      </c>
      <c r="P516" s="45" t="str">
        <f aca="false">IF($E516="","",IF($G516="","",IF($G516="NOK",$F516,0)))</f>
        <v/>
      </c>
      <c r="Q516" s="46" t="str">
        <f aca="false">IF($E516="","",IF($O516&lt;&gt;"Sim","",COUNTIF($O$3:$O516,"Sim")))</f>
        <v/>
      </c>
      <c r="R516" s="47" t="n">
        <f aca="false">IF($P516="",0,$P516)</f>
        <v>0</v>
      </c>
    </row>
    <row r="517" customFormat="false" ht="18" hidden="false" customHeight="true" outlineLevel="0" collapsed="false">
      <c r="A517" s="39"/>
      <c r="B517" s="41"/>
      <c r="C517" s="40"/>
      <c r="D517" s="40"/>
      <c r="E517" s="40"/>
      <c r="F517" s="42"/>
      <c r="G517" s="39"/>
      <c r="H517" s="40"/>
      <c r="I517" s="40"/>
      <c r="J517" s="40"/>
      <c r="K517" s="41"/>
      <c r="L517" s="39"/>
      <c r="M517" s="48" t="str">
        <f aca="false">IF($E517="","",IFERROR(INDEX(Parâmetros!$C$15:$C$20,MATCH($P517,Parâmetros!$B$15:$B$20,0)),""))</f>
        <v/>
      </c>
      <c r="N517" s="46" t="str">
        <f aca="false">IF($E517="","",IF($P517="","",IF($P517&gt;=8,"Alta",IF($P517&gt;=5,"Média","Baixa"))))</f>
        <v/>
      </c>
      <c r="O517" s="46" t="str">
        <f aca="false">IF($E517="","",IF(AND(Parâmetros!$C$5&gt;0,$P517&lt;&gt;"",$P517&gt;=Parâmetros!$C$5),"Sim","Não"))</f>
        <v/>
      </c>
      <c r="P517" s="45" t="str">
        <f aca="false">IF($E517="","",IF($G517="","",IF($G517="NOK",$F517,0)))</f>
        <v/>
      </c>
      <c r="Q517" s="46" t="str">
        <f aca="false">IF($E517="","",IF($O517&lt;&gt;"Sim","",COUNTIF($O$3:$O517,"Sim")))</f>
        <v/>
      </c>
      <c r="R517" s="47" t="n">
        <f aca="false">IF($P517="",0,$P517)</f>
        <v>0</v>
      </c>
    </row>
    <row r="518" customFormat="false" ht="18" hidden="false" customHeight="true" outlineLevel="0" collapsed="false">
      <c r="A518" s="39"/>
      <c r="B518" s="41"/>
      <c r="C518" s="40"/>
      <c r="D518" s="40"/>
      <c r="E518" s="40"/>
      <c r="F518" s="42"/>
      <c r="G518" s="39"/>
      <c r="H518" s="40"/>
      <c r="I518" s="40"/>
      <c r="J518" s="40"/>
      <c r="K518" s="41"/>
      <c r="L518" s="39"/>
      <c r="M518" s="48" t="str">
        <f aca="false">IF($E518="","",IFERROR(INDEX(Parâmetros!$C$15:$C$20,MATCH($P518,Parâmetros!$B$15:$B$20,0)),""))</f>
        <v/>
      </c>
      <c r="N518" s="46" t="str">
        <f aca="false">IF($E518="","",IF($P518="","",IF($P518&gt;=8,"Alta",IF($P518&gt;=5,"Média","Baixa"))))</f>
        <v/>
      </c>
      <c r="O518" s="46" t="str">
        <f aca="false">IF($E518="","",IF(AND(Parâmetros!$C$5&gt;0,$P518&lt;&gt;"",$P518&gt;=Parâmetros!$C$5),"Sim","Não"))</f>
        <v/>
      </c>
      <c r="P518" s="45" t="str">
        <f aca="false">IF($E518="","",IF($G518="","",IF($G518="NOK",$F518,0)))</f>
        <v/>
      </c>
      <c r="Q518" s="46" t="str">
        <f aca="false">IF($E518="","",IF($O518&lt;&gt;"Sim","",COUNTIF($O$3:$O518,"Sim")))</f>
        <v/>
      </c>
      <c r="R518" s="47" t="n">
        <f aca="false">IF($P518="",0,$P518)</f>
        <v>0</v>
      </c>
    </row>
    <row r="519" customFormat="false" ht="18" hidden="false" customHeight="true" outlineLevel="0" collapsed="false">
      <c r="A519" s="39"/>
      <c r="B519" s="41"/>
      <c r="C519" s="40"/>
      <c r="D519" s="40"/>
      <c r="E519" s="40"/>
      <c r="F519" s="42"/>
      <c r="G519" s="39"/>
      <c r="H519" s="40"/>
      <c r="I519" s="40"/>
      <c r="J519" s="40"/>
      <c r="K519" s="41"/>
      <c r="L519" s="39"/>
      <c r="M519" s="48" t="str">
        <f aca="false">IF($E519="","",IFERROR(INDEX(Parâmetros!$C$15:$C$20,MATCH($P519,Parâmetros!$B$15:$B$20,0)),""))</f>
        <v/>
      </c>
      <c r="N519" s="46" t="str">
        <f aca="false">IF($E519="","",IF($P519="","",IF($P519&gt;=8,"Alta",IF($P519&gt;=5,"Média","Baixa"))))</f>
        <v/>
      </c>
      <c r="O519" s="46" t="str">
        <f aca="false">IF($E519="","",IF(AND(Parâmetros!$C$5&gt;0,$P519&lt;&gt;"",$P519&gt;=Parâmetros!$C$5),"Sim","Não"))</f>
        <v/>
      </c>
      <c r="P519" s="45" t="str">
        <f aca="false">IF($E519="","",IF($G519="","",IF($G519="NOK",$F519,0)))</f>
        <v/>
      </c>
      <c r="Q519" s="46" t="str">
        <f aca="false">IF($E519="","",IF($O519&lt;&gt;"Sim","",COUNTIF($O$3:$O519,"Sim")))</f>
        <v/>
      </c>
      <c r="R519" s="47" t="n">
        <f aca="false">IF($P519="",0,$P519)</f>
        <v>0</v>
      </c>
    </row>
    <row r="520" customFormat="false" ht="18" hidden="false" customHeight="true" outlineLevel="0" collapsed="false">
      <c r="A520" s="39"/>
      <c r="B520" s="41"/>
      <c r="C520" s="40"/>
      <c r="D520" s="40"/>
      <c r="E520" s="40"/>
      <c r="F520" s="42"/>
      <c r="G520" s="39"/>
      <c r="H520" s="40"/>
      <c r="I520" s="40"/>
      <c r="J520" s="40"/>
      <c r="K520" s="41"/>
      <c r="L520" s="39"/>
      <c r="M520" s="48" t="str">
        <f aca="false">IF($E520="","",IFERROR(INDEX(Parâmetros!$C$15:$C$20,MATCH($P520,Parâmetros!$B$15:$B$20,0)),""))</f>
        <v/>
      </c>
      <c r="N520" s="46" t="str">
        <f aca="false">IF($E520="","",IF($P520="","",IF($P520&gt;=8,"Alta",IF($P520&gt;=5,"Média","Baixa"))))</f>
        <v/>
      </c>
      <c r="O520" s="46" t="str">
        <f aca="false">IF($E520="","",IF(AND(Parâmetros!$C$5&gt;0,$P520&lt;&gt;"",$P520&gt;=Parâmetros!$C$5),"Sim","Não"))</f>
        <v/>
      </c>
      <c r="P520" s="45" t="str">
        <f aca="false">IF($E520="","",IF($G520="","",IF($G520="NOK",$F520,0)))</f>
        <v/>
      </c>
      <c r="Q520" s="46" t="str">
        <f aca="false">IF($E520="","",IF($O520&lt;&gt;"Sim","",COUNTIF($O$3:$O520,"Sim")))</f>
        <v/>
      </c>
      <c r="R520" s="47" t="n">
        <f aca="false">IF($P520="",0,$P520)</f>
        <v>0</v>
      </c>
    </row>
    <row r="521" customFormat="false" ht="18" hidden="false" customHeight="true" outlineLevel="0" collapsed="false">
      <c r="A521" s="39"/>
      <c r="B521" s="41"/>
      <c r="C521" s="40"/>
      <c r="D521" s="40"/>
      <c r="E521" s="40"/>
      <c r="F521" s="42"/>
      <c r="G521" s="39"/>
      <c r="H521" s="40"/>
      <c r="I521" s="40"/>
      <c r="J521" s="40"/>
      <c r="K521" s="41"/>
      <c r="L521" s="39"/>
      <c r="M521" s="48" t="str">
        <f aca="false">IF($E521="","",IFERROR(INDEX(Parâmetros!$C$15:$C$20,MATCH($P521,Parâmetros!$B$15:$B$20,0)),""))</f>
        <v/>
      </c>
      <c r="N521" s="46" t="str">
        <f aca="false">IF($E521="","",IF($P521="","",IF($P521&gt;=8,"Alta",IF($P521&gt;=5,"Média","Baixa"))))</f>
        <v/>
      </c>
      <c r="O521" s="46" t="str">
        <f aca="false">IF($E521="","",IF(AND(Parâmetros!$C$5&gt;0,$P521&lt;&gt;"",$P521&gt;=Parâmetros!$C$5),"Sim","Não"))</f>
        <v/>
      </c>
      <c r="P521" s="45" t="str">
        <f aca="false">IF($E521="","",IF($G521="","",IF($G521="NOK",$F521,0)))</f>
        <v/>
      </c>
      <c r="Q521" s="46" t="str">
        <f aca="false">IF($E521="","",IF($O521&lt;&gt;"Sim","",COUNTIF($O$3:$O521,"Sim")))</f>
        <v/>
      </c>
      <c r="R521" s="47" t="n">
        <f aca="false">IF($P521="",0,$P521)</f>
        <v>0</v>
      </c>
    </row>
    <row r="522" customFormat="false" ht="18" hidden="false" customHeight="true" outlineLevel="0" collapsed="false">
      <c r="A522" s="39"/>
      <c r="B522" s="41"/>
      <c r="C522" s="40"/>
      <c r="D522" s="40"/>
      <c r="E522" s="40"/>
      <c r="F522" s="42"/>
      <c r="G522" s="39"/>
      <c r="H522" s="40"/>
      <c r="I522" s="40"/>
      <c r="J522" s="40"/>
      <c r="K522" s="41"/>
      <c r="L522" s="39"/>
      <c r="M522" s="48" t="str">
        <f aca="false">IF($E522="","",IFERROR(INDEX(Parâmetros!$C$15:$C$20,MATCH($P522,Parâmetros!$B$15:$B$20,0)),""))</f>
        <v/>
      </c>
      <c r="N522" s="46" t="str">
        <f aca="false">IF($E522="","",IF($P522="","",IF($P522&gt;=8,"Alta",IF($P522&gt;=5,"Média","Baixa"))))</f>
        <v/>
      </c>
      <c r="O522" s="46" t="str">
        <f aca="false">IF($E522="","",IF(AND(Parâmetros!$C$5&gt;0,$P522&lt;&gt;"",$P522&gt;=Parâmetros!$C$5),"Sim","Não"))</f>
        <v/>
      </c>
      <c r="P522" s="45" t="str">
        <f aca="false">IF($E522="","",IF($G522="","",IF($G522="NOK",$F522,0)))</f>
        <v/>
      </c>
      <c r="Q522" s="46" t="str">
        <f aca="false">IF($E522="","",IF($O522&lt;&gt;"Sim","",COUNTIF($O$3:$O522,"Sim")))</f>
        <v/>
      </c>
      <c r="R522" s="47" t="n">
        <f aca="false">IF($P522="",0,$P522)</f>
        <v>0</v>
      </c>
    </row>
    <row r="523" customFormat="false" ht="18" hidden="false" customHeight="true" outlineLevel="0" collapsed="false">
      <c r="A523" s="39"/>
      <c r="B523" s="41"/>
      <c r="C523" s="40"/>
      <c r="D523" s="40"/>
      <c r="E523" s="40"/>
      <c r="F523" s="42"/>
      <c r="G523" s="39"/>
      <c r="H523" s="40"/>
      <c r="I523" s="40"/>
      <c r="J523" s="40"/>
      <c r="K523" s="41"/>
      <c r="L523" s="39"/>
      <c r="M523" s="48" t="str">
        <f aca="false">IF($E523="","",IFERROR(INDEX(Parâmetros!$C$15:$C$20,MATCH($P523,Parâmetros!$B$15:$B$20,0)),""))</f>
        <v/>
      </c>
      <c r="N523" s="46" t="str">
        <f aca="false">IF($E523="","",IF($P523="","",IF($P523&gt;=8,"Alta",IF($P523&gt;=5,"Média","Baixa"))))</f>
        <v/>
      </c>
      <c r="O523" s="46" t="str">
        <f aca="false">IF($E523="","",IF(AND(Parâmetros!$C$5&gt;0,$P523&lt;&gt;"",$P523&gt;=Parâmetros!$C$5),"Sim","Não"))</f>
        <v/>
      </c>
      <c r="P523" s="45" t="str">
        <f aca="false">IF($E523="","",IF($G523="","",IF($G523="NOK",$F523,0)))</f>
        <v/>
      </c>
      <c r="Q523" s="46" t="str">
        <f aca="false">IF($E523="","",IF($O523&lt;&gt;"Sim","",COUNTIF($O$3:$O523,"Sim")))</f>
        <v/>
      </c>
      <c r="R523" s="47" t="n">
        <f aca="false">IF($P523="",0,$P523)</f>
        <v>0</v>
      </c>
    </row>
    <row r="524" customFormat="false" ht="18" hidden="false" customHeight="true" outlineLevel="0" collapsed="false">
      <c r="A524" s="39"/>
      <c r="B524" s="41"/>
      <c r="C524" s="40"/>
      <c r="D524" s="40"/>
      <c r="E524" s="40"/>
      <c r="F524" s="42"/>
      <c r="G524" s="39"/>
      <c r="H524" s="40"/>
      <c r="I524" s="40"/>
      <c r="J524" s="40"/>
      <c r="K524" s="41"/>
      <c r="L524" s="39"/>
      <c r="M524" s="48" t="str">
        <f aca="false">IF($E524="","",IFERROR(INDEX(Parâmetros!$C$15:$C$20,MATCH($P524,Parâmetros!$B$15:$B$20,0)),""))</f>
        <v/>
      </c>
      <c r="N524" s="46" t="str">
        <f aca="false">IF($E524="","",IF($P524="","",IF($P524&gt;=8,"Alta",IF($P524&gt;=5,"Média","Baixa"))))</f>
        <v/>
      </c>
      <c r="O524" s="46" t="str">
        <f aca="false">IF($E524="","",IF(AND(Parâmetros!$C$5&gt;0,$P524&lt;&gt;"",$P524&gt;=Parâmetros!$C$5),"Sim","Não"))</f>
        <v/>
      </c>
      <c r="P524" s="45" t="str">
        <f aca="false">IF($E524="","",IF($G524="","",IF($G524="NOK",$F524,0)))</f>
        <v/>
      </c>
      <c r="Q524" s="46" t="str">
        <f aca="false">IF($E524="","",IF($O524&lt;&gt;"Sim","",COUNTIF($O$3:$O524,"Sim")))</f>
        <v/>
      </c>
      <c r="R524" s="47" t="n">
        <f aca="false">IF($P524="",0,$P524)</f>
        <v>0</v>
      </c>
    </row>
    <row r="525" customFormat="false" ht="18" hidden="false" customHeight="true" outlineLevel="0" collapsed="false">
      <c r="A525" s="39"/>
      <c r="B525" s="41"/>
      <c r="C525" s="40"/>
      <c r="D525" s="40"/>
      <c r="E525" s="40"/>
      <c r="F525" s="42"/>
      <c r="G525" s="39"/>
      <c r="H525" s="40"/>
      <c r="I525" s="40"/>
      <c r="J525" s="40"/>
      <c r="K525" s="41"/>
      <c r="L525" s="39"/>
      <c r="M525" s="48" t="str">
        <f aca="false">IF($E525="","",IFERROR(INDEX(Parâmetros!$C$15:$C$20,MATCH($P525,Parâmetros!$B$15:$B$20,0)),""))</f>
        <v/>
      </c>
      <c r="N525" s="46" t="str">
        <f aca="false">IF($E525="","",IF($P525="","",IF($P525&gt;=8,"Alta",IF($P525&gt;=5,"Média","Baixa"))))</f>
        <v/>
      </c>
      <c r="O525" s="46" t="str">
        <f aca="false">IF($E525="","",IF(AND(Parâmetros!$C$5&gt;0,$P525&lt;&gt;"",$P525&gt;=Parâmetros!$C$5),"Sim","Não"))</f>
        <v/>
      </c>
      <c r="P525" s="45" t="str">
        <f aca="false">IF($E525="","",IF($G525="","",IF($G525="NOK",$F525,0)))</f>
        <v/>
      </c>
      <c r="Q525" s="46" t="str">
        <f aca="false">IF($E525="","",IF($O525&lt;&gt;"Sim","",COUNTIF($O$3:$O525,"Sim")))</f>
        <v/>
      </c>
      <c r="R525" s="47" t="n">
        <f aca="false">IF($P525="",0,$P525)</f>
        <v>0</v>
      </c>
    </row>
    <row r="526" customFormat="false" ht="18" hidden="false" customHeight="true" outlineLevel="0" collapsed="false">
      <c r="A526" s="39"/>
      <c r="B526" s="41"/>
      <c r="C526" s="40"/>
      <c r="D526" s="40"/>
      <c r="E526" s="40"/>
      <c r="F526" s="42"/>
      <c r="G526" s="39"/>
      <c r="H526" s="40"/>
      <c r="I526" s="40"/>
      <c r="J526" s="40"/>
      <c r="K526" s="41"/>
      <c r="L526" s="39"/>
      <c r="M526" s="48" t="str">
        <f aca="false">IF($E526="","",IFERROR(INDEX(Parâmetros!$C$15:$C$20,MATCH($P526,Parâmetros!$B$15:$B$20,0)),""))</f>
        <v/>
      </c>
      <c r="N526" s="46" t="str">
        <f aca="false">IF($E526="","",IF($P526="","",IF($P526&gt;=8,"Alta",IF($P526&gt;=5,"Média","Baixa"))))</f>
        <v/>
      </c>
      <c r="O526" s="46" t="str">
        <f aca="false">IF($E526="","",IF(AND(Parâmetros!$C$5&gt;0,$P526&lt;&gt;"",$P526&gt;=Parâmetros!$C$5),"Sim","Não"))</f>
        <v/>
      </c>
      <c r="P526" s="45" t="str">
        <f aca="false">IF($E526="","",IF($G526="","",IF($G526="NOK",$F526,0)))</f>
        <v/>
      </c>
      <c r="Q526" s="46" t="str">
        <f aca="false">IF($E526="","",IF($O526&lt;&gt;"Sim","",COUNTIF($O$3:$O526,"Sim")))</f>
        <v/>
      </c>
      <c r="R526" s="47" t="n">
        <f aca="false">IF($P526="",0,$P526)</f>
        <v>0</v>
      </c>
    </row>
    <row r="527" customFormat="false" ht="18" hidden="false" customHeight="true" outlineLevel="0" collapsed="false">
      <c r="A527" s="39"/>
      <c r="B527" s="41"/>
      <c r="C527" s="40"/>
      <c r="D527" s="40"/>
      <c r="E527" s="40"/>
      <c r="F527" s="42"/>
      <c r="G527" s="39"/>
      <c r="H527" s="40"/>
      <c r="I527" s="40"/>
      <c r="J527" s="40"/>
      <c r="K527" s="41"/>
      <c r="L527" s="39"/>
      <c r="M527" s="48" t="str">
        <f aca="false">IF($E527="","",IFERROR(INDEX(Parâmetros!$C$15:$C$20,MATCH($P527,Parâmetros!$B$15:$B$20,0)),""))</f>
        <v/>
      </c>
      <c r="N527" s="46" t="str">
        <f aca="false">IF($E527="","",IF($P527="","",IF($P527&gt;=8,"Alta",IF($P527&gt;=5,"Média","Baixa"))))</f>
        <v/>
      </c>
      <c r="O527" s="46" t="str">
        <f aca="false">IF($E527="","",IF(AND(Parâmetros!$C$5&gt;0,$P527&lt;&gt;"",$P527&gt;=Parâmetros!$C$5),"Sim","Não"))</f>
        <v/>
      </c>
      <c r="P527" s="45" t="str">
        <f aca="false">IF($E527="","",IF($G527="","",IF($G527="NOK",$F527,0)))</f>
        <v/>
      </c>
      <c r="Q527" s="46" t="str">
        <f aca="false">IF($E527="","",IF($O527&lt;&gt;"Sim","",COUNTIF($O$3:$O527,"Sim")))</f>
        <v/>
      </c>
      <c r="R527" s="47" t="n">
        <f aca="false">IF($P527="",0,$P527)</f>
        <v>0</v>
      </c>
    </row>
    <row r="528" customFormat="false" ht="18" hidden="false" customHeight="true" outlineLevel="0" collapsed="false">
      <c r="A528" s="39"/>
      <c r="B528" s="41"/>
      <c r="C528" s="40"/>
      <c r="D528" s="40"/>
      <c r="E528" s="40"/>
      <c r="F528" s="42"/>
      <c r="G528" s="39"/>
      <c r="H528" s="40"/>
      <c r="I528" s="40"/>
      <c r="J528" s="40"/>
      <c r="K528" s="41"/>
      <c r="L528" s="39"/>
      <c r="M528" s="48" t="str">
        <f aca="false">IF($E528="","",IFERROR(INDEX(Parâmetros!$C$15:$C$20,MATCH($P528,Parâmetros!$B$15:$B$20,0)),""))</f>
        <v/>
      </c>
      <c r="N528" s="46" t="str">
        <f aca="false">IF($E528="","",IF($P528="","",IF($P528&gt;=8,"Alta",IF($P528&gt;=5,"Média","Baixa"))))</f>
        <v/>
      </c>
      <c r="O528" s="46" t="str">
        <f aca="false">IF($E528="","",IF(AND(Parâmetros!$C$5&gt;0,$P528&lt;&gt;"",$P528&gt;=Parâmetros!$C$5),"Sim","Não"))</f>
        <v/>
      </c>
      <c r="P528" s="45" t="str">
        <f aca="false">IF($E528="","",IF($G528="","",IF($G528="NOK",$F528,0)))</f>
        <v/>
      </c>
      <c r="Q528" s="46" t="str">
        <f aca="false">IF($E528="","",IF($O528&lt;&gt;"Sim","",COUNTIF($O$3:$O528,"Sim")))</f>
        <v/>
      </c>
      <c r="R528" s="47" t="n">
        <f aca="false">IF($P528="",0,$P528)</f>
        <v>0</v>
      </c>
    </row>
    <row r="529" customFormat="false" ht="18" hidden="false" customHeight="true" outlineLevel="0" collapsed="false">
      <c r="A529" s="39"/>
      <c r="B529" s="41"/>
      <c r="C529" s="40"/>
      <c r="D529" s="40"/>
      <c r="E529" s="40"/>
      <c r="F529" s="42"/>
      <c r="G529" s="39"/>
      <c r="H529" s="40"/>
      <c r="I529" s="40"/>
      <c r="J529" s="40"/>
      <c r="K529" s="41"/>
      <c r="L529" s="39"/>
      <c r="M529" s="48" t="str">
        <f aca="false">IF($E529="","",IFERROR(INDEX(Parâmetros!$C$15:$C$20,MATCH($P529,Parâmetros!$B$15:$B$20,0)),""))</f>
        <v/>
      </c>
      <c r="N529" s="46" t="str">
        <f aca="false">IF($E529="","",IF($P529="","",IF($P529&gt;=8,"Alta",IF($P529&gt;=5,"Média","Baixa"))))</f>
        <v/>
      </c>
      <c r="O529" s="46" t="str">
        <f aca="false">IF($E529="","",IF(AND(Parâmetros!$C$5&gt;0,$P529&lt;&gt;"",$P529&gt;=Parâmetros!$C$5),"Sim","Não"))</f>
        <v/>
      </c>
      <c r="P529" s="45" t="str">
        <f aca="false">IF($E529="","",IF($G529="","",IF($G529="NOK",$F529,0)))</f>
        <v/>
      </c>
      <c r="Q529" s="46" t="str">
        <f aca="false">IF($E529="","",IF($O529&lt;&gt;"Sim","",COUNTIF($O$3:$O529,"Sim")))</f>
        <v/>
      </c>
      <c r="R529" s="47" t="n">
        <f aca="false">IF($P529="",0,$P529)</f>
        <v>0</v>
      </c>
    </row>
    <row r="530" customFormat="false" ht="18" hidden="false" customHeight="true" outlineLevel="0" collapsed="false">
      <c r="A530" s="39"/>
      <c r="B530" s="41"/>
      <c r="C530" s="40"/>
      <c r="D530" s="40"/>
      <c r="E530" s="40"/>
      <c r="F530" s="42"/>
      <c r="G530" s="39"/>
      <c r="H530" s="40"/>
      <c r="I530" s="40"/>
      <c r="J530" s="40"/>
      <c r="K530" s="41"/>
      <c r="L530" s="39"/>
      <c r="M530" s="48" t="str">
        <f aca="false">IF($E530="","",IFERROR(INDEX(Parâmetros!$C$15:$C$20,MATCH($P530,Parâmetros!$B$15:$B$20,0)),""))</f>
        <v/>
      </c>
      <c r="N530" s="46" t="str">
        <f aca="false">IF($E530="","",IF($P530="","",IF($P530&gt;=8,"Alta",IF($P530&gt;=5,"Média","Baixa"))))</f>
        <v/>
      </c>
      <c r="O530" s="46" t="str">
        <f aca="false">IF($E530="","",IF(AND(Parâmetros!$C$5&gt;0,$P530&lt;&gt;"",$P530&gt;=Parâmetros!$C$5),"Sim","Não"))</f>
        <v/>
      </c>
      <c r="P530" s="45" t="str">
        <f aca="false">IF($E530="","",IF($G530="","",IF($G530="NOK",$F530,0)))</f>
        <v/>
      </c>
      <c r="Q530" s="46" t="str">
        <f aca="false">IF($E530="","",IF($O530&lt;&gt;"Sim","",COUNTIF($O$3:$O530,"Sim")))</f>
        <v/>
      </c>
      <c r="R530" s="47" t="n">
        <f aca="false">IF($P530="",0,$P530)</f>
        <v>0</v>
      </c>
    </row>
    <row r="531" customFormat="false" ht="18" hidden="false" customHeight="true" outlineLevel="0" collapsed="false">
      <c r="A531" s="39"/>
      <c r="B531" s="41"/>
      <c r="C531" s="40"/>
      <c r="D531" s="40"/>
      <c r="E531" s="40"/>
      <c r="F531" s="42"/>
      <c r="G531" s="39"/>
      <c r="H531" s="40"/>
      <c r="I531" s="40"/>
      <c r="J531" s="40"/>
      <c r="K531" s="41"/>
      <c r="L531" s="39"/>
      <c r="M531" s="48" t="str">
        <f aca="false">IF($E531="","",IFERROR(INDEX(Parâmetros!$C$15:$C$20,MATCH($P531,Parâmetros!$B$15:$B$20,0)),""))</f>
        <v/>
      </c>
      <c r="N531" s="46" t="str">
        <f aca="false">IF($E531="","",IF($P531="","",IF($P531&gt;=8,"Alta",IF($P531&gt;=5,"Média","Baixa"))))</f>
        <v/>
      </c>
      <c r="O531" s="46" t="str">
        <f aca="false">IF($E531="","",IF(AND(Parâmetros!$C$5&gt;0,$P531&lt;&gt;"",$P531&gt;=Parâmetros!$C$5),"Sim","Não"))</f>
        <v/>
      </c>
      <c r="P531" s="45" t="str">
        <f aca="false">IF($E531="","",IF($G531="","",IF($G531="NOK",$F531,0)))</f>
        <v/>
      </c>
      <c r="Q531" s="46" t="str">
        <f aca="false">IF($E531="","",IF($O531&lt;&gt;"Sim","",COUNTIF($O$3:$O531,"Sim")))</f>
        <v/>
      </c>
      <c r="R531" s="47" t="n">
        <f aca="false">IF($P531="",0,$P531)</f>
        <v>0</v>
      </c>
    </row>
    <row r="532" customFormat="false" ht="18" hidden="false" customHeight="true" outlineLevel="0" collapsed="false">
      <c r="A532" s="39"/>
      <c r="B532" s="41"/>
      <c r="C532" s="40"/>
      <c r="D532" s="40"/>
      <c r="E532" s="40"/>
      <c r="F532" s="42"/>
      <c r="G532" s="39"/>
      <c r="H532" s="40"/>
      <c r="I532" s="40"/>
      <c r="J532" s="40"/>
      <c r="K532" s="41"/>
      <c r="L532" s="39"/>
      <c r="M532" s="48" t="str">
        <f aca="false">IF($E532="","",IFERROR(INDEX(Parâmetros!$C$15:$C$20,MATCH($P532,Parâmetros!$B$15:$B$20,0)),""))</f>
        <v/>
      </c>
      <c r="N532" s="46" t="str">
        <f aca="false">IF($E532="","",IF($P532="","",IF($P532&gt;=8,"Alta",IF($P532&gt;=5,"Média","Baixa"))))</f>
        <v/>
      </c>
      <c r="O532" s="46" t="str">
        <f aca="false">IF($E532="","",IF(AND(Parâmetros!$C$5&gt;0,$P532&lt;&gt;"",$P532&gt;=Parâmetros!$C$5),"Sim","Não"))</f>
        <v/>
      </c>
      <c r="P532" s="45" t="str">
        <f aca="false">IF($E532="","",IF($G532="","",IF($G532="NOK",$F532,0)))</f>
        <v/>
      </c>
      <c r="Q532" s="46" t="str">
        <f aca="false">IF($E532="","",IF($O532&lt;&gt;"Sim","",COUNTIF($O$3:$O532,"Sim")))</f>
        <v/>
      </c>
      <c r="R532" s="47" t="n">
        <f aca="false">IF($P532="",0,$P532)</f>
        <v>0</v>
      </c>
    </row>
    <row r="533" customFormat="false" ht="18" hidden="false" customHeight="true" outlineLevel="0" collapsed="false">
      <c r="A533" s="39"/>
      <c r="B533" s="41"/>
      <c r="C533" s="40"/>
      <c r="D533" s="40"/>
      <c r="E533" s="40"/>
      <c r="F533" s="42"/>
      <c r="G533" s="39"/>
      <c r="H533" s="40"/>
      <c r="I533" s="40"/>
      <c r="J533" s="40"/>
      <c r="K533" s="41"/>
      <c r="L533" s="39"/>
      <c r="M533" s="48" t="str">
        <f aca="false">IF($E533="","",IFERROR(INDEX(Parâmetros!$C$15:$C$20,MATCH($P533,Parâmetros!$B$15:$B$20,0)),""))</f>
        <v/>
      </c>
      <c r="N533" s="46" t="str">
        <f aca="false">IF($E533="","",IF($P533="","",IF($P533&gt;=8,"Alta",IF($P533&gt;=5,"Média","Baixa"))))</f>
        <v/>
      </c>
      <c r="O533" s="46" t="str">
        <f aca="false">IF($E533="","",IF(AND(Parâmetros!$C$5&gt;0,$P533&lt;&gt;"",$P533&gt;=Parâmetros!$C$5),"Sim","Não"))</f>
        <v/>
      </c>
      <c r="P533" s="45" t="str">
        <f aca="false">IF($E533="","",IF($G533="","",IF($G533="NOK",$F533,0)))</f>
        <v/>
      </c>
      <c r="Q533" s="46" t="str">
        <f aca="false">IF($E533="","",IF($O533&lt;&gt;"Sim","",COUNTIF($O$3:$O533,"Sim")))</f>
        <v/>
      </c>
      <c r="R533" s="47" t="n">
        <f aca="false">IF($P533="",0,$P533)</f>
        <v>0</v>
      </c>
    </row>
    <row r="534" customFormat="false" ht="18" hidden="false" customHeight="true" outlineLevel="0" collapsed="false">
      <c r="A534" s="39"/>
      <c r="B534" s="41"/>
      <c r="C534" s="40"/>
      <c r="D534" s="40"/>
      <c r="E534" s="40"/>
      <c r="F534" s="42"/>
      <c r="G534" s="39"/>
      <c r="H534" s="40"/>
      <c r="I534" s="40"/>
      <c r="J534" s="40"/>
      <c r="K534" s="41"/>
      <c r="L534" s="39"/>
      <c r="M534" s="48" t="str">
        <f aca="false">IF($E534="","",IFERROR(INDEX(Parâmetros!$C$15:$C$20,MATCH($P534,Parâmetros!$B$15:$B$20,0)),""))</f>
        <v/>
      </c>
      <c r="N534" s="46" t="str">
        <f aca="false">IF($E534="","",IF($P534="","",IF($P534&gt;=8,"Alta",IF($P534&gt;=5,"Média","Baixa"))))</f>
        <v/>
      </c>
      <c r="O534" s="46" t="str">
        <f aca="false">IF($E534="","",IF(AND(Parâmetros!$C$5&gt;0,$P534&lt;&gt;"",$P534&gt;=Parâmetros!$C$5),"Sim","Não"))</f>
        <v/>
      </c>
      <c r="P534" s="45" t="str">
        <f aca="false">IF($E534="","",IF($G534="","",IF($G534="NOK",$F534,0)))</f>
        <v/>
      </c>
      <c r="Q534" s="46" t="str">
        <f aca="false">IF($E534="","",IF($O534&lt;&gt;"Sim","",COUNTIF($O$3:$O534,"Sim")))</f>
        <v/>
      </c>
      <c r="R534" s="47" t="n">
        <f aca="false">IF($P534="",0,$P534)</f>
        <v>0</v>
      </c>
    </row>
    <row r="535" customFormat="false" ht="18" hidden="false" customHeight="true" outlineLevel="0" collapsed="false">
      <c r="A535" s="39"/>
      <c r="B535" s="41"/>
      <c r="C535" s="40"/>
      <c r="D535" s="40"/>
      <c r="E535" s="40"/>
      <c r="F535" s="42"/>
      <c r="G535" s="39"/>
      <c r="H535" s="40"/>
      <c r="I535" s="40"/>
      <c r="J535" s="40"/>
      <c r="K535" s="41"/>
      <c r="L535" s="39"/>
      <c r="M535" s="48" t="str">
        <f aca="false">IF($E535="","",IFERROR(INDEX(Parâmetros!$C$15:$C$20,MATCH($P535,Parâmetros!$B$15:$B$20,0)),""))</f>
        <v/>
      </c>
      <c r="N535" s="46" t="str">
        <f aca="false">IF($E535="","",IF($P535="","",IF($P535&gt;=8,"Alta",IF($P535&gt;=5,"Média","Baixa"))))</f>
        <v/>
      </c>
      <c r="O535" s="46" t="str">
        <f aca="false">IF($E535="","",IF(AND(Parâmetros!$C$5&gt;0,$P535&lt;&gt;"",$P535&gt;=Parâmetros!$C$5),"Sim","Não"))</f>
        <v/>
      </c>
      <c r="P535" s="45" t="str">
        <f aca="false">IF($E535="","",IF($G535="","",IF($G535="NOK",$F535,0)))</f>
        <v/>
      </c>
      <c r="Q535" s="46" t="str">
        <f aca="false">IF($E535="","",IF($O535&lt;&gt;"Sim","",COUNTIF($O$3:$O535,"Sim")))</f>
        <v/>
      </c>
      <c r="R535" s="47" t="n">
        <f aca="false">IF($P535="",0,$P535)</f>
        <v>0</v>
      </c>
    </row>
    <row r="536" customFormat="false" ht="18" hidden="false" customHeight="true" outlineLevel="0" collapsed="false">
      <c r="A536" s="39"/>
      <c r="B536" s="41"/>
      <c r="C536" s="40"/>
      <c r="D536" s="40"/>
      <c r="E536" s="40"/>
      <c r="F536" s="42"/>
      <c r="G536" s="39"/>
      <c r="H536" s="40"/>
      <c r="I536" s="40"/>
      <c r="J536" s="40"/>
      <c r="K536" s="41"/>
      <c r="L536" s="39"/>
      <c r="M536" s="48" t="str">
        <f aca="false">IF($E536="","",IFERROR(INDEX(Parâmetros!$C$15:$C$20,MATCH($P536,Parâmetros!$B$15:$B$20,0)),""))</f>
        <v/>
      </c>
      <c r="N536" s="46" t="str">
        <f aca="false">IF($E536="","",IF($P536="","",IF($P536&gt;=8,"Alta",IF($P536&gt;=5,"Média","Baixa"))))</f>
        <v/>
      </c>
      <c r="O536" s="46" t="str">
        <f aca="false">IF($E536="","",IF(AND(Parâmetros!$C$5&gt;0,$P536&lt;&gt;"",$P536&gt;=Parâmetros!$C$5),"Sim","Não"))</f>
        <v/>
      </c>
      <c r="P536" s="45" t="str">
        <f aca="false">IF($E536="","",IF($G536="","",IF($G536="NOK",$F536,0)))</f>
        <v/>
      </c>
      <c r="Q536" s="46" t="str">
        <f aca="false">IF($E536="","",IF($O536&lt;&gt;"Sim","",COUNTIF($O$3:$O536,"Sim")))</f>
        <v/>
      </c>
      <c r="R536" s="47" t="n">
        <f aca="false">IF($P536="",0,$P536)</f>
        <v>0</v>
      </c>
    </row>
    <row r="537" customFormat="false" ht="18" hidden="false" customHeight="true" outlineLevel="0" collapsed="false">
      <c r="A537" s="39"/>
      <c r="B537" s="41"/>
      <c r="C537" s="40"/>
      <c r="D537" s="40"/>
      <c r="E537" s="40"/>
      <c r="F537" s="42"/>
      <c r="G537" s="39"/>
      <c r="H537" s="40"/>
      <c r="I537" s="40"/>
      <c r="J537" s="40"/>
      <c r="K537" s="41"/>
      <c r="L537" s="39"/>
      <c r="M537" s="48" t="str">
        <f aca="false">IF($E537="","",IFERROR(INDEX(Parâmetros!$C$15:$C$20,MATCH($P537,Parâmetros!$B$15:$B$20,0)),""))</f>
        <v/>
      </c>
      <c r="N537" s="46" t="str">
        <f aca="false">IF($E537="","",IF($P537="","",IF($P537&gt;=8,"Alta",IF($P537&gt;=5,"Média","Baixa"))))</f>
        <v/>
      </c>
      <c r="O537" s="46" t="str">
        <f aca="false">IF($E537="","",IF(AND(Parâmetros!$C$5&gt;0,$P537&lt;&gt;"",$P537&gt;=Parâmetros!$C$5),"Sim","Não"))</f>
        <v/>
      </c>
      <c r="P537" s="45" t="str">
        <f aca="false">IF($E537="","",IF($G537="","",IF($G537="NOK",$F537,0)))</f>
        <v/>
      </c>
      <c r="Q537" s="46" t="str">
        <f aca="false">IF($E537="","",IF($O537&lt;&gt;"Sim","",COUNTIF($O$3:$O537,"Sim")))</f>
        <v/>
      </c>
      <c r="R537" s="47" t="n">
        <f aca="false">IF($P537="",0,$P537)</f>
        <v>0</v>
      </c>
    </row>
    <row r="538" customFormat="false" ht="18" hidden="false" customHeight="true" outlineLevel="0" collapsed="false">
      <c r="A538" s="39"/>
      <c r="B538" s="41"/>
      <c r="C538" s="40"/>
      <c r="D538" s="40"/>
      <c r="E538" s="40"/>
      <c r="F538" s="42"/>
      <c r="G538" s="39"/>
      <c r="H538" s="40"/>
      <c r="I538" s="40"/>
      <c r="J538" s="40"/>
      <c r="K538" s="41"/>
      <c r="L538" s="39"/>
      <c r="M538" s="48" t="str">
        <f aca="false">IF($E538="","",IFERROR(INDEX(Parâmetros!$C$15:$C$20,MATCH($P538,Parâmetros!$B$15:$B$20,0)),""))</f>
        <v/>
      </c>
      <c r="N538" s="46" t="str">
        <f aca="false">IF($E538="","",IF($P538="","",IF($P538&gt;=8,"Alta",IF($P538&gt;=5,"Média","Baixa"))))</f>
        <v/>
      </c>
      <c r="O538" s="46" t="str">
        <f aca="false">IF($E538="","",IF(AND(Parâmetros!$C$5&gt;0,$P538&lt;&gt;"",$P538&gt;=Parâmetros!$C$5),"Sim","Não"))</f>
        <v/>
      </c>
      <c r="P538" s="45" t="str">
        <f aca="false">IF($E538="","",IF($G538="","",IF($G538="NOK",$F538,0)))</f>
        <v/>
      </c>
      <c r="Q538" s="46" t="str">
        <f aca="false">IF($E538="","",IF($O538&lt;&gt;"Sim","",COUNTIF($O$3:$O538,"Sim")))</f>
        <v/>
      </c>
      <c r="R538" s="47" t="n">
        <f aca="false">IF($P538="",0,$P538)</f>
        <v>0</v>
      </c>
    </row>
    <row r="539" customFormat="false" ht="18" hidden="false" customHeight="true" outlineLevel="0" collapsed="false">
      <c r="A539" s="39"/>
      <c r="B539" s="41"/>
      <c r="C539" s="40"/>
      <c r="D539" s="40"/>
      <c r="E539" s="40"/>
      <c r="F539" s="42"/>
      <c r="G539" s="39"/>
      <c r="H539" s="40"/>
      <c r="I539" s="40"/>
      <c r="J539" s="40"/>
      <c r="K539" s="41"/>
      <c r="L539" s="39"/>
      <c r="M539" s="48" t="str">
        <f aca="false">IF($E539="","",IFERROR(INDEX(Parâmetros!$C$15:$C$20,MATCH($P539,Parâmetros!$B$15:$B$20,0)),""))</f>
        <v/>
      </c>
      <c r="N539" s="46" t="str">
        <f aca="false">IF($E539="","",IF($P539="","",IF($P539&gt;=8,"Alta",IF($P539&gt;=5,"Média","Baixa"))))</f>
        <v/>
      </c>
      <c r="O539" s="46" t="str">
        <f aca="false">IF($E539="","",IF(AND(Parâmetros!$C$5&gt;0,$P539&lt;&gt;"",$P539&gt;=Parâmetros!$C$5),"Sim","Não"))</f>
        <v/>
      </c>
      <c r="P539" s="45" t="str">
        <f aca="false">IF($E539="","",IF($G539="","",IF($G539="NOK",$F539,0)))</f>
        <v/>
      </c>
      <c r="Q539" s="46" t="str">
        <f aca="false">IF($E539="","",IF($O539&lt;&gt;"Sim","",COUNTIF($O$3:$O539,"Sim")))</f>
        <v/>
      </c>
      <c r="R539" s="47" t="n">
        <f aca="false">IF($P539="",0,$P539)</f>
        <v>0</v>
      </c>
    </row>
    <row r="540" customFormat="false" ht="18" hidden="false" customHeight="true" outlineLevel="0" collapsed="false">
      <c r="A540" s="39"/>
      <c r="B540" s="41"/>
      <c r="C540" s="40"/>
      <c r="D540" s="40"/>
      <c r="E540" s="40"/>
      <c r="F540" s="42"/>
      <c r="G540" s="39"/>
      <c r="H540" s="40"/>
      <c r="I540" s="40"/>
      <c r="J540" s="40"/>
      <c r="K540" s="41"/>
      <c r="L540" s="39"/>
      <c r="M540" s="48" t="str">
        <f aca="false">IF($E540="","",IFERROR(INDEX(Parâmetros!$C$15:$C$20,MATCH($P540,Parâmetros!$B$15:$B$20,0)),""))</f>
        <v/>
      </c>
      <c r="N540" s="46" t="str">
        <f aca="false">IF($E540="","",IF($P540="","",IF($P540&gt;=8,"Alta",IF($P540&gt;=5,"Média","Baixa"))))</f>
        <v/>
      </c>
      <c r="O540" s="46" t="str">
        <f aca="false">IF($E540="","",IF(AND(Parâmetros!$C$5&gt;0,$P540&lt;&gt;"",$P540&gt;=Parâmetros!$C$5),"Sim","Não"))</f>
        <v/>
      </c>
      <c r="P540" s="45" t="str">
        <f aca="false">IF($E540="","",IF($G540="","",IF($G540="NOK",$F540,0)))</f>
        <v/>
      </c>
      <c r="Q540" s="46" t="str">
        <f aca="false">IF($E540="","",IF($O540&lt;&gt;"Sim","",COUNTIF($O$3:$O540,"Sim")))</f>
        <v/>
      </c>
      <c r="R540" s="47" t="n">
        <f aca="false">IF($P540="",0,$P540)</f>
        <v>0</v>
      </c>
    </row>
    <row r="541" customFormat="false" ht="18" hidden="false" customHeight="true" outlineLevel="0" collapsed="false">
      <c r="A541" s="39"/>
      <c r="B541" s="41"/>
      <c r="C541" s="40"/>
      <c r="D541" s="40"/>
      <c r="E541" s="40"/>
      <c r="F541" s="42"/>
      <c r="G541" s="39"/>
      <c r="H541" s="40"/>
      <c r="I541" s="40"/>
      <c r="J541" s="40"/>
      <c r="K541" s="41"/>
      <c r="L541" s="39"/>
      <c r="M541" s="48" t="str">
        <f aca="false">IF($E541="","",IFERROR(INDEX(Parâmetros!$C$15:$C$20,MATCH($P541,Parâmetros!$B$15:$B$20,0)),""))</f>
        <v/>
      </c>
      <c r="N541" s="46" t="str">
        <f aca="false">IF($E541="","",IF($P541="","",IF($P541&gt;=8,"Alta",IF($P541&gt;=5,"Média","Baixa"))))</f>
        <v/>
      </c>
      <c r="O541" s="46" t="str">
        <f aca="false">IF($E541="","",IF(AND(Parâmetros!$C$5&gt;0,$P541&lt;&gt;"",$P541&gt;=Parâmetros!$C$5),"Sim","Não"))</f>
        <v/>
      </c>
      <c r="P541" s="45" t="str">
        <f aca="false">IF($E541="","",IF($G541="","",IF($G541="NOK",$F541,0)))</f>
        <v/>
      </c>
      <c r="Q541" s="46" t="str">
        <f aca="false">IF($E541="","",IF($O541&lt;&gt;"Sim","",COUNTIF($O$3:$O541,"Sim")))</f>
        <v/>
      </c>
      <c r="R541" s="47" t="n">
        <f aca="false">IF($P541="",0,$P541)</f>
        <v>0</v>
      </c>
    </row>
    <row r="542" customFormat="false" ht="18" hidden="false" customHeight="true" outlineLevel="0" collapsed="false">
      <c r="A542" s="39"/>
      <c r="B542" s="41"/>
      <c r="C542" s="40"/>
      <c r="D542" s="40"/>
      <c r="E542" s="40"/>
      <c r="F542" s="42"/>
      <c r="G542" s="39"/>
      <c r="H542" s="40"/>
      <c r="I542" s="40"/>
      <c r="J542" s="40"/>
      <c r="K542" s="41"/>
      <c r="L542" s="39"/>
      <c r="M542" s="48" t="str">
        <f aca="false">IF($E542="","",IFERROR(INDEX(Parâmetros!$C$15:$C$20,MATCH($P542,Parâmetros!$B$15:$B$20,0)),""))</f>
        <v/>
      </c>
      <c r="N542" s="46" t="str">
        <f aca="false">IF($E542="","",IF($P542="","",IF($P542&gt;=8,"Alta",IF($P542&gt;=5,"Média","Baixa"))))</f>
        <v/>
      </c>
      <c r="O542" s="46" t="str">
        <f aca="false">IF($E542="","",IF(AND(Parâmetros!$C$5&gt;0,$P542&lt;&gt;"",$P542&gt;=Parâmetros!$C$5),"Sim","Não"))</f>
        <v/>
      </c>
      <c r="P542" s="45" t="str">
        <f aca="false">IF($E542="","",IF($G542="","",IF($G542="NOK",$F542,0)))</f>
        <v/>
      </c>
      <c r="Q542" s="46" t="str">
        <f aca="false">IF($E542="","",IF($O542&lt;&gt;"Sim","",COUNTIF($O$3:$O542,"Sim")))</f>
        <v/>
      </c>
      <c r="R542" s="47" t="n">
        <f aca="false">IF($P542="",0,$P542)</f>
        <v>0</v>
      </c>
    </row>
    <row r="543" customFormat="false" ht="18" hidden="false" customHeight="true" outlineLevel="0" collapsed="false">
      <c r="A543" s="39"/>
      <c r="B543" s="41"/>
      <c r="C543" s="40"/>
      <c r="D543" s="40"/>
      <c r="E543" s="40"/>
      <c r="F543" s="42"/>
      <c r="G543" s="39"/>
      <c r="H543" s="40"/>
      <c r="I543" s="40"/>
      <c r="J543" s="40"/>
      <c r="K543" s="41"/>
      <c r="L543" s="39"/>
      <c r="M543" s="48" t="str">
        <f aca="false">IF($E543="","",IFERROR(INDEX(Parâmetros!$C$15:$C$20,MATCH($P543,Parâmetros!$B$15:$B$20,0)),""))</f>
        <v/>
      </c>
      <c r="N543" s="46" t="str">
        <f aca="false">IF($E543="","",IF($P543="","",IF($P543&gt;=8,"Alta",IF($P543&gt;=5,"Média","Baixa"))))</f>
        <v/>
      </c>
      <c r="O543" s="46" t="str">
        <f aca="false">IF($E543="","",IF(AND(Parâmetros!$C$5&gt;0,$P543&lt;&gt;"",$P543&gt;=Parâmetros!$C$5),"Sim","Não"))</f>
        <v/>
      </c>
      <c r="P543" s="45" t="str">
        <f aca="false">IF($E543="","",IF($G543="","",IF($G543="NOK",$F543,0)))</f>
        <v/>
      </c>
      <c r="Q543" s="46" t="str">
        <f aca="false">IF($E543="","",IF($O543&lt;&gt;"Sim","",COUNTIF($O$3:$O543,"Sim")))</f>
        <v/>
      </c>
      <c r="R543" s="47" t="n">
        <f aca="false">IF($P543="",0,$P543)</f>
        <v>0</v>
      </c>
    </row>
    <row r="544" customFormat="false" ht="18" hidden="false" customHeight="true" outlineLevel="0" collapsed="false">
      <c r="A544" s="39"/>
      <c r="B544" s="41"/>
      <c r="C544" s="40"/>
      <c r="D544" s="40"/>
      <c r="E544" s="40"/>
      <c r="F544" s="42"/>
      <c r="G544" s="39"/>
      <c r="H544" s="40"/>
      <c r="I544" s="40"/>
      <c r="J544" s="40"/>
      <c r="K544" s="41"/>
      <c r="L544" s="39"/>
      <c r="M544" s="48" t="str">
        <f aca="false">IF($E544="","",IFERROR(INDEX(Parâmetros!$C$15:$C$20,MATCH($P544,Parâmetros!$B$15:$B$20,0)),""))</f>
        <v/>
      </c>
      <c r="N544" s="46" t="str">
        <f aca="false">IF($E544="","",IF($P544="","",IF($P544&gt;=8,"Alta",IF($P544&gt;=5,"Média","Baixa"))))</f>
        <v/>
      </c>
      <c r="O544" s="46" t="str">
        <f aca="false">IF($E544="","",IF(AND(Parâmetros!$C$5&gt;0,$P544&lt;&gt;"",$P544&gt;=Parâmetros!$C$5),"Sim","Não"))</f>
        <v/>
      </c>
      <c r="P544" s="45" t="str">
        <f aca="false">IF($E544="","",IF($G544="","",IF($G544="NOK",$F544,0)))</f>
        <v/>
      </c>
      <c r="Q544" s="46" t="str">
        <f aca="false">IF($E544="","",IF($O544&lt;&gt;"Sim","",COUNTIF($O$3:$O544,"Sim")))</f>
        <v/>
      </c>
      <c r="R544" s="47" t="n">
        <f aca="false">IF($P544="",0,$P544)</f>
        <v>0</v>
      </c>
    </row>
    <row r="545" customFormat="false" ht="18" hidden="false" customHeight="true" outlineLevel="0" collapsed="false">
      <c r="A545" s="39"/>
      <c r="B545" s="41"/>
      <c r="C545" s="40"/>
      <c r="D545" s="40"/>
      <c r="E545" s="40"/>
      <c r="F545" s="42"/>
      <c r="G545" s="39"/>
      <c r="H545" s="40"/>
      <c r="I545" s="40"/>
      <c r="J545" s="40"/>
      <c r="K545" s="41"/>
      <c r="L545" s="39"/>
      <c r="M545" s="48" t="str">
        <f aca="false">IF($E545="","",IFERROR(INDEX(Parâmetros!$C$15:$C$20,MATCH($P545,Parâmetros!$B$15:$B$20,0)),""))</f>
        <v/>
      </c>
      <c r="N545" s="46" t="str">
        <f aca="false">IF($E545="","",IF($P545="","",IF($P545&gt;=8,"Alta",IF($P545&gt;=5,"Média","Baixa"))))</f>
        <v/>
      </c>
      <c r="O545" s="46" t="str">
        <f aca="false">IF($E545="","",IF(AND(Parâmetros!$C$5&gt;0,$P545&lt;&gt;"",$P545&gt;=Parâmetros!$C$5),"Sim","Não"))</f>
        <v/>
      </c>
      <c r="P545" s="45" t="str">
        <f aca="false">IF($E545="","",IF($G545="","",IF($G545="NOK",$F545,0)))</f>
        <v/>
      </c>
      <c r="Q545" s="46" t="str">
        <f aca="false">IF($E545="","",IF($O545&lt;&gt;"Sim","",COUNTIF($O$3:$O545,"Sim")))</f>
        <v/>
      </c>
      <c r="R545" s="47" t="n">
        <f aca="false">IF($P545="",0,$P545)</f>
        <v>0</v>
      </c>
    </row>
    <row r="546" customFormat="false" ht="18" hidden="false" customHeight="true" outlineLevel="0" collapsed="false">
      <c r="A546" s="39"/>
      <c r="B546" s="41"/>
      <c r="C546" s="40"/>
      <c r="D546" s="40"/>
      <c r="E546" s="40"/>
      <c r="F546" s="42"/>
      <c r="G546" s="39"/>
      <c r="H546" s="40"/>
      <c r="I546" s="40"/>
      <c r="J546" s="40"/>
      <c r="K546" s="41"/>
      <c r="L546" s="39"/>
      <c r="M546" s="48" t="str">
        <f aca="false">IF($E546="","",IFERROR(INDEX(Parâmetros!$C$15:$C$20,MATCH($P546,Parâmetros!$B$15:$B$20,0)),""))</f>
        <v/>
      </c>
      <c r="N546" s="46" t="str">
        <f aca="false">IF($E546="","",IF($P546="","",IF($P546&gt;=8,"Alta",IF($P546&gt;=5,"Média","Baixa"))))</f>
        <v/>
      </c>
      <c r="O546" s="46" t="str">
        <f aca="false">IF($E546="","",IF(AND(Parâmetros!$C$5&gt;0,$P546&lt;&gt;"",$P546&gt;=Parâmetros!$C$5),"Sim","Não"))</f>
        <v/>
      </c>
      <c r="P546" s="45" t="str">
        <f aca="false">IF($E546="","",IF($G546="","",IF($G546="NOK",$F546,0)))</f>
        <v/>
      </c>
      <c r="Q546" s="46" t="str">
        <f aca="false">IF($E546="","",IF($O546&lt;&gt;"Sim","",COUNTIF($O$3:$O546,"Sim")))</f>
        <v/>
      </c>
      <c r="R546" s="47" t="n">
        <f aca="false">IF($P546="",0,$P546)</f>
        <v>0</v>
      </c>
    </row>
    <row r="547" customFormat="false" ht="18" hidden="false" customHeight="true" outlineLevel="0" collapsed="false">
      <c r="A547" s="39"/>
      <c r="B547" s="41"/>
      <c r="C547" s="40"/>
      <c r="D547" s="40"/>
      <c r="E547" s="40"/>
      <c r="F547" s="42"/>
      <c r="G547" s="39"/>
      <c r="H547" s="40"/>
      <c r="I547" s="40"/>
      <c r="J547" s="40"/>
      <c r="K547" s="41"/>
      <c r="L547" s="39"/>
      <c r="M547" s="48" t="str">
        <f aca="false">IF($E547="","",IFERROR(INDEX(Parâmetros!$C$15:$C$20,MATCH($P547,Parâmetros!$B$15:$B$20,0)),""))</f>
        <v/>
      </c>
      <c r="N547" s="46" t="str">
        <f aca="false">IF($E547="","",IF($P547="","",IF($P547&gt;=8,"Alta",IF($P547&gt;=5,"Média","Baixa"))))</f>
        <v/>
      </c>
      <c r="O547" s="46" t="str">
        <f aca="false">IF($E547="","",IF(AND(Parâmetros!$C$5&gt;0,$P547&lt;&gt;"",$P547&gt;=Parâmetros!$C$5),"Sim","Não"))</f>
        <v/>
      </c>
      <c r="P547" s="45" t="str">
        <f aca="false">IF($E547="","",IF($G547="","",IF($G547="NOK",$F547,0)))</f>
        <v/>
      </c>
      <c r="Q547" s="46" t="str">
        <f aca="false">IF($E547="","",IF($O547&lt;&gt;"Sim","",COUNTIF($O$3:$O547,"Sim")))</f>
        <v/>
      </c>
      <c r="R547" s="47" t="n">
        <f aca="false">IF($P547="",0,$P547)</f>
        <v>0</v>
      </c>
    </row>
    <row r="548" customFormat="false" ht="18" hidden="false" customHeight="true" outlineLevel="0" collapsed="false">
      <c r="A548" s="39"/>
      <c r="B548" s="41"/>
      <c r="C548" s="40"/>
      <c r="D548" s="40"/>
      <c r="E548" s="40"/>
      <c r="F548" s="42"/>
      <c r="G548" s="39"/>
      <c r="H548" s="40"/>
      <c r="I548" s="40"/>
      <c r="J548" s="40"/>
      <c r="K548" s="41"/>
      <c r="L548" s="39"/>
      <c r="M548" s="48" t="str">
        <f aca="false">IF($E548="","",IFERROR(INDEX(Parâmetros!$C$15:$C$20,MATCH($P548,Parâmetros!$B$15:$B$20,0)),""))</f>
        <v/>
      </c>
      <c r="N548" s="46" t="str">
        <f aca="false">IF($E548="","",IF($P548="","",IF($P548&gt;=8,"Alta",IF($P548&gt;=5,"Média","Baixa"))))</f>
        <v/>
      </c>
      <c r="O548" s="46" t="str">
        <f aca="false">IF($E548="","",IF(AND(Parâmetros!$C$5&gt;0,$P548&lt;&gt;"",$P548&gt;=Parâmetros!$C$5),"Sim","Não"))</f>
        <v/>
      </c>
      <c r="P548" s="45" t="str">
        <f aca="false">IF($E548="","",IF($G548="","",IF($G548="NOK",$F548,0)))</f>
        <v/>
      </c>
      <c r="Q548" s="46" t="str">
        <f aca="false">IF($E548="","",IF($O548&lt;&gt;"Sim","",COUNTIF($O$3:$O548,"Sim")))</f>
        <v/>
      </c>
      <c r="R548" s="47" t="n">
        <f aca="false">IF($P548="",0,$P548)</f>
        <v>0</v>
      </c>
    </row>
    <row r="549" customFormat="false" ht="18" hidden="false" customHeight="true" outlineLevel="0" collapsed="false">
      <c r="A549" s="39"/>
      <c r="B549" s="41"/>
      <c r="C549" s="40"/>
      <c r="D549" s="40"/>
      <c r="E549" s="40"/>
      <c r="F549" s="42"/>
      <c r="G549" s="39"/>
      <c r="H549" s="40"/>
      <c r="I549" s="40"/>
      <c r="J549" s="40"/>
      <c r="K549" s="41"/>
      <c r="L549" s="39"/>
      <c r="M549" s="48" t="str">
        <f aca="false">IF($E549="","",IFERROR(INDEX(Parâmetros!$C$15:$C$20,MATCH($P549,Parâmetros!$B$15:$B$20,0)),""))</f>
        <v/>
      </c>
      <c r="N549" s="46" t="str">
        <f aca="false">IF($E549="","",IF($P549="","",IF($P549&gt;=8,"Alta",IF($P549&gt;=5,"Média","Baixa"))))</f>
        <v/>
      </c>
      <c r="O549" s="46" t="str">
        <f aca="false">IF($E549="","",IF(AND(Parâmetros!$C$5&gt;0,$P549&lt;&gt;"",$P549&gt;=Parâmetros!$C$5),"Sim","Não"))</f>
        <v/>
      </c>
      <c r="P549" s="45" t="str">
        <f aca="false">IF($E549="","",IF($G549="","",IF($G549="NOK",$F549,0)))</f>
        <v/>
      </c>
      <c r="Q549" s="46" t="str">
        <f aca="false">IF($E549="","",IF($O549&lt;&gt;"Sim","",COUNTIF($O$3:$O549,"Sim")))</f>
        <v/>
      </c>
      <c r="R549" s="47" t="n">
        <f aca="false">IF($P549="",0,$P549)</f>
        <v>0</v>
      </c>
    </row>
    <row r="550" customFormat="false" ht="18" hidden="false" customHeight="true" outlineLevel="0" collapsed="false">
      <c r="A550" s="39"/>
      <c r="B550" s="41"/>
      <c r="C550" s="40"/>
      <c r="D550" s="40"/>
      <c r="E550" s="40"/>
      <c r="F550" s="42"/>
      <c r="G550" s="39"/>
      <c r="H550" s="40"/>
      <c r="I550" s="40"/>
      <c r="J550" s="40"/>
      <c r="K550" s="41"/>
      <c r="L550" s="39"/>
      <c r="M550" s="48" t="str">
        <f aca="false">IF($E550="","",IFERROR(INDEX(Parâmetros!$C$15:$C$20,MATCH($P550,Parâmetros!$B$15:$B$20,0)),""))</f>
        <v/>
      </c>
      <c r="N550" s="46" t="str">
        <f aca="false">IF($E550="","",IF($P550="","",IF($P550&gt;=8,"Alta",IF($P550&gt;=5,"Média","Baixa"))))</f>
        <v/>
      </c>
      <c r="O550" s="46" t="str">
        <f aca="false">IF($E550="","",IF(AND(Parâmetros!$C$5&gt;0,$P550&lt;&gt;"",$P550&gt;=Parâmetros!$C$5),"Sim","Não"))</f>
        <v/>
      </c>
      <c r="P550" s="45" t="str">
        <f aca="false">IF($E550="","",IF($G550="","",IF($G550="NOK",$F550,0)))</f>
        <v/>
      </c>
      <c r="Q550" s="46" t="str">
        <f aca="false">IF($E550="","",IF($O550&lt;&gt;"Sim","",COUNTIF($O$3:$O550,"Sim")))</f>
        <v/>
      </c>
      <c r="R550" s="47" t="n">
        <f aca="false">IF($P550="",0,$P550)</f>
        <v>0</v>
      </c>
    </row>
    <row r="551" customFormat="false" ht="18" hidden="false" customHeight="true" outlineLevel="0" collapsed="false">
      <c r="A551" s="39"/>
      <c r="B551" s="41"/>
      <c r="C551" s="40"/>
      <c r="D551" s="40"/>
      <c r="E551" s="40"/>
      <c r="F551" s="42"/>
      <c r="G551" s="39"/>
      <c r="H551" s="40"/>
      <c r="I551" s="40"/>
      <c r="J551" s="40"/>
      <c r="K551" s="41"/>
      <c r="L551" s="39"/>
      <c r="M551" s="48" t="str">
        <f aca="false">IF($E551="","",IFERROR(INDEX(Parâmetros!$C$15:$C$20,MATCH($P551,Parâmetros!$B$15:$B$20,0)),""))</f>
        <v/>
      </c>
      <c r="N551" s="46" t="str">
        <f aca="false">IF($E551="","",IF($P551="","",IF($P551&gt;=8,"Alta",IF($P551&gt;=5,"Média","Baixa"))))</f>
        <v/>
      </c>
      <c r="O551" s="46" t="str">
        <f aca="false">IF($E551="","",IF(AND(Parâmetros!$C$5&gt;0,$P551&lt;&gt;"",$P551&gt;=Parâmetros!$C$5),"Sim","Não"))</f>
        <v/>
      </c>
      <c r="P551" s="45" t="str">
        <f aca="false">IF($E551="","",IF($G551="","",IF($G551="NOK",$F551,0)))</f>
        <v/>
      </c>
      <c r="Q551" s="46" t="str">
        <f aca="false">IF($E551="","",IF($O551&lt;&gt;"Sim","",COUNTIF($O$3:$O551,"Sim")))</f>
        <v/>
      </c>
      <c r="R551" s="47" t="n">
        <f aca="false">IF($P551="",0,$P551)</f>
        <v>0</v>
      </c>
    </row>
    <row r="552" customFormat="false" ht="18" hidden="false" customHeight="true" outlineLevel="0" collapsed="false">
      <c r="A552" s="39"/>
      <c r="B552" s="41"/>
      <c r="C552" s="40"/>
      <c r="D552" s="40"/>
      <c r="E552" s="40"/>
      <c r="F552" s="42"/>
      <c r="G552" s="39"/>
      <c r="H552" s="40"/>
      <c r="I552" s="40"/>
      <c r="J552" s="40"/>
      <c r="K552" s="41"/>
      <c r="L552" s="39"/>
      <c r="M552" s="48" t="str">
        <f aca="false">IF($E552="","",IFERROR(INDEX(Parâmetros!$C$15:$C$20,MATCH($P552,Parâmetros!$B$15:$B$20,0)),""))</f>
        <v/>
      </c>
      <c r="N552" s="46" t="str">
        <f aca="false">IF($E552="","",IF($P552="","",IF($P552&gt;=8,"Alta",IF($P552&gt;=5,"Média","Baixa"))))</f>
        <v/>
      </c>
      <c r="O552" s="46" t="str">
        <f aca="false">IF($E552="","",IF(AND(Parâmetros!$C$5&gt;0,$P552&lt;&gt;"",$P552&gt;=Parâmetros!$C$5),"Sim","Não"))</f>
        <v/>
      </c>
      <c r="P552" s="45" t="str">
        <f aca="false">IF($E552="","",IF($G552="","",IF($G552="NOK",$F552,0)))</f>
        <v/>
      </c>
      <c r="Q552" s="46" t="str">
        <f aca="false">IF($E552="","",IF($O552&lt;&gt;"Sim","",COUNTIF($O$3:$O552,"Sim")))</f>
        <v/>
      </c>
      <c r="R552" s="47" t="n">
        <f aca="false">IF($P552="",0,$P552)</f>
        <v>0</v>
      </c>
    </row>
    <row r="553" customFormat="false" ht="18" hidden="false" customHeight="true" outlineLevel="0" collapsed="false">
      <c r="A553" s="39"/>
      <c r="B553" s="41"/>
      <c r="C553" s="40"/>
      <c r="D553" s="40"/>
      <c r="E553" s="40"/>
      <c r="F553" s="42"/>
      <c r="G553" s="39"/>
      <c r="H553" s="40"/>
      <c r="I553" s="40"/>
      <c r="J553" s="40"/>
      <c r="K553" s="41"/>
      <c r="L553" s="39"/>
      <c r="M553" s="48" t="str">
        <f aca="false">IF($E553="","",IFERROR(INDEX(Parâmetros!$C$15:$C$20,MATCH($P553,Parâmetros!$B$15:$B$20,0)),""))</f>
        <v/>
      </c>
      <c r="N553" s="46" t="str">
        <f aca="false">IF($E553="","",IF($P553="","",IF($P553&gt;=8,"Alta",IF($P553&gt;=5,"Média","Baixa"))))</f>
        <v/>
      </c>
      <c r="O553" s="46" t="str">
        <f aca="false">IF($E553="","",IF(AND(Parâmetros!$C$5&gt;0,$P553&lt;&gt;"",$P553&gt;=Parâmetros!$C$5),"Sim","Não"))</f>
        <v/>
      </c>
      <c r="P553" s="45" t="str">
        <f aca="false">IF($E553="","",IF($G553="","",IF($G553="NOK",$F553,0)))</f>
        <v/>
      </c>
      <c r="Q553" s="46" t="str">
        <f aca="false">IF($E553="","",IF($O553&lt;&gt;"Sim","",COUNTIF($O$3:$O553,"Sim")))</f>
        <v/>
      </c>
      <c r="R553" s="47" t="n">
        <f aca="false">IF($P553="",0,$P553)</f>
        <v>0</v>
      </c>
    </row>
    <row r="554" customFormat="false" ht="18" hidden="false" customHeight="true" outlineLevel="0" collapsed="false">
      <c r="A554" s="39"/>
      <c r="B554" s="41"/>
      <c r="C554" s="40"/>
      <c r="D554" s="40"/>
      <c r="E554" s="40"/>
      <c r="F554" s="42"/>
      <c r="G554" s="39"/>
      <c r="H554" s="40"/>
      <c r="I554" s="40"/>
      <c r="J554" s="40"/>
      <c r="K554" s="41"/>
      <c r="L554" s="39"/>
      <c r="M554" s="48" t="str">
        <f aca="false">IF($E554="","",IFERROR(INDEX(Parâmetros!$C$15:$C$20,MATCH($P554,Parâmetros!$B$15:$B$20,0)),""))</f>
        <v/>
      </c>
      <c r="N554" s="46" t="str">
        <f aca="false">IF($E554="","",IF($P554="","",IF($P554&gt;=8,"Alta",IF($P554&gt;=5,"Média","Baixa"))))</f>
        <v/>
      </c>
      <c r="O554" s="46" t="str">
        <f aca="false">IF($E554="","",IF(AND(Parâmetros!$C$5&gt;0,$P554&lt;&gt;"",$P554&gt;=Parâmetros!$C$5),"Sim","Não"))</f>
        <v/>
      </c>
      <c r="P554" s="45" t="str">
        <f aca="false">IF($E554="","",IF($G554="","",IF($G554="NOK",$F554,0)))</f>
        <v/>
      </c>
      <c r="Q554" s="46" t="str">
        <f aca="false">IF($E554="","",IF($O554&lt;&gt;"Sim","",COUNTIF($O$3:$O554,"Sim")))</f>
        <v/>
      </c>
      <c r="R554" s="47" t="n">
        <f aca="false">IF($P554="",0,$P554)</f>
        <v>0</v>
      </c>
    </row>
    <row r="555" customFormat="false" ht="18" hidden="false" customHeight="true" outlineLevel="0" collapsed="false">
      <c r="A555" s="39"/>
      <c r="B555" s="41"/>
      <c r="C555" s="40"/>
      <c r="D555" s="40"/>
      <c r="E555" s="40"/>
      <c r="F555" s="42"/>
      <c r="G555" s="39"/>
      <c r="H555" s="40"/>
      <c r="I555" s="40"/>
      <c r="J555" s="40"/>
      <c r="K555" s="41"/>
      <c r="L555" s="39"/>
      <c r="M555" s="48" t="str">
        <f aca="false">IF($E555="","",IFERROR(INDEX(Parâmetros!$C$15:$C$20,MATCH($P555,Parâmetros!$B$15:$B$20,0)),""))</f>
        <v/>
      </c>
      <c r="N555" s="46" t="str">
        <f aca="false">IF($E555="","",IF($P555="","",IF($P555&gt;=8,"Alta",IF($P555&gt;=5,"Média","Baixa"))))</f>
        <v/>
      </c>
      <c r="O555" s="46" t="str">
        <f aca="false">IF($E555="","",IF(AND(Parâmetros!$C$5&gt;0,$P555&lt;&gt;"",$P555&gt;=Parâmetros!$C$5),"Sim","Não"))</f>
        <v/>
      </c>
      <c r="P555" s="45" t="str">
        <f aca="false">IF($E555="","",IF($G555="","",IF($G555="NOK",$F555,0)))</f>
        <v/>
      </c>
      <c r="Q555" s="46" t="str">
        <f aca="false">IF($E555="","",IF($O555&lt;&gt;"Sim","",COUNTIF($O$3:$O555,"Sim")))</f>
        <v/>
      </c>
      <c r="R555" s="47" t="n">
        <f aca="false">IF($P555="",0,$P555)</f>
        <v>0</v>
      </c>
    </row>
    <row r="556" customFormat="false" ht="18" hidden="false" customHeight="true" outlineLevel="0" collapsed="false">
      <c r="A556" s="39"/>
      <c r="B556" s="41"/>
      <c r="C556" s="40"/>
      <c r="D556" s="40"/>
      <c r="E556" s="40"/>
      <c r="F556" s="42"/>
      <c r="G556" s="39"/>
      <c r="H556" s="40"/>
      <c r="I556" s="40"/>
      <c r="J556" s="40"/>
      <c r="K556" s="41"/>
      <c r="L556" s="39"/>
      <c r="M556" s="48" t="str">
        <f aca="false">IF($E556="","",IFERROR(INDEX(Parâmetros!$C$15:$C$20,MATCH($P556,Parâmetros!$B$15:$B$20,0)),""))</f>
        <v/>
      </c>
      <c r="N556" s="46" t="str">
        <f aca="false">IF($E556="","",IF($P556="","",IF($P556&gt;=8,"Alta",IF($P556&gt;=5,"Média","Baixa"))))</f>
        <v/>
      </c>
      <c r="O556" s="46" t="str">
        <f aca="false">IF($E556="","",IF(AND(Parâmetros!$C$5&gt;0,$P556&lt;&gt;"",$P556&gt;=Parâmetros!$C$5),"Sim","Não"))</f>
        <v/>
      </c>
      <c r="P556" s="45" t="str">
        <f aca="false">IF($E556="","",IF($G556="","",IF($G556="NOK",$F556,0)))</f>
        <v/>
      </c>
      <c r="Q556" s="46" t="str">
        <f aca="false">IF($E556="","",IF($O556&lt;&gt;"Sim","",COUNTIF($O$3:$O556,"Sim")))</f>
        <v/>
      </c>
      <c r="R556" s="47" t="n">
        <f aca="false">IF($P556="",0,$P556)</f>
        <v>0</v>
      </c>
    </row>
    <row r="557" customFormat="false" ht="18" hidden="false" customHeight="true" outlineLevel="0" collapsed="false">
      <c r="A557" s="39"/>
      <c r="B557" s="41"/>
      <c r="C557" s="40"/>
      <c r="D557" s="40"/>
      <c r="E557" s="40"/>
      <c r="F557" s="42"/>
      <c r="G557" s="39"/>
      <c r="H557" s="40"/>
      <c r="I557" s="40"/>
      <c r="J557" s="40"/>
      <c r="K557" s="41"/>
      <c r="L557" s="39"/>
      <c r="M557" s="48" t="str">
        <f aca="false">IF($E557="","",IFERROR(INDEX(Parâmetros!$C$15:$C$20,MATCH($P557,Parâmetros!$B$15:$B$20,0)),""))</f>
        <v/>
      </c>
      <c r="N557" s="46" t="str">
        <f aca="false">IF($E557="","",IF($P557="","",IF($P557&gt;=8,"Alta",IF($P557&gt;=5,"Média","Baixa"))))</f>
        <v/>
      </c>
      <c r="O557" s="46" t="str">
        <f aca="false">IF($E557="","",IF(AND(Parâmetros!$C$5&gt;0,$P557&lt;&gt;"",$P557&gt;=Parâmetros!$C$5),"Sim","Não"))</f>
        <v/>
      </c>
      <c r="P557" s="45" t="str">
        <f aca="false">IF($E557="","",IF($G557="","",IF($G557="NOK",$F557,0)))</f>
        <v/>
      </c>
      <c r="Q557" s="46" t="str">
        <f aca="false">IF($E557="","",IF($O557&lt;&gt;"Sim","",COUNTIF($O$3:$O557,"Sim")))</f>
        <v/>
      </c>
      <c r="R557" s="47" t="n">
        <f aca="false">IF($P557="",0,$P557)</f>
        <v>0</v>
      </c>
    </row>
    <row r="558" customFormat="false" ht="18" hidden="false" customHeight="true" outlineLevel="0" collapsed="false">
      <c r="A558" s="39"/>
      <c r="B558" s="41"/>
      <c r="C558" s="40"/>
      <c r="D558" s="40"/>
      <c r="E558" s="40"/>
      <c r="F558" s="42"/>
      <c r="G558" s="39"/>
      <c r="H558" s="40"/>
      <c r="I558" s="40"/>
      <c r="J558" s="40"/>
      <c r="K558" s="41"/>
      <c r="L558" s="39"/>
      <c r="M558" s="48" t="str">
        <f aca="false">IF($E558="","",IFERROR(INDEX(Parâmetros!$C$15:$C$20,MATCH($P558,Parâmetros!$B$15:$B$20,0)),""))</f>
        <v/>
      </c>
      <c r="N558" s="46" t="str">
        <f aca="false">IF($E558="","",IF($P558="","",IF($P558&gt;=8,"Alta",IF($P558&gt;=5,"Média","Baixa"))))</f>
        <v/>
      </c>
      <c r="O558" s="46" t="str">
        <f aca="false">IF($E558="","",IF(AND(Parâmetros!$C$5&gt;0,$P558&lt;&gt;"",$P558&gt;=Parâmetros!$C$5),"Sim","Não"))</f>
        <v/>
      </c>
      <c r="P558" s="45" t="str">
        <f aca="false">IF($E558="","",IF($G558="","",IF($G558="NOK",$F558,0)))</f>
        <v/>
      </c>
      <c r="Q558" s="46" t="str">
        <f aca="false">IF($E558="","",IF($O558&lt;&gt;"Sim","",COUNTIF($O$3:$O558,"Sim")))</f>
        <v/>
      </c>
      <c r="R558" s="47" t="n">
        <f aca="false">IF($P558="",0,$P558)</f>
        <v>0</v>
      </c>
    </row>
    <row r="559" customFormat="false" ht="18" hidden="false" customHeight="true" outlineLevel="0" collapsed="false">
      <c r="A559" s="39"/>
      <c r="B559" s="41"/>
      <c r="C559" s="40"/>
      <c r="D559" s="40"/>
      <c r="E559" s="40"/>
      <c r="F559" s="42"/>
      <c r="G559" s="39"/>
      <c r="H559" s="40"/>
      <c r="I559" s="40"/>
      <c r="J559" s="40"/>
      <c r="K559" s="41"/>
      <c r="L559" s="39"/>
      <c r="M559" s="48" t="str">
        <f aca="false">IF($E559="","",IFERROR(INDEX(Parâmetros!$C$15:$C$20,MATCH($P559,Parâmetros!$B$15:$B$20,0)),""))</f>
        <v/>
      </c>
      <c r="N559" s="46" t="str">
        <f aca="false">IF($E559="","",IF($P559="","",IF($P559&gt;=8,"Alta",IF($P559&gt;=5,"Média","Baixa"))))</f>
        <v/>
      </c>
      <c r="O559" s="46" t="str">
        <f aca="false">IF($E559="","",IF(AND(Parâmetros!$C$5&gt;0,$P559&lt;&gt;"",$P559&gt;=Parâmetros!$C$5),"Sim","Não"))</f>
        <v/>
      </c>
      <c r="P559" s="45" t="str">
        <f aca="false">IF($E559="","",IF($G559="","",IF($G559="NOK",$F559,0)))</f>
        <v/>
      </c>
      <c r="Q559" s="46" t="str">
        <f aca="false">IF($E559="","",IF($O559&lt;&gt;"Sim","",COUNTIF($O$3:$O559,"Sim")))</f>
        <v/>
      </c>
      <c r="R559" s="47" t="n">
        <f aca="false">IF($P559="",0,$P559)</f>
        <v>0</v>
      </c>
    </row>
    <row r="560" customFormat="false" ht="18" hidden="false" customHeight="true" outlineLevel="0" collapsed="false">
      <c r="A560" s="39"/>
      <c r="B560" s="41"/>
      <c r="C560" s="40"/>
      <c r="D560" s="40"/>
      <c r="E560" s="40"/>
      <c r="F560" s="42"/>
      <c r="G560" s="39"/>
      <c r="H560" s="40"/>
      <c r="I560" s="40"/>
      <c r="J560" s="40"/>
      <c r="K560" s="41"/>
      <c r="L560" s="39"/>
      <c r="M560" s="48" t="str">
        <f aca="false">IF($E560="","",IFERROR(INDEX(Parâmetros!$C$15:$C$20,MATCH($P560,Parâmetros!$B$15:$B$20,0)),""))</f>
        <v/>
      </c>
      <c r="N560" s="46" t="str">
        <f aca="false">IF($E560="","",IF($P560="","",IF($P560&gt;=8,"Alta",IF($P560&gt;=5,"Média","Baixa"))))</f>
        <v/>
      </c>
      <c r="O560" s="46" t="str">
        <f aca="false">IF($E560="","",IF(AND(Parâmetros!$C$5&gt;0,$P560&lt;&gt;"",$P560&gt;=Parâmetros!$C$5),"Sim","Não"))</f>
        <v/>
      </c>
      <c r="P560" s="45" t="str">
        <f aca="false">IF($E560="","",IF($G560="","",IF($G560="NOK",$F560,0)))</f>
        <v/>
      </c>
      <c r="Q560" s="46" t="str">
        <f aca="false">IF($E560="","",IF($O560&lt;&gt;"Sim","",COUNTIF($O$3:$O560,"Sim")))</f>
        <v/>
      </c>
      <c r="R560" s="47" t="n">
        <f aca="false">IF($P560="",0,$P560)</f>
        <v>0</v>
      </c>
    </row>
    <row r="561" customFormat="false" ht="18" hidden="false" customHeight="true" outlineLevel="0" collapsed="false">
      <c r="A561" s="39"/>
      <c r="B561" s="41"/>
      <c r="C561" s="40"/>
      <c r="D561" s="40"/>
      <c r="E561" s="40"/>
      <c r="F561" s="42"/>
      <c r="G561" s="39"/>
      <c r="H561" s="40"/>
      <c r="I561" s="40"/>
      <c r="J561" s="40"/>
      <c r="K561" s="41"/>
      <c r="L561" s="39"/>
      <c r="M561" s="48" t="str">
        <f aca="false">IF($E561="","",IFERROR(INDEX(Parâmetros!$C$15:$C$20,MATCH($P561,Parâmetros!$B$15:$B$20,0)),""))</f>
        <v/>
      </c>
      <c r="N561" s="46" t="str">
        <f aca="false">IF($E561="","",IF($P561="","",IF($P561&gt;=8,"Alta",IF($P561&gt;=5,"Média","Baixa"))))</f>
        <v/>
      </c>
      <c r="O561" s="46" t="str">
        <f aca="false">IF($E561="","",IF(AND(Parâmetros!$C$5&gt;0,$P561&lt;&gt;"",$P561&gt;=Parâmetros!$C$5),"Sim","Não"))</f>
        <v/>
      </c>
      <c r="P561" s="45" t="str">
        <f aca="false">IF($E561="","",IF($G561="","",IF($G561="NOK",$F561,0)))</f>
        <v/>
      </c>
      <c r="Q561" s="46" t="str">
        <f aca="false">IF($E561="","",IF($O561&lt;&gt;"Sim","",COUNTIF($O$3:$O561,"Sim")))</f>
        <v/>
      </c>
      <c r="R561" s="47" t="n">
        <f aca="false">IF($P561="",0,$P561)</f>
        <v>0</v>
      </c>
    </row>
    <row r="562" customFormat="false" ht="18" hidden="false" customHeight="true" outlineLevel="0" collapsed="false">
      <c r="A562" s="39"/>
      <c r="B562" s="41"/>
      <c r="C562" s="40"/>
      <c r="D562" s="40"/>
      <c r="E562" s="40"/>
      <c r="F562" s="42"/>
      <c r="G562" s="39"/>
      <c r="H562" s="40"/>
      <c r="I562" s="40"/>
      <c r="J562" s="40"/>
      <c r="K562" s="41"/>
      <c r="L562" s="39"/>
      <c r="M562" s="48" t="str">
        <f aca="false">IF($E562="","",IFERROR(INDEX(Parâmetros!$C$15:$C$20,MATCH($P562,Parâmetros!$B$15:$B$20,0)),""))</f>
        <v/>
      </c>
      <c r="N562" s="46" t="str">
        <f aca="false">IF($E562="","",IF($P562="","",IF($P562&gt;=8,"Alta",IF($P562&gt;=5,"Média","Baixa"))))</f>
        <v/>
      </c>
      <c r="O562" s="46" t="str">
        <f aca="false">IF($E562="","",IF(AND(Parâmetros!$C$5&gt;0,$P562&lt;&gt;"",$P562&gt;=Parâmetros!$C$5),"Sim","Não"))</f>
        <v/>
      </c>
      <c r="P562" s="45" t="str">
        <f aca="false">IF($E562="","",IF($G562="","",IF($G562="NOK",$F562,0)))</f>
        <v/>
      </c>
      <c r="Q562" s="46" t="str">
        <f aca="false">IF($E562="","",IF($O562&lt;&gt;"Sim","",COUNTIF($O$3:$O562,"Sim")))</f>
        <v/>
      </c>
      <c r="R562" s="47" t="n">
        <f aca="false">IF($P562="",0,$P562)</f>
        <v>0</v>
      </c>
    </row>
    <row r="563" customFormat="false" ht="18" hidden="false" customHeight="true" outlineLevel="0" collapsed="false">
      <c r="A563" s="39"/>
      <c r="B563" s="41"/>
      <c r="C563" s="40"/>
      <c r="D563" s="40"/>
      <c r="E563" s="40"/>
      <c r="F563" s="42"/>
      <c r="G563" s="39"/>
      <c r="H563" s="40"/>
      <c r="I563" s="40"/>
      <c r="J563" s="40"/>
      <c r="K563" s="41"/>
      <c r="L563" s="39"/>
      <c r="M563" s="48" t="str">
        <f aca="false">IF($E563="","",IFERROR(INDEX(Parâmetros!$C$15:$C$20,MATCH($P563,Parâmetros!$B$15:$B$20,0)),""))</f>
        <v/>
      </c>
      <c r="N563" s="46" t="str">
        <f aca="false">IF($E563="","",IF($P563="","",IF($P563&gt;=8,"Alta",IF($P563&gt;=5,"Média","Baixa"))))</f>
        <v/>
      </c>
      <c r="O563" s="46" t="str">
        <f aca="false">IF($E563="","",IF(AND(Parâmetros!$C$5&gt;0,$P563&lt;&gt;"",$P563&gt;=Parâmetros!$C$5),"Sim","Não"))</f>
        <v/>
      </c>
      <c r="P563" s="45" t="str">
        <f aca="false">IF($E563="","",IF($G563="","",IF($G563="NOK",$F563,0)))</f>
        <v/>
      </c>
      <c r="Q563" s="46" t="str">
        <f aca="false">IF($E563="","",IF($O563&lt;&gt;"Sim","",COUNTIF($O$3:$O563,"Sim")))</f>
        <v/>
      </c>
      <c r="R563" s="47" t="n">
        <f aca="false">IF($P563="",0,$P563)</f>
        <v>0</v>
      </c>
    </row>
    <row r="564" customFormat="false" ht="18" hidden="false" customHeight="true" outlineLevel="0" collapsed="false">
      <c r="A564" s="39"/>
      <c r="B564" s="41"/>
      <c r="C564" s="40"/>
      <c r="D564" s="40"/>
      <c r="E564" s="40"/>
      <c r="F564" s="42"/>
      <c r="G564" s="39"/>
      <c r="H564" s="40"/>
      <c r="I564" s="40"/>
      <c r="J564" s="40"/>
      <c r="K564" s="41"/>
      <c r="L564" s="39"/>
      <c r="M564" s="48" t="str">
        <f aca="false">IF($E564="","",IFERROR(INDEX(Parâmetros!$C$15:$C$20,MATCH($P564,Parâmetros!$B$15:$B$20,0)),""))</f>
        <v/>
      </c>
      <c r="N564" s="46" t="str">
        <f aca="false">IF($E564="","",IF($P564="","",IF($P564&gt;=8,"Alta",IF($P564&gt;=5,"Média","Baixa"))))</f>
        <v/>
      </c>
      <c r="O564" s="46" t="str">
        <f aca="false">IF($E564="","",IF(AND(Parâmetros!$C$5&gt;0,$P564&lt;&gt;"",$P564&gt;=Parâmetros!$C$5),"Sim","Não"))</f>
        <v/>
      </c>
      <c r="P564" s="45" t="str">
        <f aca="false">IF($E564="","",IF($G564="","",IF($G564="NOK",$F564,0)))</f>
        <v/>
      </c>
      <c r="Q564" s="46" t="str">
        <f aca="false">IF($E564="","",IF($O564&lt;&gt;"Sim","",COUNTIF($O$3:$O564,"Sim")))</f>
        <v/>
      </c>
      <c r="R564" s="47" t="n">
        <f aca="false">IF($P564="",0,$P564)</f>
        <v>0</v>
      </c>
    </row>
    <row r="565" customFormat="false" ht="18" hidden="false" customHeight="true" outlineLevel="0" collapsed="false">
      <c r="A565" s="39"/>
      <c r="B565" s="41"/>
      <c r="C565" s="40"/>
      <c r="D565" s="40"/>
      <c r="E565" s="40"/>
      <c r="F565" s="42"/>
      <c r="G565" s="39"/>
      <c r="H565" s="40"/>
      <c r="I565" s="40"/>
      <c r="J565" s="40"/>
      <c r="K565" s="41"/>
      <c r="L565" s="39"/>
      <c r="M565" s="48" t="str">
        <f aca="false">IF($E565="","",IFERROR(INDEX(Parâmetros!$C$15:$C$20,MATCH($P565,Parâmetros!$B$15:$B$20,0)),""))</f>
        <v/>
      </c>
      <c r="N565" s="46" t="str">
        <f aca="false">IF($E565="","",IF($P565="","",IF($P565&gt;=8,"Alta",IF($P565&gt;=5,"Média","Baixa"))))</f>
        <v/>
      </c>
      <c r="O565" s="46" t="str">
        <f aca="false">IF($E565="","",IF(AND(Parâmetros!$C$5&gt;0,$P565&lt;&gt;"",$P565&gt;=Parâmetros!$C$5),"Sim","Não"))</f>
        <v/>
      </c>
      <c r="P565" s="45" t="str">
        <f aca="false">IF($E565="","",IF($G565="","",IF($G565="NOK",$F565,0)))</f>
        <v/>
      </c>
      <c r="Q565" s="46" t="str">
        <f aca="false">IF($E565="","",IF($O565&lt;&gt;"Sim","",COUNTIF($O$3:$O565,"Sim")))</f>
        <v/>
      </c>
      <c r="R565" s="47" t="n">
        <f aca="false">IF($P565="",0,$P565)</f>
        <v>0</v>
      </c>
    </row>
    <row r="566" customFormat="false" ht="18" hidden="false" customHeight="true" outlineLevel="0" collapsed="false">
      <c r="A566" s="39"/>
      <c r="B566" s="41"/>
      <c r="C566" s="40"/>
      <c r="D566" s="40"/>
      <c r="E566" s="40"/>
      <c r="F566" s="42"/>
      <c r="G566" s="39"/>
      <c r="H566" s="40"/>
      <c r="I566" s="40"/>
      <c r="J566" s="40"/>
      <c r="K566" s="41"/>
      <c r="L566" s="39"/>
      <c r="M566" s="48" t="str">
        <f aca="false">IF($E566="","",IFERROR(INDEX(Parâmetros!$C$15:$C$20,MATCH($P566,Parâmetros!$B$15:$B$20,0)),""))</f>
        <v/>
      </c>
      <c r="N566" s="46" t="str">
        <f aca="false">IF($E566="","",IF($P566="","",IF($P566&gt;=8,"Alta",IF($P566&gt;=5,"Média","Baixa"))))</f>
        <v/>
      </c>
      <c r="O566" s="46" t="str">
        <f aca="false">IF($E566="","",IF(AND(Parâmetros!$C$5&gt;0,$P566&lt;&gt;"",$P566&gt;=Parâmetros!$C$5),"Sim","Não"))</f>
        <v/>
      </c>
      <c r="P566" s="45" t="str">
        <f aca="false">IF($E566="","",IF($G566="","",IF($G566="NOK",$F566,0)))</f>
        <v/>
      </c>
      <c r="Q566" s="46" t="str">
        <f aca="false">IF($E566="","",IF($O566&lt;&gt;"Sim","",COUNTIF($O$3:$O566,"Sim")))</f>
        <v/>
      </c>
      <c r="R566" s="47" t="n">
        <f aca="false">IF($P566="",0,$P566)</f>
        <v>0</v>
      </c>
    </row>
    <row r="567" customFormat="false" ht="18" hidden="false" customHeight="true" outlineLevel="0" collapsed="false">
      <c r="A567" s="39"/>
      <c r="B567" s="41"/>
      <c r="C567" s="40"/>
      <c r="D567" s="40"/>
      <c r="E567" s="40"/>
      <c r="F567" s="42"/>
      <c r="G567" s="39"/>
      <c r="H567" s="40"/>
      <c r="I567" s="40"/>
      <c r="J567" s="40"/>
      <c r="K567" s="41"/>
      <c r="L567" s="39"/>
      <c r="M567" s="48" t="str">
        <f aca="false">IF($E567="","",IFERROR(INDEX(Parâmetros!$C$15:$C$20,MATCH($P567,Parâmetros!$B$15:$B$20,0)),""))</f>
        <v/>
      </c>
      <c r="N567" s="46" t="str">
        <f aca="false">IF($E567="","",IF($P567="","",IF($P567&gt;=8,"Alta",IF($P567&gt;=5,"Média","Baixa"))))</f>
        <v/>
      </c>
      <c r="O567" s="46" t="str">
        <f aca="false">IF($E567="","",IF(AND(Parâmetros!$C$5&gt;0,$P567&lt;&gt;"",$P567&gt;=Parâmetros!$C$5),"Sim","Não"))</f>
        <v/>
      </c>
      <c r="P567" s="45" t="str">
        <f aca="false">IF($E567="","",IF($G567="","",IF($G567="NOK",$F567,0)))</f>
        <v/>
      </c>
      <c r="Q567" s="46" t="str">
        <f aca="false">IF($E567="","",IF($O567&lt;&gt;"Sim","",COUNTIF($O$3:$O567,"Sim")))</f>
        <v/>
      </c>
      <c r="R567" s="47" t="n">
        <f aca="false">IF($P567="",0,$P567)</f>
        <v>0</v>
      </c>
    </row>
    <row r="568" customFormat="false" ht="18" hidden="false" customHeight="true" outlineLevel="0" collapsed="false">
      <c r="A568" s="39"/>
      <c r="B568" s="41"/>
      <c r="C568" s="40"/>
      <c r="D568" s="40"/>
      <c r="E568" s="40"/>
      <c r="F568" s="42"/>
      <c r="G568" s="39"/>
      <c r="H568" s="40"/>
      <c r="I568" s="40"/>
      <c r="J568" s="40"/>
      <c r="K568" s="41"/>
      <c r="L568" s="39"/>
      <c r="M568" s="48" t="str">
        <f aca="false">IF($E568="","",IFERROR(INDEX(Parâmetros!$C$15:$C$20,MATCH($P568,Parâmetros!$B$15:$B$20,0)),""))</f>
        <v/>
      </c>
      <c r="N568" s="46" t="str">
        <f aca="false">IF($E568="","",IF($P568="","",IF($P568&gt;=8,"Alta",IF($P568&gt;=5,"Média","Baixa"))))</f>
        <v/>
      </c>
      <c r="O568" s="46" t="str">
        <f aca="false">IF($E568="","",IF(AND(Parâmetros!$C$5&gt;0,$P568&lt;&gt;"",$P568&gt;=Parâmetros!$C$5),"Sim","Não"))</f>
        <v/>
      </c>
      <c r="P568" s="45" t="str">
        <f aca="false">IF($E568="","",IF($G568="","",IF($G568="NOK",$F568,0)))</f>
        <v/>
      </c>
      <c r="Q568" s="46" t="str">
        <f aca="false">IF($E568="","",IF($O568&lt;&gt;"Sim","",COUNTIF($O$3:$O568,"Sim")))</f>
        <v/>
      </c>
      <c r="R568" s="47" t="n">
        <f aca="false">IF($P568="",0,$P568)</f>
        <v>0</v>
      </c>
    </row>
    <row r="569" customFormat="false" ht="18" hidden="false" customHeight="true" outlineLevel="0" collapsed="false">
      <c r="A569" s="39"/>
      <c r="B569" s="41"/>
      <c r="C569" s="40"/>
      <c r="D569" s="40"/>
      <c r="E569" s="40"/>
      <c r="F569" s="42"/>
      <c r="G569" s="39"/>
      <c r="H569" s="40"/>
      <c r="I569" s="40"/>
      <c r="J569" s="40"/>
      <c r="K569" s="41"/>
      <c r="L569" s="39"/>
      <c r="M569" s="48" t="str">
        <f aca="false">IF($E569="","",IFERROR(INDEX(Parâmetros!$C$15:$C$20,MATCH($P569,Parâmetros!$B$15:$B$20,0)),""))</f>
        <v/>
      </c>
      <c r="N569" s="46" t="str">
        <f aca="false">IF($E569="","",IF($P569="","",IF($P569&gt;=8,"Alta",IF($P569&gt;=5,"Média","Baixa"))))</f>
        <v/>
      </c>
      <c r="O569" s="46" t="str">
        <f aca="false">IF($E569="","",IF(AND(Parâmetros!$C$5&gt;0,$P569&lt;&gt;"",$P569&gt;=Parâmetros!$C$5),"Sim","Não"))</f>
        <v/>
      </c>
      <c r="P569" s="45" t="str">
        <f aca="false">IF($E569="","",IF($G569="","",IF($G569="NOK",$F569,0)))</f>
        <v/>
      </c>
      <c r="Q569" s="46" t="str">
        <f aca="false">IF($E569="","",IF($O569&lt;&gt;"Sim","",COUNTIF($O$3:$O569,"Sim")))</f>
        <v/>
      </c>
      <c r="R569" s="47" t="n">
        <f aca="false">IF($P569="",0,$P569)</f>
        <v>0</v>
      </c>
    </row>
    <row r="570" customFormat="false" ht="18" hidden="false" customHeight="true" outlineLevel="0" collapsed="false">
      <c r="A570" s="39"/>
      <c r="B570" s="41"/>
      <c r="C570" s="40"/>
      <c r="D570" s="40"/>
      <c r="E570" s="40"/>
      <c r="F570" s="42"/>
      <c r="G570" s="39"/>
      <c r="H570" s="40"/>
      <c r="I570" s="40"/>
      <c r="J570" s="40"/>
      <c r="K570" s="41"/>
      <c r="L570" s="39"/>
      <c r="M570" s="48" t="str">
        <f aca="false">IF($E570="","",IFERROR(INDEX(Parâmetros!$C$15:$C$20,MATCH($P570,Parâmetros!$B$15:$B$20,0)),""))</f>
        <v/>
      </c>
      <c r="N570" s="46" t="str">
        <f aca="false">IF($E570="","",IF($P570="","",IF($P570&gt;=8,"Alta",IF($P570&gt;=5,"Média","Baixa"))))</f>
        <v/>
      </c>
      <c r="O570" s="46" t="str">
        <f aca="false">IF($E570="","",IF(AND(Parâmetros!$C$5&gt;0,$P570&lt;&gt;"",$P570&gt;=Parâmetros!$C$5),"Sim","Não"))</f>
        <v/>
      </c>
      <c r="P570" s="45" t="str">
        <f aca="false">IF($E570="","",IF($G570="","",IF($G570="NOK",$F570,0)))</f>
        <v/>
      </c>
      <c r="Q570" s="46" t="str">
        <f aca="false">IF($E570="","",IF($O570&lt;&gt;"Sim","",COUNTIF($O$3:$O570,"Sim")))</f>
        <v/>
      </c>
      <c r="R570" s="47" t="n">
        <f aca="false">IF($P570="",0,$P570)</f>
        <v>0</v>
      </c>
    </row>
    <row r="571" customFormat="false" ht="18" hidden="false" customHeight="true" outlineLevel="0" collapsed="false">
      <c r="A571" s="39"/>
      <c r="B571" s="41"/>
      <c r="C571" s="40"/>
      <c r="D571" s="40"/>
      <c r="E571" s="40"/>
      <c r="F571" s="42"/>
      <c r="G571" s="39"/>
      <c r="H571" s="40"/>
      <c r="I571" s="40"/>
      <c r="J571" s="40"/>
      <c r="K571" s="41"/>
      <c r="L571" s="39"/>
      <c r="M571" s="48" t="str">
        <f aca="false">IF($E571="","",IFERROR(INDEX(Parâmetros!$C$15:$C$20,MATCH($P571,Parâmetros!$B$15:$B$20,0)),""))</f>
        <v/>
      </c>
      <c r="N571" s="46" t="str">
        <f aca="false">IF($E571="","",IF($P571="","",IF($P571&gt;=8,"Alta",IF($P571&gt;=5,"Média","Baixa"))))</f>
        <v/>
      </c>
      <c r="O571" s="46" t="str">
        <f aca="false">IF($E571="","",IF(AND(Parâmetros!$C$5&gt;0,$P571&lt;&gt;"",$P571&gt;=Parâmetros!$C$5),"Sim","Não"))</f>
        <v/>
      </c>
      <c r="P571" s="45" t="str">
        <f aca="false">IF($E571="","",IF($G571="","",IF($G571="NOK",$F571,0)))</f>
        <v/>
      </c>
      <c r="Q571" s="46" t="str">
        <f aca="false">IF($E571="","",IF($O571&lt;&gt;"Sim","",COUNTIF($O$3:$O571,"Sim")))</f>
        <v/>
      </c>
      <c r="R571" s="47" t="n">
        <f aca="false">IF($P571="",0,$P571)</f>
        <v>0</v>
      </c>
    </row>
    <row r="572" customFormat="false" ht="18" hidden="false" customHeight="true" outlineLevel="0" collapsed="false">
      <c r="A572" s="39"/>
      <c r="B572" s="41"/>
      <c r="C572" s="40"/>
      <c r="D572" s="40"/>
      <c r="E572" s="40"/>
      <c r="F572" s="42"/>
      <c r="G572" s="39"/>
      <c r="H572" s="40"/>
      <c r="I572" s="40"/>
      <c r="J572" s="40"/>
      <c r="K572" s="41"/>
      <c r="L572" s="39"/>
      <c r="M572" s="48" t="str">
        <f aca="false">IF($E572="","",IFERROR(INDEX(Parâmetros!$C$15:$C$20,MATCH($P572,Parâmetros!$B$15:$B$20,0)),""))</f>
        <v/>
      </c>
      <c r="N572" s="46" t="str">
        <f aca="false">IF($E572="","",IF($P572="","",IF($P572&gt;=8,"Alta",IF($P572&gt;=5,"Média","Baixa"))))</f>
        <v/>
      </c>
      <c r="O572" s="46" t="str">
        <f aca="false">IF($E572="","",IF(AND(Parâmetros!$C$5&gt;0,$P572&lt;&gt;"",$P572&gt;=Parâmetros!$C$5),"Sim","Não"))</f>
        <v/>
      </c>
      <c r="P572" s="45" t="str">
        <f aca="false">IF($E572="","",IF($G572="","",IF($G572="NOK",$F572,0)))</f>
        <v/>
      </c>
      <c r="Q572" s="46" t="str">
        <f aca="false">IF($E572="","",IF($O572&lt;&gt;"Sim","",COUNTIF($O$3:$O572,"Sim")))</f>
        <v/>
      </c>
      <c r="R572" s="47" t="n">
        <f aca="false">IF($P572="",0,$P572)</f>
        <v>0</v>
      </c>
    </row>
    <row r="573" customFormat="false" ht="18" hidden="false" customHeight="true" outlineLevel="0" collapsed="false">
      <c r="A573" s="39"/>
      <c r="B573" s="41"/>
      <c r="C573" s="40"/>
      <c r="D573" s="40"/>
      <c r="E573" s="40"/>
      <c r="F573" s="42"/>
      <c r="G573" s="39"/>
      <c r="H573" s="40"/>
      <c r="I573" s="40"/>
      <c r="J573" s="40"/>
      <c r="K573" s="41"/>
      <c r="L573" s="39"/>
      <c r="M573" s="48" t="str">
        <f aca="false">IF($E573="","",IFERROR(INDEX(Parâmetros!$C$15:$C$20,MATCH($P573,Parâmetros!$B$15:$B$20,0)),""))</f>
        <v/>
      </c>
      <c r="N573" s="46" t="str">
        <f aca="false">IF($E573="","",IF($P573="","",IF($P573&gt;=8,"Alta",IF($P573&gt;=5,"Média","Baixa"))))</f>
        <v/>
      </c>
      <c r="O573" s="46" t="str">
        <f aca="false">IF($E573="","",IF(AND(Parâmetros!$C$5&gt;0,$P573&lt;&gt;"",$P573&gt;=Parâmetros!$C$5),"Sim","Não"))</f>
        <v/>
      </c>
      <c r="P573" s="45" t="str">
        <f aca="false">IF($E573="","",IF($G573="","",IF($G573="NOK",$F573,0)))</f>
        <v/>
      </c>
      <c r="Q573" s="46" t="str">
        <f aca="false">IF($E573="","",IF($O573&lt;&gt;"Sim","",COUNTIF($O$3:$O573,"Sim")))</f>
        <v/>
      </c>
      <c r="R573" s="47" t="n">
        <f aca="false">IF($P573="",0,$P573)</f>
        <v>0</v>
      </c>
    </row>
    <row r="574" customFormat="false" ht="18" hidden="false" customHeight="true" outlineLevel="0" collapsed="false">
      <c r="A574" s="39"/>
      <c r="B574" s="41"/>
      <c r="C574" s="40"/>
      <c r="D574" s="40"/>
      <c r="E574" s="40"/>
      <c r="F574" s="42"/>
      <c r="G574" s="39"/>
      <c r="H574" s="40"/>
      <c r="I574" s="40"/>
      <c r="J574" s="40"/>
      <c r="K574" s="41"/>
      <c r="L574" s="39"/>
      <c r="M574" s="48" t="str">
        <f aca="false">IF($E574="","",IFERROR(INDEX(Parâmetros!$C$15:$C$20,MATCH($P574,Parâmetros!$B$15:$B$20,0)),""))</f>
        <v/>
      </c>
      <c r="N574" s="46" t="str">
        <f aca="false">IF($E574="","",IF($P574="","",IF($P574&gt;=8,"Alta",IF($P574&gt;=5,"Média","Baixa"))))</f>
        <v/>
      </c>
      <c r="O574" s="46" t="str">
        <f aca="false">IF($E574="","",IF(AND(Parâmetros!$C$5&gt;0,$P574&lt;&gt;"",$P574&gt;=Parâmetros!$C$5),"Sim","Não"))</f>
        <v/>
      </c>
      <c r="P574" s="45" t="str">
        <f aca="false">IF($E574="","",IF($G574="","",IF($G574="NOK",$F574,0)))</f>
        <v/>
      </c>
      <c r="Q574" s="46" t="str">
        <f aca="false">IF($E574="","",IF($O574&lt;&gt;"Sim","",COUNTIF($O$3:$O574,"Sim")))</f>
        <v/>
      </c>
      <c r="R574" s="47" t="n">
        <f aca="false">IF($P574="",0,$P574)</f>
        <v>0</v>
      </c>
    </row>
    <row r="575" customFormat="false" ht="18" hidden="false" customHeight="true" outlineLevel="0" collapsed="false">
      <c r="A575" s="39"/>
      <c r="B575" s="41"/>
      <c r="C575" s="40"/>
      <c r="D575" s="40"/>
      <c r="E575" s="40"/>
      <c r="F575" s="42"/>
      <c r="G575" s="39"/>
      <c r="H575" s="40"/>
      <c r="I575" s="40"/>
      <c r="J575" s="40"/>
      <c r="K575" s="41"/>
      <c r="L575" s="39"/>
      <c r="M575" s="48" t="str">
        <f aca="false">IF($E575="","",IFERROR(INDEX(Parâmetros!$C$15:$C$20,MATCH($P575,Parâmetros!$B$15:$B$20,0)),""))</f>
        <v/>
      </c>
      <c r="N575" s="46" t="str">
        <f aca="false">IF($E575="","",IF($P575="","",IF($P575&gt;=8,"Alta",IF($P575&gt;=5,"Média","Baixa"))))</f>
        <v/>
      </c>
      <c r="O575" s="46" t="str">
        <f aca="false">IF($E575="","",IF(AND(Parâmetros!$C$5&gt;0,$P575&lt;&gt;"",$P575&gt;=Parâmetros!$C$5),"Sim","Não"))</f>
        <v/>
      </c>
      <c r="P575" s="45" t="str">
        <f aca="false">IF($E575="","",IF($G575="","",IF($G575="NOK",$F575,0)))</f>
        <v/>
      </c>
      <c r="Q575" s="46" t="str">
        <f aca="false">IF($E575="","",IF($O575&lt;&gt;"Sim","",COUNTIF($O$3:$O575,"Sim")))</f>
        <v/>
      </c>
      <c r="R575" s="47" t="n">
        <f aca="false">IF($P575="",0,$P575)</f>
        <v>0</v>
      </c>
    </row>
    <row r="576" customFormat="false" ht="18" hidden="false" customHeight="true" outlineLevel="0" collapsed="false">
      <c r="A576" s="39"/>
      <c r="B576" s="41"/>
      <c r="C576" s="40"/>
      <c r="D576" s="40"/>
      <c r="E576" s="40"/>
      <c r="F576" s="42"/>
      <c r="G576" s="39"/>
      <c r="H576" s="40"/>
      <c r="I576" s="40"/>
      <c r="J576" s="40"/>
      <c r="K576" s="41"/>
      <c r="L576" s="39"/>
      <c r="M576" s="48" t="str">
        <f aca="false">IF($E576="","",IFERROR(INDEX(Parâmetros!$C$15:$C$20,MATCH($P576,Parâmetros!$B$15:$B$20,0)),""))</f>
        <v/>
      </c>
      <c r="N576" s="46" t="str">
        <f aca="false">IF($E576="","",IF($P576="","",IF($P576&gt;=8,"Alta",IF($P576&gt;=5,"Média","Baixa"))))</f>
        <v/>
      </c>
      <c r="O576" s="46" t="str">
        <f aca="false">IF($E576="","",IF(AND(Parâmetros!$C$5&gt;0,$P576&lt;&gt;"",$P576&gt;=Parâmetros!$C$5),"Sim","Não"))</f>
        <v/>
      </c>
      <c r="P576" s="45" t="str">
        <f aca="false">IF($E576="","",IF($G576="","",IF($G576="NOK",$F576,0)))</f>
        <v/>
      </c>
      <c r="Q576" s="46" t="str">
        <f aca="false">IF($E576="","",IF($O576&lt;&gt;"Sim","",COUNTIF($O$3:$O576,"Sim")))</f>
        <v/>
      </c>
      <c r="R576" s="47" t="n">
        <f aca="false">IF($P576="",0,$P576)</f>
        <v>0</v>
      </c>
    </row>
    <row r="577" customFormat="false" ht="18" hidden="false" customHeight="true" outlineLevel="0" collapsed="false">
      <c r="A577" s="39"/>
      <c r="B577" s="41"/>
      <c r="C577" s="40"/>
      <c r="D577" s="40"/>
      <c r="E577" s="40"/>
      <c r="F577" s="42"/>
      <c r="G577" s="39"/>
      <c r="H577" s="40"/>
      <c r="I577" s="40"/>
      <c r="J577" s="40"/>
      <c r="K577" s="41"/>
      <c r="L577" s="39"/>
      <c r="M577" s="48" t="str">
        <f aca="false">IF($E577="","",IFERROR(INDEX(Parâmetros!$C$15:$C$20,MATCH($P577,Parâmetros!$B$15:$B$20,0)),""))</f>
        <v/>
      </c>
      <c r="N577" s="46" t="str">
        <f aca="false">IF($E577="","",IF($P577="","",IF($P577&gt;=8,"Alta",IF($P577&gt;=5,"Média","Baixa"))))</f>
        <v/>
      </c>
      <c r="O577" s="46" t="str">
        <f aca="false">IF($E577="","",IF(AND(Parâmetros!$C$5&gt;0,$P577&lt;&gt;"",$P577&gt;=Parâmetros!$C$5),"Sim","Não"))</f>
        <v/>
      </c>
      <c r="P577" s="45" t="str">
        <f aca="false">IF($E577="","",IF($G577="","",IF($G577="NOK",$F577,0)))</f>
        <v/>
      </c>
      <c r="Q577" s="46" t="str">
        <f aca="false">IF($E577="","",IF($O577&lt;&gt;"Sim","",COUNTIF($O$3:$O577,"Sim")))</f>
        <v/>
      </c>
      <c r="R577" s="47" t="n">
        <f aca="false">IF($P577="",0,$P577)</f>
        <v>0</v>
      </c>
    </row>
    <row r="578" customFormat="false" ht="18" hidden="false" customHeight="true" outlineLevel="0" collapsed="false">
      <c r="A578" s="39"/>
      <c r="B578" s="41"/>
      <c r="C578" s="40"/>
      <c r="D578" s="40"/>
      <c r="E578" s="40"/>
      <c r="F578" s="42"/>
      <c r="G578" s="39"/>
      <c r="H578" s="40"/>
      <c r="I578" s="40"/>
      <c r="J578" s="40"/>
      <c r="K578" s="41"/>
      <c r="L578" s="39"/>
      <c r="M578" s="48" t="str">
        <f aca="false">IF($E578="","",IFERROR(INDEX(Parâmetros!$C$15:$C$20,MATCH($P578,Parâmetros!$B$15:$B$20,0)),""))</f>
        <v/>
      </c>
      <c r="N578" s="46" t="str">
        <f aca="false">IF($E578="","",IF($P578="","",IF($P578&gt;=8,"Alta",IF($P578&gt;=5,"Média","Baixa"))))</f>
        <v/>
      </c>
      <c r="O578" s="46" t="str">
        <f aca="false">IF($E578="","",IF(AND(Parâmetros!$C$5&gt;0,$P578&lt;&gt;"",$P578&gt;=Parâmetros!$C$5),"Sim","Não"))</f>
        <v/>
      </c>
      <c r="P578" s="45" t="str">
        <f aca="false">IF($E578="","",IF($G578="","",IF($G578="NOK",$F578,0)))</f>
        <v/>
      </c>
      <c r="Q578" s="46" t="str">
        <f aca="false">IF($E578="","",IF($O578&lt;&gt;"Sim","",COUNTIF($O$3:$O578,"Sim")))</f>
        <v/>
      </c>
      <c r="R578" s="47" t="n">
        <f aca="false">IF($P578="",0,$P578)</f>
        <v>0</v>
      </c>
    </row>
    <row r="579" customFormat="false" ht="18" hidden="false" customHeight="true" outlineLevel="0" collapsed="false">
      <c r="A579" s="39"/>
      <c r="B579" s="41"/>
      <c r="C579" s="40"/>
      <c r="D579" s="40"/>
      <c r="E579" s="40"/>
      <c r="F579" s="42"/>
      <c r="G579" s="39"/>
      <c r="H579" s="40"/>
      <c r="I579" s="40"/>
      <c r="J579" s="40"/>
      <c r="K579" s="41"/>
      <c r="L579" s="39"/>
      <c r="M579" s="48" t="str">
        <f aca="false">IF($E579="","",IFERROR(INDEX(Parâmetros!$C$15:$C$20,MATCH($P579,Parâmetros!$B$15:$B$20,0)),""))</f>
        <v/>
      </c>
      <c r="N579" s="46" t="str">
        <f aca="false">IF($E579="","",IF($P579="","",IF($P579&gt;=8,"Alta",IF($P579&gt;=5,"Média","Baixa"))))</f>
        <v/>
      </c>
      <c r="O579" s="46" t="str">
        <f aca="false">IF($E579="","",IF(AND(Parâmetros!$C$5&gt;0,$P579&lt;&gt;"",$P579&gt;=Parâmetros!$C$5),"Sim","Não"))</f>
        <v/>
      </c>
      <c r="P579" s="45" t="str">
        <f aca="false">IF($E579="","",IF($G579="","",IF($G579="NOK",$F579,0)))</f>
        <v/>
      </c>
      <c r="Q579" s="46" t="str">
        <f aca="false">IF($E579="","",IF($O579&lt;&gt;"Sim","",COUNTIF($O$3:$O579,"Sim")))</f>
        <v/>
      </c>
      <c r="R579" s="47" t="n">
        <f aca="false">IF($P579="",0,$P579)</f>
        <v>0</v>
      </c>
    </row>
    <row r="580" customFormat="false" ht="18" hidden="false" customHeight="true" outlineLevel="0" collapsed="false">
      <c r="A580" s="39"/>
      <c r="B580" s="41"/>
      <c r="C580" s="40"/>
      <c r="D580" s="40"/>
      <c r="E580" s="40"/>
      <c r="F580" s="42"/>
      <c r="G580" s="39"/>
      <c r="H580" s="40"/>
      <c r="I580" s="40"/>
      <c r="J580" s="40"/>
      <c r="K580" s="41"/>
      <c r="L580" s="39"/>
      <c r="M580" s="48" t="str">
        <f aca="false">IF($E580="","",IFERROR(INDEX(Parâmetros!$C$15:$C$20,MATCH($P580,Parâmetros!$B$15:$B$20,0)),""))</f>
        <v/>
      </c>
      <c r="N580" s="46" t="str">
        <f aca="false">IF($E580="","",IF($P580="","",IF($P580&gt;=8,"Alta",IF($P580&gt;=5,"Média","Baixa"))))</f>
        <v/>
      </c>
      <c r="O580" s="46" t="str">
        <f aca="false">IF($E580="","",IF(AND(Parâmetros!$C$5&gt;0,$P580&lt;&gt;"",$P580&gt;=Parâmetros!$C$5),"Sim","Não"))</f>
        <v/>
      </c>
      <c r="P580" s="45" t="str">
        <f aca="false">IF($E580="","",IF($G580="","",IF($G580="NOK",$F580,0)))</f>
        <v/>
      </c>
      <c r="Q580" s="46" t="str">
        <f aca="false">IF($E580="","",IF($O580&lt;&gt;"Sim","",COUNTIF($O$3:$O580,"Sim")))</f>
        <v/>
      </c>
      <c r="R580" s="47" t="n">
        <f aca="false">IF($P580="",0,$P580)</f>
        <v>0</v>
      </c>
    </row>
    <row r="581" customFormat="false" ht="18" hidden="false" customHeight="true" outlineLevel="0" collapsed="false">
      <c r="A581" s="39"/>
      <c r="B581" s="41"/>
      <c r="C581" s="40"/>
      <c r="D581" s="40"/>
      <c r="E581" s="40"/>
      <c r="F581" s="42"/>
      <c r="G581" s="39"/>
      <c r="H581" s="40"/>
      <c r="I581" s="40"/>
      <c r="J581" s="40"/>
      <c r="K581" s="41"/>
      <c r="L581" s="39"/>
      <c r="M581" s="48" t="str">
        <f aca="false">IF($E581="","",IFERROR(INDEX(Parâmetros!$C$15:$C$20,MATCH($P581,Parâmetros!$B$15:$B$20,0)),""))</f>
        <v/>
      </c>
      <c r="N581" s="46" t="str">
        <f aca="false">IF($E581="","",IF($P581="","",IF($P581&gt;=8,"Alta",IF($P581&gt;=5,"Média","Baixa"))))</f>
        <v/>
      </c>
      <c r="O581" s="46" t="str">
        <f aca="false">IF($E581="","",IF(AND(Parâmetros!$C$5&gt;0,$P581&lt;&gt;"",$P581&gt;=Parâmetros!$C$5),"Sim","Não"))</f>
        <v/>
      </c>
      <c r="P581" s="45" t="str">
        <f aca="false">IF($E581="","",IF($G581="","",IF($G581="NOK",$F581,0)))</f>
        <v/>
      </c>
      <c r="Q581" s="46" t="str">
        <f aca="false">IF($E581="","",IF($O581&lt;&gt;"Sim","",COUNTIF($O$3:$O581,"Sim")))</f>
        <v/>
      </c>
      <c r="R581" s="47" t="n">
        <f aca="false">IF($P581="",0,$P581)</f>
        <v>0</v>
      </c>
    </row>
    <row r="582" customFormat="false" ht="18" hidden="false" customHeight="true" outlineLevel="0" collapsed="false">
      <c r="A582" s="39"/>
      <c r="B582" s="41"/>
      <c r="C582" s="40"/>
      <c r="D582" s="40"/>
      <c r="E582" s="40"/>
      <c r="F582" s="42"/>
      <c r="G582" s="39"/>
      <c r="H582" s="40"/>
      <c r="I582" s="40"/>
      <c r="J582" s="40"/>
      <c r="K582" s="41"/>
      <c r="L582" s="39"/>
      <c r="M582" s="48" t="str">
        <f aca="false">IF($E582="","",IFERROR(INDEX(Parâmetros!$C$15:$C$20,MATCH($P582,Parâmetros!$B$15:$B$20,0)),""))</f>
        <v/>
      </c>
      <c r="N582" s="46" t="str">
        <f aca="false">IF($E582="","",IF($P582="","",IF($P582&gt;=8,"Alta",IF($P582&gt;=5,"Média","Baixa"))))</f>
        <v/>
      </c>
      <c r="O582" s="46" t="str">
        <f aca="false">IF($E582="","",IF(AND(Parâmetros!$C$5&gt;0,$P582&lt;&gt;"",$P582&gt;=Parâmetros!$C$5),"Sim","Não"))</f>
        <v/>
      </c>
      <c r="P582" s="45" t="str">
        <f aca="false">IF($E582="","",IF($G582="","",IF($G582="NOK",$F582,0)))</f>
        <v/>
      </c>
      <c r="Q582" s="46" t="str">
        <f aca="false">IF($E582="","",IF($O582&lt;&gt;"Sim","",COUNTIF($O$3:$O582,"Sim")))</f>
        <v/>
      </c>
      <c r="R582" s="47" t="n">
        <f aca="false">IF($P582="",0,$P582)</f>
        <v>0</v>
      </c>
    </row>
    <row r="583" customFormat="false" ht="18" hidden="false" customHeight="true" outlineLevel="0" collapsed="false">
      <c r="A583" s="39"/>
      <c r="B583" s="41"/>
      <c r="C583" s="40"/>
      <c r="D583" s="40"/>
      <c r="E583" s="40"/>
      <c r="F583" s="42"/>
      <c r="G583" s="39"/>
      <c r="H583" s="40"/>
      <c r="I583" s="40"/>
      <c r="J583" s="40"/>
      <c r="K583" s="41"/>
      <c r="L583" s="39"/>
      <c r="M583" s="48" t="str">
        <f aca="false">IF($E583="","",IFERROR(INDEX(Parâmetros!$C$15:$C$20,MATCH($P583,Parâmetros!$B$15:$B$20,0)),""))</f>
        <v/>
      </c>
      <c r="N583" s="46" t="str">
        <f aca="false">IF($E583="","",IF($P583="","",IF($P583&gt;=8,"Alta",IF($P583&gt;=5,"Média","Baixa"))))</f>
        <v/>
      </c>
      <c r="O583" s="46" t="str">
        <f aca="false">IF($E583="","",IF(AND(Parâmetros!$C$5&gt;0,$P583&lt;&gt;"",$P583&gt;=Parâmetros!$C$5),"Sim","Não"))</f>
        <v/>
      </c>
      <c r="P583" s="45" t="str">
        <f aca="false">IF($E583="","",IF($G583="","",IF($G583="NOK",$F583,0)))</f>
        <v/>
      </c>
      <c r="Q583" s="46" t="str">
        <f aca="false">IF($E583="","",IF($O583&lt;&gt;"Sim","",COUNTIF($O$3:$O583,"Sim")))</f>
        <v/>
      </c>
      <c r="R583" s="47" t="n">
        <f aca="false">IF($P583="",0,$P583)</f>
        <v>0</v>
      </c>
    </row>
    <row r="584" customFormat="false" ht="18" hidden="false" customHeight="true" outlineLevel="0" collapsed="false">
      <c r="A584" s="39"/>
      <c r="B584" s="41"/>
      <c r="C584" s="40"/>
      <c r="D584" s="40"/>
      <c r="E584" s="40"/>
      <c r="F584" s="42"/>
      <c r="G584" s="39"/>
      <c r="H584" s="40"/>
      <c r="I584" s="40"/>
      <c r="J584" s="40"/>
      <c r="K584" s="41"/>
      <c r="L584" s="39"/>
      <c r="M584" s="48" t="str">
        <f aca="false">IF($E584="","",IFERROR(INDEX(Parâmetros!$C$15:$C$20,MATCH($P584,Parâmetros!$B$15:$B$20,0)),""))</f>
        <v/>
      </c>
      <c r="N584" s="46" t="str">
        <f aca="false">IF($E584="","",IF($P584="","",IF($P584&gt;=8,"Alta",IF($P584&gt;=5,"Média","Baixa"))))</f>
        <v/>
      </c>
      <c r="O584" s="46" t="str">
        <f aca="false">IF($E584="","",IF(AND(Parâmetros!$C$5&gt;0,$P584&lt;&gt;"",$P584&gt;=Parâmetros!$C$5),"Sim","Não"))</f>
        <v/>
      </c>
      <c r="P584" s="45" t="str">
        <f aca="false">IF($E584="","",IF($G584="","",IF($G584="NOK",$F584,0)))</f>
        <v/>
      </c>
      <c r="Q584" s="46" t="str">
        <f aca="false">IF($E584="","",IF($O584&lt;&gt;"Sim","",COUNTIF($O$3:$O584,"Sim")))</f>
        <v/>
      </c>
      <c r="R584" s="47" t="n">
        <f aca="false">IF($P584="",0,$P584)</f>
        <v>0</v>
      </c>
    </row>
    <row r="585" customFormat="false" ht="18" hidden="false" customHeight="true" outlineLevel="0" collapsed="false">
      <c r="A585" s="39"/>
      <c r="B585" s="41"/>
      <c r="C585" s="40"/>
      <c r="D585" s="40"/>
      <c r="E585" s="40"/>
      <c r="F585" s="42"/>
      <c r="G585" s="39"/>
      <c r="H585" s="40"/>
      <c r="I585" s="40"/>
      <c r="J585" s="40"/>
      <c r="K585" s="41"/>
      <c r="L585" s="39"/>
      <c r="M585" s="48" t="str">
        <f aca="false">IF($E585="","",IFERROR(INDEX(Parâmetros!$C$15:$C$20,MATCH($P585,Parâmetros!$B$15:$B$20,0)),""))</f>
        <v/>
      </c>
      <c r="N585" s="46" t="str">
        <f aca="false">IF($E585="","",IF($P585="","",IF($P585&gt;=8,"Alta",IF($P585&gt;=5,"Média","Baixa"))))</f>
        <v/>
      </c>
      <c r="O585" s="46" t="str">
        <f aca="false">IF($E585="","",IF(AND(Parâmetros!$C$5&gt;0,$P585&lt;&gt;"",$P585&gt;=Parâmetros!$C$5),"Sim","Não"))</f>
        <v/>
      </c>
      <c r="P585" s="45" t="str">
        <f aca="false">IF($E585="","",IF($G585="","",IF($G585="NOK",$F585,0)))</f>
        <v/>
      </c>
      <c r="Q585" s="46" t="str">
        <f aca="false">IF($E585="","",IF($O585&lt;&gt;"Sim","",COUNTIF($O$3:$O585,"Sim")))</f>
        <v/>
      </c>
      <c r="R585" s="47" t="n">
        <f aca="false">IF($P585="",0,$P585)</f>
        <v>0</v>
      </c>
    </row>
    <row r="586" customFormat="false" ht="18" hidden="false" customHeight="true" outlineLevel="0" collapsed="false">
      <c r="A586" s="39"/>
      <c r="B586" s="41"/>
      <c r="C586" s="40"/>
      <c r="D586" s="40"/>
      <c r="E586" s="40"/>
      <c r="F586" s="42"/>
      <c r="G586" s="39"/>
      <c r="H586" s="40"/>
      <c r="I586" s="40"/>
      <c r="J586" s="40"/>
      <c r="K586" s="41"/>
      <c r="L586" s="39"/>
      <c r="M586" s="48" t="str">
        <f aca="false">IF($E586="","",IFERROR(INDEX(Parâmetros!$C$15:$C$20,MATCH($P586,Parâmetros!$B$15:$B$20,0)),""))</f>
        <v/>
      </c>
      <c r="N586" s="46" t="str">
        <f aca="false">IF($E586="","",IF($P586="","",IF($P586&gt;=8,"Alta",IF($P586&gt;=5,"Média","Baixa"))))</f>
        <v/>
      </c>
      <c r="O586" s="46" t="str">
        <f aca="false">IF($E586="","",IF(AND(Parâmetros!$C$5&gt;0,$P586&lt;&gt;"",$P586&gt;=Parâmetros!$C$5),"Sim","Não"))</f>
        <v/>
      </c>
      <c r="P586" s="45" t="str">
        <f aca="false">IF($E586="","",IF($G586="","",IF($G586="NOK",$F586,0)))</f>
        <v/>
      </c>
      <c r="Q586" s="46" t="str">
        <f aca="false">IF($E586="","",IF($O586&lt;&gt;"Sim","",COUNTIF($O$3:$O586,"Sim")))</f>
        <v/>
      </c>
      <c r="R586" s="47" t="n">
        <f aca="false">IF($P586="",0,$P586)</f>
        <v>0</v>
      </c>
    </row>
    <row r="587" customFormat="false" ht="18" hidden="false" customHeight="true" outlineLevel="0" collapsed="false">
      <c r="A587" s="39"/>
      <c r="B587" s="41"/>
      <c r="C587" s="40"/>
      <c r="D587" s="40"/>
      <c r="E587" s="40"/>
      <c r="F587" s="42"/>
      <c r="G587" s="39"/>
      <c r="H587" s="40"/>
      <c r="I587" s="40"/>
      <c r="J587" s="40"/>
      <c r="K587" s="41"/>
      <c r="L587" s="39"/>
      <c r="M587" s="48" t="str">
        <f aca="false">IF($E587="","",IFERROR(INDEX(Parâmetros!$C$15:$C$20,MATCH($P587,Parâmetros!$B$15:$B$20,0)),""))</f>
        <v/>
      </c>
      <c r="N587" s="46" t="str">
        <f aca="false">IF($E587="","",IF($P587="","",IF($P587&gt;=8,"Alta",IF($P587&gt;=5,"Média","Baixa"))))</f>
        <v/>
      </c>
      <c r="O587" s="46" t="str">
        <f aca="false">IF($E587="","",IF(AND(Parâmetros!$C$5&gt;0,$P587&lt;&gt;"",$P587&gt;=Parâmetros!$C$5),"Sim","Não"))</f>
        <v/>
      </c>
      <c r="P587" s="45" t="str">
        <f aca="false">IF($E587="","",IF($G587="","",IF($G587="NOK",$F587,0)))</f>
        <v/>
      </c>
      <c r="Q587" s="46" t="str">
        <f aca="false">IF($E587="","",IF($O587&lt;&gt;"Sim","",COUNTIF($O$3:$O587,"Sim")))</f>
        <v/>
      </c>
      <c r="R587" s="47" t="n">
        <f aca="false">IF($P587="",0,$P587)</f>
        <v>0</v>
      </c>
    </row>
    <row r="588" customFormat="false" ht="18" hidden="false" customHeight="true" outlineLevel="0" collapsed="false">
      <c r="A588" s="39"/>
      <c r="B588" s="41"/>
      <c r="C588" s="40"/>
      <c r="D588" s="40"/>
      <c r="E588" s="40"/>
      <c r="F588" s="42"/>
      <c r="G588" s="39"/>
      <c r="H588" s="40"/>
      <c r="I588" s="40"/>
      <c r="J588" s="40"/>
      <c r="K588" s="41"/>
      <c r="L588" s="39"/>
      <c r="M588" s="48" t="str">
        <f aca="false">IF($E588="","",IFERROR(INDEX(Parâmetros!$C$15:$C$20,MATCH($P588,Parâmetros!$B$15:$B$20,0)),""))</f>
        <v/>
      </c>
      <c r="N588" s="46" t="str">
        <f aca="false">IF($E588="","",IF($P588="","",IF($P588&gt;=8,"Alta",IF($P588&gt;=5,"Média","Baixa"))))</f>
        <v/>
      </c>
      <c r="O588" s="46" t="str">
        <f aca="false">IF($E588="","",IF(AND(Parâmetros!$C$5&gt;0,$P588&lt;&gt;"",$P588&gt;=Parâmetros!$C$5),"Sim","Não"))</f>
        <v/>
      </c>
      <c r="P588" s="45" t="str">
        <f aca="false">IF($E588="","",IF($G588="","",IF($G588="NOK",$F588,0)))</f>
        <v/>
      </c>
      <c r="Q588" s="46" t="str">
        <f aca="false">IF($E588="","",IF($O588&lt;&gt;"Sim","",COUNTIF($O$3:$O588,"Sim")))</f>
        <v/>
      </c>
      <c r="R588" s="47" t="n">
        <f aca="false">IF($P588="",0,$P588)</f>
        <v>0</v>
      </c>
    </row>
    <row r="589" customFormat="false" ht="18" hidden="false" customHeight="true" outlineLevel="0" collapsed="false">
      <c r="A589" s="39"/>
      <c r="B589" s="41"/>
      <c r="C589" s="40"/>
      <c r="D589" s="40"/>
      <c r="E589" s="40"/>
      <c r="F589" s="42"/>
      <c r="G589" s="39"/>
      <c r="H589" s="40"/>
      <c r="I589" s="40"/>
      <c r="J589" s="40"/>
      <c r="K589" s="41"/>
      <c r="L589" s="39"/>
      <c r="M589" s="48" t="str">
        <f aca="false">IF($E589="","",IFERROR(INDEX(Parâmetros!$C$15:$C$20,MATCH($P589,Parâmetros!$B$15:$B$20,0)),""))</f>
        <v/>
      </c>
      <c r="N589" s="46" t="str">
        <f aca="false">IF($E589="","",IF($P589="","",IF($P589&gt;=8,"Alta",IF($P589&gt;=5,"Média","Baixa"))))</f>
        <v/>
      </c>
      <c r="O589" s="46" t="str">
        <f aca="false">IF($E589="","",IF(AND(Parâmetros!$C$5&gt;0,$P589&lt;&gt;"",$P589&gt;=Parâmetros!$C$5),"Sim","Não"))</f>
        <v/>
      </c>
      <c r="P589" s="45" t="str">
        <f aca="false">IF($E589="","",IF($G589="","",IF($G589="NOK",$F589,0)))</f>
        <v/>
      </c>
      <c r="Q589" s="46" t="str">
        <f aca="false">IF($E589="","",IF($O589&lt;&gt;"Sim","",COUNTIF($O$3:$O589,"Sim")))</f>
        <v/>
      </c>
      <c r="R589" s="47" t="n">
        <f aca="false">IF($P589="",0,$P589)</f>
        <v>0</v>
      </c>
    </row>
    <row r="590" customFormat="false" ht="18" hidden="false" customHeight="true" outlineLevel="0" collapsed="false">
      <c r="A590" s="39"/>
      <c r="B590" s="41"/>
      <c r="C590" s="40"/>
      <c r="D590" s="40"/>
      <c r="E590" s="40"/>
      <c r="F590" s="42"/>
      <c r="G590" s="39"/>
      <c r="H590" s="40"/>
      <c r="I590" s="40"/>
      <c r="J590" s="40"/>
      <c r="K590" s="41"/>
      <c r="L590" s="39"/>
      <c r="M590" s="48" t="str">
        <f aca="false">IF($E590="","",IFERROR(INDEX(Parâmetros!$C$15:$C$20,MATCH($P590,Parâmetros!$B$15:$B$20,0)),""))</f>
        <v/>
      </c>
      <c r="N590" s="46" t="str">
        <f aca="false">IF($E590="","",IF($P590="","",IF($P590&gt;=8,"Alta",IF($P590&gt;=5,"Média","Baixa"))))</f>
        <v/>
      </c>
      <c r="O590" s="46" t="str">
        <f aca="false">IF($E590="","",IF(AND(Parâmetros!$C$5&gt;0,$P590&lt;&gt;"",$P590&gt;=Parâmetros!$C$5),"Sim","Não"))</f>
        <v/>
      </c>
      <c r="P590" s="45" t="str">
        <f aca="false">IF($E590="","",IF($G590="","",IF($G590="NOK",$F590,0)))</f>
        <v/>
      </c>
      <c r="Q590" s="46" t="str">
        <f aca="false">IF($E590="","",IF($O590&lt;&gt;"Sim","",COUNTIF($O$3:$O590,"Sim")))</f>
        <v/>
      </c>
      <c r="R590" s="47" t="n">
        <f aca="false">IF($P590="",0,$P590)</f>
        <v>0</v>
      </c>
    </row>
    <row r="591" customFormat="false" ht="18" hidden="false" customHeight="true" outlineLevel="0" collapsed="false">
      <c r="A591" s="39"/>
      <c r="B591" s="41"/>
      <c r="C591" s="40"/>
      <c r="D591" s="40"/>
      <c r="E591" s="40"/>
      <c r="F591" s="42"/>
      <c r="G591" s="39"/>
      <c r="H591" s="40"/>
      <c r="I591" s="40"/>
      <c r="J591" s="40"/>
      <c r="K591" s="41"/>
      <c r="L591" s="39"/>
      <c r="M591" s="48" t="str">
        <f aca="false">IF($E591="","",IFERROR(INDEX(Parâmetros!$C$15:$C$20,MATCH($P591,Parâmetros!$B$15:$B$20,0)),""))</f>
        <v/>
      </c>
      <c r="N591" s="46" t="str">
        <f aca="false">IF($E591="","",IF($P591="","",IF($P591&gt;=8,"Alta",IF($P591&gt;=5,"Média","Baixa"))))</f>
        <v/>
      </c>
      <c r="O591" s="46" t="str">
        <f aca="false">IF($E591="","",IF(AND(Parâmetros!$C$5&gt;0,$P591&lt;&gt;"",$P591&gt;=Parâmetros!$C$5),"Sim","Não"))</f>
        <v/>
      </c>
      <c r="P591" s="45" t="str">
        <f aca="false">IF($E591="","",IF($G591="","",IF($G591="NOK",$F591,0)))</f>
        <v/>
      </c>
      <c r="Q591" s="46" t="str">
        <f aca="false">IF($E591="","",IF($O591&lt;&gt;"Sim","",COUNTIF($O$3:$O591,"Sim")))</f>
        <v/>
      </c>
      <c r="R591" s="47" t="n">
        <f aca="false">IF($P591="",0,$P591)</f>
        <v>0</v>
      </c>
    </row>
    <row r="592" customFormat="false" ht="18" hidden="false" customHeight="true" outlineLevel="0" collapsed="false">
      <c r="A592" s="39"/>
      <c r="B592" s="41"/>
      <c r="C592" s="40"/>
      <c r="D592" s="40"/>
      <c r="E592" s="40"/>
      <c r="F592" s="42"/>
      <c r="G592" s="39"/>
      <c r="H592" s="40"/>
      <c r="I592" s="40"/>
      <c r="J592" s="40"/>
      <c r="K592" s="41"/>
      <c r="L592" s="39"/>
      <c r="M592" s="48" t="str">
        <f aca="false">IF($E592="","",IFERROR(INDEX(Parâmetros!$C$15:$C$20,MATCH($P592,Parâmetros!$B$15:$B$20,0)),""))</f>
        <v/>
      </c>
      <c r="N592" s="46" t="str">
        <f aca="false">IF($E592="","",IF($P592="","",IF($P592&gt;=8,"Alta",IF($P592&gt;=5,"Média","Baixa"))))</f>
        <v/>
      </c>
      <c r="O592" s="46" t="str">
        <f aca="false">IF($E592="","",IF(AND(Parâmetros!$C$5&gt;0,$P592&lt;&gt;"",$P592&gt;=Parâmetros!$C$5),"Sim","Não"))</f>
        <v/>
      </c>
      <c r="P592" s="45" t="str">
        <f aca="false">IF($E592="","",IF($G592="","",IF($G592="NOK",$F592,0)))</f>
        <v/>
      </c>
      <c r="Q592" s="46" t="str">
        <f aca="false">IF($E592="","",IF($O592&lt;&gt;"Sim","",COUNTIF($O$3:$O592,"Sim")))</f>
        <v/>
      </c>
      <c r="R592" s="47" t="n">
        <f aca="false">IF($P592="",0,$P592)</f>
        <v>0</v>
      </c>
    </row>
    <row r="593" customFormat="false" ht="18" hidden="false" customHeight="true" outlineLevel="0" collapsed="false">
      <c r="A593" s="39"/>
      <c r="B593" s="41"/>
      <c r="C593" s="40"/>
      <c r="D593" s="40"/>
      <c r="E593" s="40"/>
      <c r="F593" s="42"/>
      <c r="G593" s="39"/>
      <c r="H593" s="40"/>
      <c r="I593" s="40"/>
      <c r="J593" s="40"/>
      <c r="K593" s="41"/>
      <c r="L593" s="39"/>
      <c r="M593" s="48" t="str">
        <f aca="false">IF($E593="","",IFERROR(INDEX(Parâmetros!$C$15:$C$20,MATCH($P593,Parâmetros!$B$15:$B$20,0)),""))</f>
        <v/>
      </c>
      <c r="N593" s="46" t="str">
        <f aca="false">IF($E593="","",IF($P593="","",IF($P593&gt;=8,"Alta",IF($P593&gt;=5,"Média","Baixa"))))</f>
        <v/>
      </c>
      <c r="O593" s="46" t="str">
        <f aca="false">IF($E593="","",IF(AND(Parâmetros!$C$5&gt;0,$P593&lt;&gt;"",$P593&gt;=Parâmetros!$C$5),"Sim","Não"))</f>
        <v/>
      </c>
      <c r="P593" s="45" t="str">
        <f aca="false">IF($E593="","",IF($G593="","",IF($G593="NOK",$F593,0)))</f>
        <v/>
      </c>
      <c r="Q593" s="46" t="str">
        <f aca="false">IF($E593="","",IF($O593&lt;&gt;"Sim","",COUNTIF($O$3:$O593,"Sim")))</f>
        <v/>
      </c>
      <c r="R593" s="47" t="n">
        <f aca="false">IF($P593="",0,$P593)</f>
        <v>0</v>
      </c>
    </row>
    <row r="594" customFormat="false" ht="18" hidden="false" customHeight="true" outlineLevel="0" collapsed="false">
      <c r="A594" s="39"/>
      <c r="B594" s="41"/>
      <c r="C594" s="40"/>
      <c r="D594" s="40"/>
      <c r="E594" s="40"/>
      <c r="F594" s="42"/>
      <c r="G594" s="39"/>
      <c r="H594" s="40"/>
      <c r="I594" s="40"/>
      <c r="J594" s="40"/>
      <c r="K594" s="41"/>
      <c r="L594" s="39"/>
      <c r="M594" s="48" t="str">
        <f aca="false">IF($E594="","",IFERROR(INDEX(Parâmetros!$C$15:$C$20,MATCH($P594,Parâmetros!$B$15:$B$20,0)),""))</f>
        <v/>
      </c>
      <c r="N594" s="46" t="str">
        <f aca="false">IF($E594="","",IF($P594="","",IF($P594&gt;=8,"Alta",IF($P594&gt;=5,"Média","Baixa"))))</f>
        <v/>
      </c>
      <c r="O594" s="46" t="str">
        <f aca="false">IF($E594="","",IF(AND(Parâmetros!$C$5&gt;0,$P594&lt;&gt;"",$P594&gt;=Parâmetros!$C$5),"Sim","Não"))</f>
        <v/>
      </c>
      <c r="P594" s="45" t="str">
        <f aca="false">IF($E594="","",IF($G594="","",IF($G594="NOK",$F594,0)))</f>
        <v/>
      </c>
      <c r="Q594" s="46" t="str">
        <f aca="false">IF($E594="","",IF($O594&lt;&gt;"Sim","",COUNTIF($O$3:$O594,"Sim")))</f>
        <v/>
      </c>
      <c r="R594" s="47" t="n">
        <f aca="false">IF($P594="",0,$P594)</f>
        <v>0</v>
      </c>
    </row>
    <row r="595" customFormat="false" ht="18" hidden="false" customHeight="true" outlineLevel="0" collapsed="false">
      <c r="A595" s="39"/>
      <c r="B595" s="41"/>
      <c r="C595" s="40"/>
      <c r="D595" s="40"/>
      <c r="E595" s="40"/>
      <c r="F595" s="42"/>
      <c r="G595" s="39"/>
      <c r="H595" s="40"/>
      <c r="I595" s="40"/>
      <c r="J595" s="40"/>
      <c r="K595" s="41"/>
      <c r="L595" s="39"/>
      <c r="M595" s="48" t="str">
        <f aca="false">IF($E595="","",IFERROR(INDEX(Parâmetros!$C$15:$C$20,MATCH($P595,Parâmetros!$B$15:$B$20,0)),""))</f>
        <v/>
      </c>
      <c r="N595" s="46" t="str">
        <f aca="false">IF($E595="","",IF($P595="","",IF($P595&gt;=8,"Alta",IF($P595&gt;=5,"Média","Baixa"))))</f>
        <v/>
      </c>
      <c r="O595" s="46" t="str">
        <f aca="false">IF($E595="","",IF(AND(Parâmetros!$C$5&gt;0,$P595&lt;&gt;"",$P595&gt;=Parâmetros!$C$5),"Sim","Não"))</f>
        <v/>
      </c>
      <c r="P595" s="45" t="str">
        <f aca="false">IF($E595="","",IF($G595="","",IF($G595="NOK",$F595,0)))</f>
        <v/>
      </c>
      <c r="Q595" s="46" t="str">
        <f aca="false">IF($E595="","",IF($O595&lt;&gt;"Sim","",COUNTIF($O$3:$O595,"Sim")))</f>
        <v/>
      </c>
      <c r="R595" s="47" t="n">
        <f aca="false">IF($P595="",0,$P595)</f>
        <v>0</v>
      </c>
    </row>
    <row r="596" customFormat="false" ht="18" hidden="false" customHeight="true" outlineLevel="0" collapsed="false">
      <c r="A596" s="39"/>
      <c r="B596" s="41"/>
      <c r="C596" s="40"/>
      <c r="D596" s="40"/>
      <c r="E596" s="40"/>
      <c r="F596" s="42"/>
      <c r="G596" s="39"/>
      <c r="H596" s="40"/>
      <c r="I596" s="40"/>
      <c r="J596" s="40"/>
      <c r="K596" s="41"/>
      <c r="L596" s="39"/>
      <c r="M596" s="48" t="str">
        <f aca="false">IF($E596="","",IFERROR(INDEX(Parâmetros!$C$15:$C$20,MATCH($P596,Parâmetros!$B$15:$B$20,0)),""))</f>
        <v/>
      </c>
      <c r="N596" s="46" t="str">
        <f aca="false">IF($E596="","",IF($P596="","",IF($P596&gt;=8,"Alta",IF($P596&gt;=5,"Média","Baixa"))))</f>
        <v/>
      </c>
      <c r="O596" s="46" t="str">
        <f aca="false">IF($E596="","",IF(AND(Parâmetros!$C$5&gt;0,$P596&lt;&gt;"",$P596&gt;=Parâmetros!$C$5),"Sim","Não"))</f>
        <v/>
      </c>
      <c r="P596" s="45" t="str">
        <f aca="false">IF($E596="","",IF($G596="","",IF($G596="NOK",$F596,0)))</f>
        <v/>
      </c>
      <c r="Q596" s="46" t="str">
        <f aca="false">IF($E596="","",IF($O596&lt;&gt;"Sim","",COUNTIF($O$3:$O596,"Sim")))</f>
        <v/>
      </c>
      <c r="R596" s="47" t="n">
        <f aca="false">IF($P596="",0,$P596)</f>
        <v>0</v>
      </c>
    </row>
    <row r="597" customFormat="false" ht="18" hidden="false" customHeight="true" outlineLevel="0" collapsed="false">
      <c r="A597" s="39"/>
      <c r="B597" s="41"/>
      <c r="C597" s="40"/>
      <c r="D597" s="40"/>
      <c r="E597" s="40"/>
      <c r="F597" s="42"/>
      <c r="G597" s="39"/>
      <c r="H597" s="40"/>
      <c r="I597" s="40"/>
      <c r="J597" s="40"/>
      <c r="K597" s="41"/>
      <c r="L597" s="39"/>
      <c r="M597" s="48" t="str">
        <f aca="false">IF($E597="","",IFERROR(INDEX(Parâmetros!$C$15:$C$20,MATCH($P597,Parâmetros!$B$15:$B$20,0)),""))</f>
        <v/>
      </c>
      <c r="N597" s="46" t="str">
        <f aca="false">IF($E597="","",IF($P597="","",IF($P597&gt;=8,"Alta",IF($P597&gt;=5,"Média","Baixa"))))</f>
        <v/>
      </c>
      <c r="O597" s="46" t="str">
        <f aca="false">IF($E597="","",IF(AND(Parâmetros!$C$5&gt;0,$P597&lt;&gt;"",$P597&gt;=Parâmetros!$C$5),"Sim","Não"))</f>
        <v/>
      </c>
      <c r="P597" s="45" t="str">
        <f aca="false">IF($E597="","",IF($G597="","",IF($G597="NOK",$F597,0)))</f>
        <v/>
      </c>
      <c r="Q597" s="46" t="str">
        <f aca="false">IF($E597="","",IF($O597&lt;&gt;"Sim","",COUNTIF($O$3:$O597,"Sim")))</f>
        <v/>
      </c>
      <c r="R597" s="47" t="n">
        <f aca="false">IF($P597="",0,$P597)</f>
        <v>0</v>
      </c>
    </row>
    <row r="598" customFormat="false" ht="18" hidden="false" customHeight="true" outlineLevel="0" collapsed="false">
      <c r="A598" s="39"/>
      <c r="B598" s="41"/>
      <c r="C598" s="40"/>
      <c r="D598" s="40"/>
      <c r="E598" s="40"/>
      <c r="F598" s="42"/>
      <c r="G598" s="39"/>
      <c r="H598" s="40"/>
      <c r="I598" s="40"/>
      <c r="J598" s="40"/>
      <c r="K598" s="41"/>
      <c r="L598" s="39"/>
      <c r="M598" s="48" t="str">
        <f aca="false">IF($E598="","",IFERROR(INDEX(Parâmetros!$C$15:$C$20,MATCH($P598,Parâmetros!$B$15:$B$20,0)),""))</f>
        <v/>
      </c>
      <c r="N598" s="46" t="str">
        <f aca="false">IF($E598="","",IF($P598="","",IF($P598&gt;=8,"Alta",IF($P598&gt;=5,"Média","Baixa"))))</f>
        <v/>
      </c>
      <c r="O598" s="46" t="str">
        <f aca="false">IF($E598="","",IF(AND(Parâmetros!$C$5&gt;0,$P598&lt;&gt;"",$P598&gt;=Parâmetros!$C$5),"Sim","Não"))</f>
        <v/>
      </c>
      <c r="P598" s="45" t="str">
        <f aca="false">IF($E598="","",IF($G598="","",IF($G598="NOK",$F598,0)))</f>
        <v/>
      </c>
      <c r="Q598" s="46" t="str">
        <f aca="false">IF($E598="","",IF($O598&lt;&gt;"Sim","",COUNTIF($O$3:$O598,"Sim")))</f>
        <v/>
      </c>
      <c r="R598" s="47" t="n">
        <f aca="false">IF($P598="",0,$P598)</f>
        <v>0</v>
      </c>
    </row>
    <row r="599" customFormat="false" ht="18" hidden="false" customHeight="true" outlineLevel="0" collapsed="false">
      <c r="A599" s="39"/>
      <c r="B599" s="41"/>
      <c r="C599" s="40"/>
      <c r="D599" s="40"/>
      <c r="E599" s="40"/>
      <c r="F599" s="42"/>
      <c r="G599" s="39"/>
      <c r="H599" s="40"/>
      <c r="I599" s="40"/>
      <c r="J599" s="40"/>
      <c r="K599" s="41"/>
      <c r="L599" s="39"/>
      <c r="M599" s="48" t="str">
        <f aca="false">IF($E599="","",IFERROR(INDEX(Parâmetros!$C$15:$C$20,MATCH($P599,Parâmetros!$B$15:$B$20,0)),""))</f>
        <v/>
      </c>
      <c r="N599" s="46" t="str">
        <f aca="false">IF($E599="","",IF($P599="","",IF($P599&gt;=8,"Alta",IF($P599&gt;=5,"Média","Baixa"))))</f>
        <v/>
      </c>
      <c r="O599" s="46" t="str">
        <f aca="false">IF($E599="","",IF(AND(Parâmetros!$C$5&gt;0,$P599&lt;&gt;"",$P599&gt;=Parâmetros!$C$5),"Sim","Não"))</f>
        <v/>
      </c>
      <c r="P599" s="45" t="str">
        <f aca="false">IF($E599="","",IF($G599="","",IF($G599="NOK",$F599,0)))</f>
        <v/>
      </c>
      <c r="Q599" s="46" t="str">
        <f aca="false">IF($E599="","",IF($O599&lt;&gt;"Sim","",COUNTIF($O$3:$O599,"Sim")))</f>
        <v/>
      </c>
      <c r="R599" s="47" t="n">
        <f aca="false">IF($P599="",0,$P599)</f>
        <v>0</v>
      </c>
    </row>
    <row r="600" customFormat="false" ht="18" hidden="false" customHeight="true" outlineLevel="0" collapsed="false">
      <c r="A600" s="39"/>
      <c r="B600" s="41"/>
      <c r="C600" s="40"/>
      <c r="D600" s="40"/>
      <c r="E600" s="40"/>
      <c r="F600" s="42"/>
      <c r="G600" s="39"/>
      <c r="H600" s="40"/>
      <c r="I600" s="40"/>
      <c r="J600" s="40"/>
      <c r="K600" s="41"/>
      <c r="L600" s="39"/>
      <c r="M600" s="48" t="str">
        <f aca="false">IF($E600="","",IFERROR(INDEX(Parâmetros!$C$15:$C$20,MATCH($P600,Parâmetros!$B$15:$B$20,0)),""))</f>
        <v/>
      </c>
      <c r="N600" s="46" t="str">
        <f aca="false">IF($E600="","",IF($P600="","",IF($P600&gt;=8,"Alta",IF($P600&gt;=5,"Média","Baixa"))))</f>
        <v/>
      </c>
      <c r="O600" s="46" t="str">
        <f aca="false">IF($E600="","",IF(AND(Parâmetros!$C$5&gt;0,$P600&lt;&gt;"",$P600&gt;=Parâmetros!$C$5),"Sim","Não"))</f>
        <v/>
      </c>
      <c r="P600" s="45" t="str">
        <f aca="false">IF($E600="","",IF($G600="","",IF($G600="NOK",$F600,0)))</f>
        <v/>
      </c>
      <c r="Q600" s="46" t="str">
        <f aca="false">IF($E600="","",IF($O600&lt;&gt;"Sim","",COUNTIF($O$3:$O600,"Sim")))</f>
        <v/>
      </c>
      <c r="R600" s="47" t="n">
        <f aca="false">IF($P600="",0,$P600)</f>
        <v>0</v>
      </c>
    </row>
    <row r="601" customFormat="false" ht="18" hidden="false" customHeight="true" outlineLevel="0" collapsed="false">
      <c r="A601" s="39"/>
      <c r="B601" s="41"/>
      <c r="C601" s="40"/>
      <c r="D601" s="40"/>
      <c r="E601" s="40"/>
      <c r="F601" s="42"/>
      <c r="G601" s="39"/>
      <c r="H601" s="40"/>
      <c r="I601" s="40"/>
      <c r="J601" s="40"/>
      <c r="K601" s="41"/>
      <c r="L601" s="39"/>
      <c r="M601" s="48" t="str">
        <f aca="false">IF($E601="","",IFERROR(INDEX(Parâmetros!$C$15:$C$20,MATCH($P601,Parâmetros!$B$15:$B$20,0)),""))</f>
        <v/>
      </c>
      <c r="N601" s="46" t="str">
        <f aca="false">IF($E601="","",IF($P601="","",IF($P601&gt;=8,"Alta",IF($P601&gt;=5,"Média","Baixa"))))</f>
        <v/>
      </c>
      <c r="O601" s="46" t="str">
        <f aca="false">IF($E601="","",IF(AND(Parâmetros!$C$5&gt;0,$P601&lt;&gt;"",$P601&gt;=Parâmetros!$C$5),"Sim","Não"))</f>
        <v/>
      </c>
      <c r="P601" s="45" t="str">
        <f aca="false">IF($E601="","",IF($G601="","",IF($G601="NOK",$F601,0)))</f>
        <v/>
      </c>
      <c r="Q601" s="46" t="str">
        <f aca="false">IF($E601="","",IF($O601&lt;&gt;"Sim","",COUNTIF($O$3:$O601,"Sim")))</f>
        <v/>
      </c>
      <c r="R601" s="47" t="n">
        <f aca="false">IF($P601="",0,$P601)</f>
        <v>0</v>
      </c>
    </row>
    <row r="602" customFormat="false" ht="18" hidden="false" customHeight="true" outlineLevel="0" collapsed="false">
      <c r="A602" s="39"/>
      <c r="B602" s="41"/>
      <c r="C602" s="40"/>
      <c r="D602" s="40"/>
      <c r="E602" s="40"/>
      <c r="F602" s="42"/>
      <c r="G602" s="39"/>
      <c r="H602" s="40"/>
      <c r="I602" s="40"/>
      <c r="J602" s="40"/>
      <c r="K602" s="41"/>
      <c r="L602" s="39"/>
      <c r="M602" s="48" t="str">
        <f aca="false">IF($E602="","",IFERROR(INDEX(Parâmetros!$C$15:$C$20,MATCH($P602,Parâmetros!$B$15:$B$20,0)),""))</f>
        <v/>
      </c>
      <c r="N602" s="46" t="str">
        <f aca="false">IF($E602="","",IF($P602="","",IF($P602&gt;=8,"Alta",IF($P602&gt;=5,"Média","Baixa"))))</f>
        <v/>
      </c>
      <c r="O602" s="46" t="str">
        <f aca="false">IF($E602="","",IF(AND(Parâmetros!$C$5&gt;0,$P602&lt;&gt;"",$P602&gt;=Parâmetros!$C$5),"Sim","Não"))</f>
        <v/>
      </c>
      <c r="P602" s="45" t="str">
        <f aca="false">IF($E602="","",IF($G602="","",IF($G602="NOK",$F602,0)))</f>
        <v/>
      </c>
      <c r="Q602" s="46" t="str">
        <f aca="false">IF($E602="","",IF($O602&lt;&gt;"Sim","",COUNTIF($O$3:$O602,"Sim")))</f>
        <v/>
      </c>
      <c r="R602" s="47" t="n">
        <f aca="false">IF($P602="",0,$P602)</f>
        <v>0</v>
      </c>
    </row>
    <row r="603" customFormat="false" ht="18" hidden="false" customHeight="true" outlineLevel="0" collapsed="false">
      <c r="A603" s="39"/>
      <c r="B603" s="41"/>
      <c r="C603" s="40"/>
      <c r="D603" s="40"/>
      <c r="E603" s="40"/>
      <c r="F603" s="42"/>
      <c r="G603" s="39"/>
      <c r="H603" s="40"/>
      <c r="I603" s="40"/>
      <c r="J603" s="40"/>
      <c r="K603" s="41"/>
      <c r="L603" s="39"/>
      <c r="M603" s="48" t="str">
        <f aca="false">IF($E603="","",IFERROR(INDEX(Parâmetros!$C$15:$C$20,MATCH($P603,Parâmetros!$B$15:$B$20,0)),""))</f>
        <v/>
      </c>
      <c r="N603" s="46" t="str">
        <f aca="false">IF($E603="","",IF($P603="","",IF($P603&gt;=8,"Alta",IF($P603&gt;=5,"Média","Baixa"))))</f>
        <v/>
      </c>
      <c r="O603" s="46" t="str">
        <f aca="false">IF($E603="","",IF(AND(Parâmetros!$C$5&gt;0,$P603&lt;&gt;"",$P603&gt;=Parâmetros!$C$5),"Sim","Não"))</f>
        <v/>
      </c>
      <c r="P603" s="45" t="str">
        <f aca="false">IF($E603="","",IF($G603="","",IF($G603="NOK",$F603,0)))</f>
        <v/>
      </c>
      <c r="Q603" s="46" t="str">
        <f aca="false">IF($E603="","",IF($O603&lt;&gt;"Sim","",COUNTIF($O$3:$O603,"Sim")))</f>
        <v/>
      </c>
      <c r="R603" s="47" t="n">
        <f aca="false">IF($P603="",0,$P603)</f>
        <v>0</v>
      </c>
    </row>
    <row r="604" customFormat="false" ht="18" hidden="false" customHeight="true" outlineLevel="0" collapsed="false">
      <c r="A604" s="39"/>
      <c r="B604" s="41"/>
      <c r="C604" s="40"/>
      <c r="D604" s="40"/>
      <c r="E604" s="40"/>
      <c r="F604" s="42"/>
      <c r="G604" s="39"/>
      <c r="H604" s="40"/>
      <c r="I604" s="40"/>
      <c r="J604" s="40"/>
      <c r="K604" s="41"/>
      <c r="L604" s="39"/>
      <c r="M604" s="48" t="str">
        <f aca="false">IF($E604="","",IFERROR(INDEX(Parâmetros!$C$15:$C$20,MATCH($P604,Parâmetros!$B$15:$B$20,0)),""))</f>
        <v/>
      </c>
      <c r="N604" s="46" t="str">
        <f aca="false">IF($E604="","",IF($P604="","",IF($P604&gt;=8,"Alta",IF($P604&gt;=5,"Média","Baixa"))))</f>
        <v/>
      </c>
      <c r="O604" s="46" t="str">
        <f aca="false">IF($E604="","",IF(AND(Parâmetros!$C$5&gt;0,$P604&lt;&gt;"",$P604&gt;=Parâmetros!$C$5),"Sim","Não"))</f>
        <v/>
      </c>
      <c r="P604" s="45" t="str">
        <f aca="false">IF($E604="","",IF($G604="","",IF($G604="NOK",$F604,0)))</f>
        <v/>
      </c>
      <c r="Q604" s="46" t="str">
        <f aca="false">IF($E604="","",IF($O604&lt;&gt;"Sim","",COUNTIF($O$3:$O604,"Sim")))</f>
        <v/>
      </c>
      <c r="R604" s="47" t="n">
        <f aca="false">IF($P604="",0,$P604)</f>
        <v>0</v>
      </c>
    </row>
    <row r="605" customFormat="false" ht="18" hidden="false" customHeight="true" outlineLevel="0" collapsed="false">
      <c r="A605" s="39"/>
      <c r="B605" s="41"/>
      <c r="C605" s="40"/>
      <c r="D605" s="40"/>
      <c r="E605" s="40"/>
      <c r="F605" s="42"/>
      <c r="G605" s="39"/>
      <c r="H605" s="40"/>
      <c r="I605" s="40"/>
      <c r="J605" s="40"/>
      <c r="K605" s="41"/>
      <c r="L605" s="39"/>
      <c r="M605" s="48" t="str">
        <f aca="false">IF($E605="","",IFERROR(INDEX(Parâmetros!$C$15:$C$20,MATCH($P605,Parâmetros!$B$15:$B$20,0)),""))</f>
        <v/>
      </c>
      <c r="N605" s="46" t="str">
        <f aca="false">IF($E605="","",IF($P605="","",IF($P605&gt;=8,"Alta",IF($P605&gt;=5,"Média","Baixa"))))</f>
        <v/>
      </c>
      <c r="O605" s="46" t="str">
        <f aca="false">IF($E605="","",IF(AND(Parâmetros!$C$5&gt;0,$P605&lt;&gt;"",$P605&gt;=Parâmetros!$C$5),"Sim","Não"))</f>
        <v/>
      </c>
      <c r="P605" s="45" t="str">
        <f aca="false">IF($E605="","",IF($G605="","",IF($G605="NOK",$F605,0)))</f>
        <v/>
      </c>
      <c r="Q605" s="46" t="str">
        <f aca="false">IF($E605="","",IF($O605&lt;&gt;"Sim","",COUNTIF($O$3:$O605,"Sim")))</f>
        <v/>
      </c>
      <c r="R605" s="47" t="n">
        <f aca="false">IF($P605="",0,$P605)</f>
        <v>0</v>
      </c>
    </row>
    <row r="606" customFormat="false" ht="18" hidden="false" customHeight="true" outlineLevel="0" collapsed="false">
      <c r="A606" s="39"/>
      <c r="B606" s="41"/>
      <c r="C606" s="40"/>
      <c r="D606" s="40"/>
      <c r="E606" s="40"/>
      <c r="F606" s="42"/>
      <c r="G606" s="39"/>
      <c r="H606" s="40"/>
      <c r="I606" s="40"/>
      <c r="J606" s="40"/>
      <c r="K606" s="41"/>
      <c r="L606" s="39"/>
      <c r="M606" s="48" t="str">
        <f aca="false">IF($E606="","",IFERROR(INDEX(Parâmetros!$C$15:$C$20,MATCH($P606,Parâmetros!$B$15:$B$20,0)),""))</f>
        <v/>
      </c>
      <c r="N606" s="46" t="str">
        <f aca="false">IF($E606="","",IF($P606="","",IF($P606&gt;=8,"Alta",IF($P606&gt;=5,"Média","Baixa"))))</f>
        <v/>
      </c>
      <c r="O606" s="46" t="str">
        <f aca="false">IF($E606="","",IF(AND(Parâmetros!$C$5&gt;0,$P606&lt;&gt;"",$P606&gt;=Parâmetros!$C$5),"Sim","Não"))</f>
        <v/>
      </c>
      <c r="P606" s="45" t="str">
        <f aca="false">IF($E606="","",IF($G606="","",IF($G606="NOK",$F606,0)))</f>
        <v/>
      </c>
      <c r="Q606" s="46" t="str">
        <f aca="false">IF($E606="","",IF($O606&lt;&gt;"Sim","",COUNTIF($O$3:$O606,"Sim")))</f>
        <v/>
      </c>
      <c r="R606" s="47" t="n">
        <f aca="false">IF($P606="",0,$P606)</f>
        <v>0</v>
      </c>
    </row>
    <row r="607" customFormat="false" ht="18" hidden="false" customHeight="true" outlineLevel="0" collapsed="false">
      <c r="A607" s="39"/>
      <c r="B607" s="41"/>
      <c r="C607" s="40"/>
      <c r="D607" s="40"/>
      <c r="E607" s="40"/>
      <c r="F607" s="42"/>
      <c r="G607" s="39"/>
      <c r="H607" s="40"/>
      <c r="I607" s="40"/>
      <c r="J607" s="40"/>
      <c r="K607" s="41"/>
      <c r="L607" s="39"/>
      <c r="M607" s="48" t="str">
        <f aca="false">IF($E607="","",IFERROR(INDEX(Parâmetros!$C$15:$C$20,MATCH($P607,Parâmetros!$B$15:$B$20,0)),""))</f>
        <v/>
      </c>
      <c r="N607" s="46" t="str">
        <f aca="false">IF($E607="","",IF($P607="","",IF($P607&gt;=8,"Alta",IF($P607&gt;=5,"Média","Baixa"))))</f>
        <v/>
      </c>
      <c r="O607" s="46" t="str">
        <f aca="false">IF($E607="","",IF(AND(Parâmetros!$C$5&gt;0,$P607&lt;&gt;"",$P607&gt;=Parâmetros!$C$5),"Sim","Não"))</f>
        <v/>
      </c>
      <c r="P607" s="45" t="str">
        <f aca="false">IF($E607="","",IF($G607="","",IF($G607="NOK",$F607,0)))</f>
        <v/>
      </c>
      <c r="Q607" s="46" t="str">
        <f aca="false">IF($E607="","",IF($O607&lt;&gt;"Sim","",COUNTIF($O$3:$O607,"Sim")))</f>
        <v/>
      </c>
      <c r="R607" s="47" t="n">
        <f aca="false">IF($P607="",0,$P607)</f>
        <v>0</v>
      </c>
    </row>
    <row r="608" customFormat="false" ht="18" hidden="false" customHeight="true" outlineLevel="0" collapsed="false">
      <c r="A608" s="39"/>
      <c r="B608" s="41"/>
      <c r="C608" s="40"/>
      <c r="D608" s="40"/>
      <c r="E608" s="40"/>
      <c r="F608" s="42"/>
      <c r="G608" s="39"/>
      <c r="H608" s="40"/>
      <c r="I608" s="40"/>
      <c r="J608" s="40"/>
      <c r="K608" s="41"/>
      <c r="L608" s="39"/>
      <c r="M608" s="48" t="str">
        <f aca="false">IF($E608="","",IFERROR(INDEX(Parâmetros!$C$15:$C$20,MATCH($P608,Parâmetros!$B$15:$B$20,0)),""))</f>
        <v/>
      </c>
      <c r="N608" s="46" t="str">
        <f aca="false">IF($E608="","",IF($P608="","",IF($P608&gt;=8,"Alta",IF($P608&gt;=5,"Média","Baixa"))))</f>
        <v/>
      </c>
      <c r="O608" s="46" t="str">
        <f aca="false">IF($E608="","",IF(AND(Parâmetros!$C$5&gt;0,$P608&lt;&gt;"",$P608&gt;=Parâmetros!$C$5),"Sim","Não"))</f>
        <v/>
      </c>
      <c r="P608" s="45" t="str">
        <f aca="false">IF($E608="","",IF($G608="","",IF($G608="NOK",$F608,0)))</f>
        <v/>
      </c>
      <c r="Q608" s="46" t="str">
        <f aca="false">IF($E608="","",IF($O608&lt;&gt;"Sim","",COUNTIF($O$3:$O608,"Sim")))</f>
        <v/>
      </c>
      <c r="R608" s="47" t="n">
        <f aca="false">IF($P608="",0,$P608)</f>
        <v>0</v>
      </c>
    </row>
    <row r="609" customFormat="false" ht="18" hidden="false" customHeight="true" outlineLevel="0" collapsed="false">
      <c r="A609" s="39"/>
      <c r="B609" s="41"/>
      <c r="C609" s="40"/>
      <c r="D609" s="40"/>
      <c r="E609" s="40"/>
      <c r="F609" s="42"/>
      <c r="G609" s="39"/>
      <c r="H609" s="40"/>
      <c r="I609" s="40"/>
      <c r="J609" s="40"/>
      <c r="K609" s="41"/>
      <c r="L609" s="39"/>
      <c r="M609" s="48" t="str">
        <f aca="false">IF($E609="","",IFERROR(INDEX(Parâmetros!$C$15:$C$20,MATCH($P609,Parâmetros!$B$15:$B$20,0)),""))</f>
        <v/>
      </c>
      <c r="N609" s="46" t="str">
        <f aca="false">IF($E609="","",IF($P609="","",IF($P609&gt;=8,"Alta",IF($P609&gt;=5,"Média","Baixa"))))</f>
        <v/>
      </c>
      <c r="O609" s="46" t="str">
        <f aca="false">IF($E609="","",IF(AND(Parâmetros!$C$5&gt;0,$P609&lt;&gt;"",$P609&gt;=Parâmetros!$C$5),"Sim","Não"))</f>
        <v/>
      </c>
      <c r="P609" s="45" t="str">
        <f aca="false">IF($E609="","",IF($G609="","",IF($G609="NOK",$F609,0)))</f>
        <v/>
      </c>
      <c r="Q609" s="46" t="str">
        <f aca="false">IF($E609="","",IF($O609&lt;&gt;"Sim","",COUNTIF($O$3:$O609,"Sim")))</f>
        <v/>
      </c>
      <c r="R609" s="47" t="n">
        <f aca="false">IF($P609="",0,$P609)</f>
        <v>0</v>
      </c>
    </row>
    <row r="610" customFormat="false" ht="18" hidden="false" customHeight="true" outlineLevel="0" collapsed="false">
      <c r="A610" s="39"/>
      <c r="B610" s="41"/>
      <c r="C610" s="40"/>
      <c r="D610" s="40"/>
      <c r="E610" s="40"/>
      <c r="F610" s="42"/>
      <c r="G610" s="39"/>
      <c r="H610" s="40"/>
      <c r="I610" s="40"/>
      <c r="J610" s="40"/>
      <c r="K610" s="41"/>
      <c r="L610" s="39"/>
      <c r="M610" s="48" t="str">
        <f aca="false">IF($E610="","",IFERROR(INDEX(Parâmetros!$C$15:$C$20,MATCH($P610,Parâmetros!$B$15:$B$20,0)),""))</f>
        <v/>
      </c>
      <c r="N610" s="46" t="str">
        <f aca="false">IF($E610="","",IF($P610="","",IF($P610&gt;=8,"Alta",IF($P610&gt;=5,"Média","Baixa"))))</f>
        <v/>
      </c>
      <c r="O610" s="46" t="str">
        <f aca="false">IF($E610="","",IF(AND(Parâmetros!$C$5&gt;0,$P610&lt;&gt;"",$P610&gt;=Parâmetros!$C$5),"Sim","Não"))</f>
        <v/>
      </c>
      <c r="P610" s="45" t="str">
        <f aca="false">IF($E610="","",IF($G610="","",IF($G610="NOK",$F610,0)))</f>
        <v/>
      </c>
      <c r="Q610" s="46" t="str">
        <f aca="false">IF($E610="","",IF($O610&lt;&gt;"Sim","",COUNTIF($O$3:$O610,"Sim")))</f>
        <v/>
      </c>
      <c r="R610" s="47" t="n">
        <f aca="false">IF($P610="",0,$P610)</f>
        <v>0</v>
      </c>
    </row>
    <row r="611" customFormat="false" ht="18" hidden="false" customHeight="true" outlineLevel="0" collapsed="false">
      <c r="A611" s="39"/>
      <c r="B611" s="41"/>
      <c r="C611" s="40"/>
      <c r="D611" s="40"/>
      <c r="E611" s="40"/>
      <c r="F611" s="42"/>
      <c r="G611" s="39"/>
      <c r="H611" s="40"/>
      <c r="I611" s="40"/>
      <c r="J611" s="40"/>
      <c r="K611" s="41"/>
      <c r="L611" s="39"/>
      <c r="M611" s="48" t="str">
        <f aca="false">IF($E611="","",IFERROR(INDEX(Parâmetros!$C$15:$C$20,MATCH($P611,Parâmetros!$B$15:$B$20,0)),""))</f>
        <v/>
      </c>
      <c r="N611" s="46" t="str">
        <f aca="false">IF($E611="","",IF($P611="","",IF($P611&gt;=8,"Alta",IF($P611&gt;=5,"Média","Baixa"))))</f>
        <v/>
      </c>
      <c r="O611" s="46" t="str">
        <f aca="false">IF($E611="","",IF(AND(Parâmetros!$C$5&gt;0,$P611&lt;&gt;"",$P611&gt;=Parâmetros!$C$5),"Sim","Não"))</f>
        <v/>
      </c>
      <c r="P611" s="45" t="str">
        <f aca="false">IF($E611="","",IF($G611="","",IF($G611="NOK",$F611,0)))</f>
        <v/>
      </c>
      <c r="Q611" s="46" t="str">
        <f aca="false">IF($E611="","",IF($O611&lt;&gt;"Sim","",COUNTIF($O$3:$O611,"Sim")))</f>
        <v/>
      </c>
      <c r="R611" s="47" t="n">
        <f aca="false">IF($P611="",0,$P611)</f>
        <v>0</v>
      </c>
    </row>
    <row r="612" customFormat="false" ht="18" hidden="false" customHeight="true" outlineLevel="0" collapsed="false">
      <c r="A612" s="39"/>
      <c r="B612" s="41"/>
      <c r="C612" s="40"/>
      <c r="D612" s="40"/>
      <c r="E612" s="40"/>
      <c r="F612" s="42"/>
      <c r="G612" s="39"/>
      <c r="H612" s="40"/>
      <c r="I612" s="40"/>
      <c r="J612" s="40"/>
      <c r="K612" s="41"/>
      <c r="L612" s="39"/>
      <c r="M612" s="48" t="str">
        <f aca="false">IF($E612="","",IFERROR(INDEX(Parâmetros!$C$15:$C$20,MATCH($P612,Parâmetros!$B$15:$B$20,0)),""))</f>
        <v/>
      </c>
      <c r="N612" s="46" t="str">
        <f aca="false">IF($E612="","",IF($P612="","",IF($P612&gt;=8,"Alta",IF($P612&gt;=5,"Média","Baixa"))))</f>
        <v/>
      </c>
      <c r="O612" s="46" t="str">
        <f aca="false">IF($E612="","",IF(AND(Parâmetros!$C$5&gt;0,$P612&lt;&gt;"",$P612&gt;=Parâmetros!$C$5),"Sim","Não"))</f>
        <v/>
      </c>
      <c r="P612" s="45" t="str">
        <f aca="false">IF($E612="","",IF($G612="","",IF($G612="NOK",$F612,0)))</f>
        <v/>
      </c>
      <c r="Q612" s="46" t="str">
        <f aca="false">IF($E612="","",IF($O612&lt;&gt;"Sim","",COUNTIF($O$3:$O612,"Sim")))</f>
        <v/>
      </c>
      <c r="R612" s="47" t="n">
        <f aca="false">IF($P612="",0,$P612)</f>
        <v>0</v>
      </c>
    </row>
    <row r="613" customFormat="false" ht="18" hidden="false" customHeight="true" outlineLevel="0" collapsed="false">
      <c r="A613" s="39"/>
      <c r="B613" s="41"/>
      <c r="C613" s="40"/>
      <c r="D613" s="40"/>
      <c r="E613" s="40"/>
      <c r="F613" s="42"/>
      <c r="G613" s="39"/>
      <c r="H613" s="40"/>
      <c r="I613" s="40"/>
      <c r="J613" s="40"/>
      <c r="K613" s="41"/>
      <c r="L613" s="39"/>
      <c r="M613" s="48" t="str">
        <f aca="false">IF($E613="","",IFERROR(INDEX(Parâmetros!$C$15:$C$20,MATCH($P613,Parâmetros!$B$15:$B$20,0)),""))</f>
        <v/>
      </c>
      <c r="N613" s="46" t="str">
        <f aca="false">IF($E613="","",IF($P613="","",IF($P613&gt;=8,"Alta",IF($P613&gt;=5,"Média","Baixa"))))</f>
        <v/>
      </c>
      <c r="O613" s="46" t="str">
        <f aca="false">IF($E613="","",IF(AND(Parâmetros!$C$5&gt;0,$P613&lt;&gt;"",$P613&gt;=Parâmetros!$C$5),"Sim","Não"))</f>
        <v/>
      </c>
      <c r="P613" s="45" t="str">
        <f aca="false">IF($E613="","",IF($G613="","",IF($G613="NOK",$F613,0)))</f>
        <v/>
      </c>
      <c r="Q613" s="46" t="str">
        <f aca="false">IF($E613="","",IF($O613&lt;&gt;"Sim","",COUNTIF($O$3:$O613,"Sim")))</f>
        <v/>
      </c>
      <c r="R613" s="47" t="n">
        <f aca="false">IF($P613="",0,$P613)</f>
        <v>0</v>
      </c>
    </row>
    <row r="614" customFormat="false" ht="18" hidden="false" customHeight="true" outlineLevel="0" collapsed="false">
      <c r="A614" s="39"/>
      <c r="B614" s="41"/>
      <c r="C614" s="40"/>
      <c r="D614" s="40"/>
      <c r="E614" s="40"/>
      <c r="F614" s="42"/>
      <c r="G614" s="39"/>
      <c r="H614" s="40"/>
      <c r="I614" s="40"/>
      <c r="J614" s="40"/>
      <c r="K614" s="41"/>
      <c r="L614" s="39"/>
      <c r="M614" s="48" t="str">
        <f aca="false">IF($E614="","",IFERROR(INDEX(Parâmetros!$C$15:$C$20,MATCH($P614,Parâmetros!$B$15:$B$20,0)),""))</f>
        <v/>
      </c>
      <c r="N614" s="46" t="str">
        <f aca="false">IF($E614="","",IF($P614="","",IF($P614&gt;=8,"Alta",IF($P614&gt;=5,"Média","Baixa"))))</f>
        <v/>
      </c>
      <c r="O614" s="46" t="str">
        <f aca="false">IF($E614="","",IF(AND(Parâmetros!$C$5&gt;0,$P614&lt;&gt;"",$P614&gt;=Parâmetros!$C$5),"Sim","Não"))</f>
        <v/>
      </c>
      <c r="P614" s="45" t="str">
        <f aca="false">IF($E614="","",IF($G614="","",IF($G614="NOK",$F614,0)))</f>
        <v/>
      </c>
      <c r="Q614" s="46" t="str">
        <f aca="false">IF($E614="","",IF($O614&lt;&gt;"Sim","",COUNTIF($O$3:$O614,"Sim")))</f>
        <v/>
      </c>
      <c r="R614" s="47" t="n">
        <f aca="false">IF($P614="",0,$P614)</f>
        <v>0</v>
      </c>
    </row>
    <row r="615" customFormat="false" ht="18" hidden="false" customHeight="true" outlineLevel="0" collapsed="false">
      <c r="A615" s="39"/>
      <c r="B615" s="41"/>
      <c r="C615" s="40"/>
      <c r="D615" s="40"/>
      <c r="E615" s="40"/>
      <c r="F615" s="42"/>
      <c r="G615" s="39"/>
      <c r="H615" s="40"/>
      <c r="I615" s="40"/>
      <c r="J615" s="40"/>
      <c r="K615" s="41"/>
      <c r="L615" s="39"/>
      <c r="M615" s="48" t="str">
        <f aca="false">IF($E615="","",IFERROR(INDEX(Parâmetros!$C$15:$C$20,MATCH($P615,Parâmetros!$B$15:$B$20,0)),""))</f>
        <v/>
      </c>
      <c r="N615" s="46" t="str">
        <f aca="false">IF($E615="","",IF($P615="","",IF($P615&gt;=8,"Alta",IF($P615&gt;=5,"Média","Baixa"))))</f>
        <v/>
      </c>
      <c r="O615" s="46" t="str">
        <f aca="false">IF($E615="","",IF(AND(Parâmetros!$C$5&gt;0,$P615&lt;&gt;"",$P615&gt;=Parâmetros!$C$5),"Sim","Não"))</f>
        <v/>
      </c>
      <c r="P615" s="45" t="str">
        <f aca="false">IF($E615="","",IF($G615="","",IF($G615="NOK",$F615,0)))</f>
        <v/>
      </c>
      <c r="Q615" s="46" t="str">
        <f aca="false">IF($E615="","",IF($O615&lt;&gt;"Sim","",COUNTIF($O$3:$O615,"Sim")))</f>
        <v/>
      </c>
      <c r="R615" s="47" t="n">
        <f aca="false">IF($P615="",0,$P615)</f>
        <v>0</v>
      </c>
    </row>
    <row r="616" customFormat="false" ht="18" hidden="false" customHeight="true" outlineLevel="0" collapsed="false">
      <c r="A616" s="39"/>
      <c r="B616" s="41"/>
      <c r="C616" s="40"/>
      <c r="D616" s="40"/>
      <c r="E616" s="40"/>
      <c r="F616" s="42"/>
      <c r="G616" s="39"/>
      <c r="H616" s="40"/>
      <c r="I616" s="40"/>
      <c r="J616" s="40"/>
      <c r="K616" s="41"/>
      <c r="L616" s="39"/>
      <c r="M616" s="48" t="str">
        <f aca="false">IF($E616="","",IFERROR(INDEX(Parâmetros!$C$15:$C$20,MATCH($P616,Parâmetros!$B$15:$B$20,0)),""))</f>
        <v/>
      </c>
      <c r="N616" s="46" t="str">
        <f aca="false">IF($E616="","",IF($P616="","",IF($P616&gt;=8,"Alta",IF($P616&gt;=5,"Média","Baixa"))))</f>
        <v/>
      </c>
      <c r="O616" s="46" t="str">
        <f aca="false">IF($E616="","",IF(AND(Parâmetros!$C$5&gt;0,$P616&lt;&gt;"",$P616&gt;=Parâmetros!$C$5),"Sim","Não"))</f>
        <v/>
      </c>
      <c r="P616" s="45" t="str">
        <f aca="false">IF($E616="","",IF($G616="","",IF($G616="NOK",$F616,0)))</f>
        <v/>
      </c>
      <c r="Q616" s="46" t="str">
        <f aca="false">IF($E616="","",IF($O616&lt;&gt;"Sim","",COUNTIF($O$3:$O616,"Sim")))</f>
        <v/>
      </c>
      <c r="R616" s="47" t="n">
        <f aca="false">IF($P616="",0,$P616)</f>
        <v>0</v>
      </c>
    </row>
    <row r="617" customFormat="false" ht="18" hidden="false" customHeight="true" outlineLevel="0" collapsed="false">
      <c r="A617" s="39"/>
      <c r="B617" s="41"/>
      <c r="C617" s="40"/>
      <c r="D617" s="40"/>
      <c r="E617" s="40"/>
      <c r="F617" s="42"/>
      <c r="G617" s="39"/>
      <c r="H617" s="40"/>
      <c r="I617" s="40"/>
      <c r="J617" s="40"/>
      <c r="K617" s="41"/>
      <c r="L617" s="39"/>
      <c r="M617" s="48" t="str">
        <f aca="false">IF($E617="","",IFERROR(INDEX(Parâmetros!$C$15:$C$20,MATCH($P617,Parâmetros!$B$15:$B$20,0)),""))</f>
        <v/>
      </c>
      <c r="N617" s="46" t="str">
        <f aca="false">IF($E617="","",IF($P617="","",IF($P617&gt;=8,"Alta",IF($P617&gt;=5,"Média","Baixa"))))</f>
        <v/>
      </c>
      <c r="O617" s="46" t="str">
        <f aca="false">IF($E617="","",IF(AND(Parâmetros!$C$5&gt;0,$P617&lt;&gt;"",$P617&gt;=Parâmetros!$C$5),"Sim","Não"))</f>
        <v/>
      </c>
      <c r="P617" s="45" t="str">
        <f aca="false">IF($E617="","",IF($G617="","",IF($G617="NOK",$F617,0)))</f>
        <v/>
      </c>
      <c r="Q617" s="46" t="str">
        <f aca="false">IF($E617="","",IF($O617&lt;&gt;"Sim","",COUNTIF($O$3:$O617,"Sim")))</f>
        <v/>
      </c>
      <c r="R617" s="47" t="n">
        <f aca="false">IF($P617="",0,$P617)</f>
        <v>0</v>
      </c>
    </row>
    <row r="618" customFormat="false" ht="18" hidden="false" customHeight="true" outlineLevel="0" collapsed="false">
      <c r="A618" s="39"/>
      <c r="B618" s="41"/>
      <c r="C618" s="40"/>
      <c r="D618" s="40"/>
      <c r="E618" s="40"/>
      <c r="F618" s="42"/>
      <c r="G618" s="39"/>
      <c r="H618" s="40"/>
      <c r="I618" s="40"/>
      <c r="J618" s="40"/>
      <c r="K618" s="41"/>
      <c r="L618" s="39"/>
      <c r="M618" s="48" t="str">
        <f aca="false">IF($E618="","",IFERROR(INDEX(Parâmetros!$C$15:$C$20,MATCH($P618,Parâmetros!$B$15:$B$20,0)),""))</f>
        <v/>
      </c>
      <c r="N618" s="46" t="str">
        <f aca="false">IF($E618="","",IF($P618="","",IF($P618&gt;=8,"Alta",IF($P618&gt;=5,"Média","Baixa"))))</f>
        <v/>
      </c>
      <c r="O618" s="46" t="str">
        <f aca="false">IF($E618="","",IF(AND(Parâmetros!$C$5&gt;0,$P618&lt;&gt;"",$P618&gt;=Parâmetros!$C$5),"Sim","Não"))</f>
        <v/>
      </c>
      <c r="P618" s="45" t="str">
        <f aca="false">IF($E618="","",IF($G618="","",IF($G618="NOK",$F618,0)))</f>
        <v/>
      </c>
      <c r="Q618" s="46" t="str">
        <f aca="false">IF($E618="","",IF($O618&lt;&gt;"Sim","",COUNTIF($O$3:$O618,"Sim")))</f>
        <v/>
      </c>
      <c r="R618" s="47" t="n">
        <f aca="false">IF($P618="",0,$P618)</f>
        <v>0</v>
      </c>
    </row>
    <row r="619" customFormat="false" ht="18" hidden="false" customHeight="true" outlineLevel="0" collapsed="false">
      <c r="A619" s="39"/>
      <c r="B619" s="41"/>
      <c r="C619" s="40"/>
      <c r="D619" s="40"/>
      <c r="E619" s="40"/>
      <c r="F619" s="42"/>
      <c r="G619" s="39"/>
      <c r="H619" s="40"/>
      <c r="I619" s="40"/>
      <c r="J619" s="40"/>
      <c r="K619" s="41"/>
      <c r="L619" s="39"/>
      <c r="M619" s="48" t="str">
        <f aca="false">IF($E619="","",IFERROR(INDEX(Parâmetros!$C$15:$C$20,MATCH($P619,Parâmetros!$B$15:$B$20,0)),""))</f>
        <v/>
      </c>
      <c r="N619" s="46" t="str">
        <f aca="false">IF($E619="","",IF($P619="","",IF($P619&gt;=8,"Alta",IF($P619&gt;=5,"Média","Baixa"))))</f>
        <v/>
      </c>
      <c r="O619" s="46" t="str">
        <f aca="false">IF($E619="","",IF(AND(Parâmetros!$C$5&gt;0,$P619&lt;&gt;"",$P619&gt;=Parâmetros!$C$5),"Sim","Não"))</f>
        <v/>
      </c>
      <c r="P619" s="45" t="str">
        <f aca="false">IF($E619="","",IF($G619="","",IF($G619="NOK",$F619,0)))</f>
        <v/>
      </c>
      <c r="Q619" s="46" t="str">
        <f aca="false">IF($E619="","",IF($O619&lt;&gt;"Sim","",COUNTIF($O$3:$O619,"Sim")))</f>
        <v/>
      </c>
      <c r="R619" s="47" t="n">
        <f aca="false">IF($P619="",0,$P619)</f>
        <v>0</v>
      </c>
    </row>
    <row r="620" customFormat="false" ht="18" hidden="false" customHeight="true" outlineLevel="0" collapsed="false">
      <c r="A620" s="39"/>
      <c r="B620" s="41"/>
      <c r="C620" s="40"/>
      <c r="D620" s="40"/>
      <c r="E620" s="40"/>
      <c r="F620" s="42"/>
      <c r="G620" s="39"/>
      <c r="H620" s="40"/>
      <c r="I620" s="40"/>
      <c r="J620" s="40"/>
      <c r="K620" s="41"/>
      <c r="L620" s="39"/>
      <c r="M620" s="48" t="str">
        <f aca="false">IF($E620="","",IFERROR(INDEX(Parâmetros!$C$15:$C$20,MATCH($P620,Parâmetros!$B$15:$B$20,0)),""))</f>
        <v/>
      </c>
      <c r="N620" s="46" t="str">
        <f aca="false">IF($E620="","",IF($P620="","",IF($P620&gt;=8,"Alta",IF($P620&gt;=5,"Média","Baixa"))))</f>
        <v/>
      </c>
      <c r="O620" s="46" t="str">
        <f aca="false">IF($E620="","",IF(AND(Parâmetros!$C$5&gt;0,$P620&lt;&gt;"",$P620&gt;=Parâmetros!$C$5),"Sim","Não"))</f>
        <v/>
      </c>
      <c r="P620" s="45" t="str">
        <f aca="false">IF($E620="","",IF($G620="","",IF($G620="NOK",$F620,0)))</f>
        <v/>
      </c>
      <c r="Q620" s="46" t="str">
        <f aca="false">IF($E620="","",IF($O620&lt;&gt;"Sim","",COUNTIF($O$3:$O620,"Sim")))</f>
        <v/>
      </c>
      <c r="R620" s="47" t="n">
        <f aca="false">IF($P620="",0,$P620)</f>
        <v>0</v>
      </c>
    </row>
    <row r="621" customFormat="false" ht="18" hidden="false" customHeight="true" outlineLevel="0" collapsed="false">
      <c r="A621" s="39"/>
      <c r="B621" s="41"/>
      <c r="C621" s="40"/>
      <c r="D621" s="40"/>
      <c r="E621" s="40"/>
      <c r="F621" s="42"/>
      <c r="G621" s="39"/>
      <c r="H621" s="40"/>
      <c r="I621" s="40"/>
      <c r="J621" s="40"/>
      <c r="K621" s="41"/>
      <c r="L621" s="39"/>
      <c r="M621" s="48" t="str">
        <f aca="false">IF($E621="","",IFERROR(INDEX(Parâmetros!$C$15:$C$20,MATCH($P621,Parâmetros!$B$15:$B$20,0)),""))</f>
        <v/>
      </c>
      <c r="N621" s="46" t="str">
        <f aca="false">IF($E621="","",IF($P621="","",IF($P621&gt;=8,"Alta",IF($P621&gt;=5,"Média","Baixa"))))</f>
        <v/>
      </c>
      <c r="O621" s="46" t="str">
        <f aca="false">IF($E621="","",IF(AND(Parâmetros!$C$5&gt;0,$P621&lt;&gt;"",$P621&gt;=Parâmetros!$C$5),"Sim","Não"))</f>
        <v/>
      </c>
      <c r="P621" s="45" t="str">
        <f aca="false">IF($E621="","",IF($G621="","",IF($G621="NOK",$F621,0)))</f>
        <v/>
      </c>
      <c r="Q621" s="46" t="str">
        <f aca="false">IF($E621="","",IF($O621&lt;&gt;"Sim","",COUNTIF($O$3:$O621,"Sim")))</f>
        <v/>
      </c>
      <c r="R621" s="47" t="n">
        <f aca="false">IF($P621="",0,$P621)</f>
        <v>0</v>
      </c>
    </row>
    <row r="622" customFormat="false" ht="18" hidden="false" customHeight="true" outlineLevel="0" collapsed="false">
      <c r="A622" s="39"/>
      <c r="B622" s="41"/>
      <c r="C622" s="40"/>
      <c r="D622" s="40"/>
      <c r="E622" s="40"/>
      <c r="F622" s="42"/>
      <c r="G622" s="39"/>
      <c r="H622" s="40"/>
      <c r="I622" s="40"/>
      <c r="J622" s="40"/>
      <c r="K622" s="41"/>
      <c r="L622" s="39"/>
      <c r="M622" s="48" t="str">
        <f aca="false">IF($E622="","",IFERROR(INDEX(Parâmetros!$C$15:$C$20,MATCH($P622,Parâmetros!$B$15:$B$20,0)),""))</f>
        <v/>
      </c>
      <c r="N622" s="46" t="str">
        <f aca="false">IF($E622="","",IF($P622="","",IF($P622&gt;=8,"Alta",IF($P622&gt;=5,"Média","Baixa"))))</f>
        <v/>
      </c>
      <c r="O622" s="46" t="str">
        <f aca="false">IF($E622="","",IF(AND(Parâmetros!$C$5&gt;0,$P622&lt;&gt;"",$P622&gt;=Parâmetros!$C$5),"Sim","Não"))</f>
        <v/>
      </c>
      <c r="P622" s="45" t="str">
        <f aca="false">IF($E622="","",IF($G622="","",IF($G622="NOK",$F622,0)))</f>
        <v/>
      </c>
      <c r="Q622" s="46" t="str">
        <f aca="false">IF($E622="","",IF($O622&lt;&gt;"Sim","",COUNTIF($O$3:$O622,"Sim")))</f>
        <v/>
      </c>
      <c r="R622" s="47" t="n">
        <f aca="false">IF($P622="",0,$P622)</f>
        <v>0</v>
      </c>
    </row>
    <row r="623" customFormat="false" ht="18" hidden="false" customHeight="true" outlineLevel="0" collapsed="false">
      <c r="A623" s="39"/>
      <c r="B623" s="41"/>
      <c r="C623" s="40"/>
      <c r="D623" s="40"/>
      <c r="E623" s="40"/>
      <c r="F623" s="42"/>
      <c r="G623" s="39"/>
      <c r="H623" s="40"/>
      <c r="I623" s="40"/>
      <c r="J623" s="40"/>
      <c r="K623" s="41"/>
      <c r="L623" s="39"/>
      <c r="M623" s="48" t="str">
        <f aca="false">IF($E623="","",IFERROR(INDEX(Parâmetros!$C$15:$C$20,MATCH($P623,Parâmetros!$B$15:$B$20,0)),""))</f>
        <v/>
      </c>
      <c r="N623" s="46" t="str">
        <f aca="false">IF($E623="","",IF($P623="","",IF($P623&gt;=8,"Alta",IF($P623&gt;=5,"Média","Baixa"))))</f>
        <v/>
      </c>
      <c r="O623" s="46" t="str">
        <f aca="false">IF($E623="","",IF(AND(Parâmetros!$C$5&gt;0,$P623&lt;&gt;"",$P623&gt;=Parâmetros!$C$5),"Sim","Não"))</f>
        <v/>
      </c>
      <c r="P623" s="45" t="str">
        <f aca="false">IF($E623="","",IF($G623="","",IF($G623="NOK",$F623,0)))</f>
        <v/>
      </c>
      <c r="Q623" s="46" t="str">
        <f aca="false">IF($E623="","",IF($O623&lt;&gt;"Sim","",COUNTIF($O$3:$O623,"Sim")))</f>
        <v/>
      </c>
      <c r="R623" s="47" t="n">
        <f aca="false">IF($P623="",0,$P623)</f>
        <v>0</v>
      </c>
    </row>
    <row r="624" customFormat="false" ht="18" hidden="false" customHeight="true" outlineLevel="0" collapsed="false">
      <c r="A624" s="39"/>
      <c r="B624" s="41"/>
      <c r="C624" s="40"/>
      <c r="D624" s="40"/>
      <c r="E624" s="40"/>
      <c r="F624" s="42"/>
      <c r="G624" s="39"/>
      <c r="H624" s="40"/>
      <c r="I624" s="40"/>
      <c r="J624" s="40"/>
      <c r="K624" s="41"/>
      <c r="L624" s="39"/>
      <c r="M624" s="48" t="str">
        <f aca="false">IF($E624="","",IFERROR(INDEX(Parâmetros!$C$15:$C$20,MATCH($P624,Parâmetros!$B$15:$B$20,0)),""))</f>
        <v/>
      </c>
      <c r="N624" s="46" t="str">
        <f aca="false">IF($E624="","",IF($P624="","",IF($P624&gt;=8,"Alta",IF($P624&gt;=5,"Média","Baixa"))))</f>
        <v/>
      </c>
      <c r="O624" s="46" t="str">
        <f aca="false">IF($E624="","",IF(AND(Parâmetros!$C$5&gt;0,$P624&lt;&gt;"",$P624&gt;=Parâmetros!$C$5),"Sim","Não"))</f>
        <v/>
      </c>
      <c r="P624" s="45" t="str">
        <f aca="false">IF($E624="","",IF($G624="","",IF($G624="NOK",$F624,0)))</f>
        <v/>
      </c>
      <c r="Q624" s="46" t="str">
        <f aca="false">IF($E624="","",IF($O624&lt;&gt;"Sim","",COUNTIF($O$3:$O624,"Sim")))</f>
        <v/>
      </c>
      <c r="R624" s="47" t="n">
        <f aca="false">IF($P624="",0,$P624)</f>
        <v>0</v>
      </c>
    </row>
    <row r="625" customFormat="false" ht="18" hidden="false" customHeight="true" outlineLevel="0" collapsed="false">
      <c r="A625" s="39"/>
      <c r="B625" s="41"/>
      <c r="C625" s="40"/>
      <c r="D625" s="40"/>
      <c r="E625" s="40"/>
      <c r="F625" s="42"/>
      <c r="G625" s="39"/>
      <c r="H625" s="40"/>
      <c r="I625" s="40"/>
      <c r="J625" s="40"/>
      <c r="K625" s="41"/>
      <c r="L625" s="39"/>
      <c r="M625" s="48" t="str">
        <f aca="false">IF($E625="","",IFERROR(INDEX(Parâmetros!$C$15:$C$20,MATCH($P625,Parâmetros!$B$15:$B$20,0)),""))</f>
        <v/>
      </c>
      <c r="N625" s="46" t="str">
        <f aca="false">IF($E625="","",IF($P625="","",IF($P625&gt;=8,"Alta",IF($P625&gt;=5,"Média","Baixa"))))</f>
        <v/>
      </c>
      <c r="O625" s="46" t="str">
        <f aca="false">IF($E625="","",IF(AND(Parâmetros!$C$5&gt;0,$P625&lt;&gt;"",$P625&gt;=Parâmetros!$C$5),"Sim","Não"))</f>
        <v/>
      </c>
      <c r="P625" s="45" t="str">
        <f aca="false">IF($E625="","",IF($G625="","",IF($G625="NOK",$F625,0)))</f>
        <v/>
      </c>
      <c r="Q625" s="46" t="str">
        <f aca="false">IF($E625="","",IF($O625&lt;&gt;"Sim","",COUNTIF($O$3:$O625,"Sim")))</f>
        <v/>
      </c>
      <c r="R625" s="47" t="n">
        <f aca="false">IF($P625="",0,$P625)</f>
        <v>0</v>
      </c>
    </row>
    <row r="626" customFormat="false" ht="18" hidden="false" customHeight="true" outlineLevel="0" collapsed="false">
      <c r="A626" s="39"/>
      <c r="B626" s="41"/>
      <c r="C626" s="40"/>
      <c r="D626" s="40"/>
      <c r="E626" s="40"/>
      <c r="F626" s="42"/>
      <c r="G626" s="39"/>
      <c r="H626" s="40"/>
      <c r="I626" s="40"/>
      <c r="J626" s="40"/>
      <c r="K626" s="41"/>
      <c r="L626" s="39"/>
      <c r="M626" s="48" t="str">
        <f aca="false">IF($E626="","",IFERROR(INDEX(Parâmetros!$C$15:$C$20,MATCH($P626,Parâmetros!$B$15:$B$20,0)),""))</f>
        <v/>
      </c>
      <c r="N626" s="46" t="str">
        <f aca="false">IF($E626="","",IF($P626="","",IF($P626&gt;=8,"Alta",IF($P626&gt;=5,"Média","Baixa"))))</f>
        <v/>
      </c>
      <c r="O626" s="46" t="str">
        <f aca="false">IF($E626="","",IF(AND(Parâmetros!$C$5&gt;0,$P626&lt;&gt;"",$P626&gt;=Parâmetros!$C$5),"Sim","Não"))</f>
        <v/>
      </c>
      <c r="P626" s="45" t="str">
        <f aca="false">IF($E626="","",IF($G626="","",IF($G626="NOK",$F626,0)))</f>
        <v/>
      </c>
      <c r="Q626" s="46" t="str">
        <f aca="false">IF($E626="","",IF($O626&lt;&gt;"Sim","",COUNTIF($O$3:$O626,"Sim")))</f>
        <v/>
      </c>
      <c r="R626" s="47" t="n">
        <f aca="false">IF($P626="",0,$P626)</f>
        <v>0</v>
      </c>
    </row>
    <row r="627" customFormat="false" ht="18" hidden="false" customHeight="true" outlineLevel="0" collapsed="false">
      <c r="A627" s="39"/>
      <c r="B627" s="41"/>
      <c r="C627" s="40"/>
      <c r="D627" s="40"/>
      <c r="E627" s="40"/>
      <c r="F627" s="42"/>
      <c r="G627" s="39"/>
      <c r="H627" s="40"/>
      <c r="I627" s="40"/>
      <c r="J627" s="40"/>
      <c r="K627" s="41"/>
      <c r="L627" s="39"/>
      <c r="M627" s="48" t="str">
        <f aca="false">IF($E627="","",IFERROR(INDEX(Parâmetros!$C$15:$C$20,MATCH($P627,Parâmetros!$B$15:$B$20,0)),""))</f>
        <v/>
      </c>
      <c r="N627" s="46" t="str">
        <f aca="false">IF($E627="","",IF($P627="","",IF($P627&gt;=8,"Alta",IF($P627&gt;=5,"Média","Baixa"))))</f>
        <v/>
      </c>
      <c r="O627" s="46" t="str">
        <f aca="false">IF($E627="","",IF(AND(Parâmetros!$C$5&gt;0,$P627&lt;&gt;"",$P627&gt;=Parâmetros!$C$5),"Sim","Não"))</f>
        <v/>
      </c>
      <c r="P627" s="45" t="str">
        <f aca="false">IF($E627="","",IF($G627="","",IF($G627="NOK",$F627,0)))</f>
        <v/>
      </c>
      <c r="Q627" s="46" t="str">
        <f aca="false">IF($E627="","",IF($O627&lt;&gt;"Sim","",COUNTIF($O$3:$O627,"Sim")))</f>
        <v/>
      </c>
      <c r="R627" s="47" t="n">
        <f aca="false">IF($P627="",0,$P627)</f>
        <v>0</v>
      </c>
    </row>
    <row r="628" customFormat="false" ht="18" hidden="false" customHeight="true" outlineLevel="0" collapsed="false">
      <c r="A628" s="39"/>
      <c r="B628" s="41"/>
      <c r="C628" s="40"/>
      <c r="D628" s="40"/>
      <c r="E628" s="40"/>
      <c r="F628" s="42"/>
      <c r="G628" s="39"/>
      <c r="H628" s="40"/>
      <c r="I628" s="40"/>
      <c r="J628" s="40"/>
      <c r="K628" s="41"/>
      <c r="L628" s="39"/>
      <c r="M628" s="48" t="str">
        <f aca="false">IF($E628="","",IFERROR(INDEX(Parâmetros!$C$15:$C$20,MATCH($P628,Parâmetros!$B$15:$B$20,0)),""))</f>
        <v/>
      </c>
      <c r="N628" s="46" t="str">
        <f aca="false">IF($E628="","",IF($P628="","",IF($P628&gt;=8,"Alta",IF($P628&gt;=5,"Média","Baixa"))))</f>
        <v/>
      </c>
      <c r="O628" s="46" t="str">
        <f aca="false">IF($E628="","",IF(AND(Parâmetros!$C$5&gt;0,$P628&lt;&gt;"",$P628&gt;=Parâmetros!$C$5),"Sim","Não"))</f>
        <v/>
      </c>
      <c r="P628" s="45" t="str">
        <f aca="false">IF($E628="","",IF($G628="","",IF($G628="NOK",$F628,0)))</f>
        <v/>
      </c>
      <c r="Q628" s="46" t="str">
        <f aca="false">IF($E628="","",IF($O628&lt;&gt;"Sim","",COUNTIF($O$3:$O628,"Sim")))</f>
        <v/>
      </c>
      <c r="R628" s="47" t="n">
        <f aca="false">IF($P628="",0,$P628)</f>
        <v>0</v>
      </c>
    </row>
    <row r="629" customFormat="false" ht="18" hidden="false" customHeight="true" outlineLevel="0" collapsed="false">
      <c r="A629" s="39"/>
      <c r="B629" s="41"/>
      <c r="C629" s="40"/>
      <c r="D629" s="40"/>
      <c r="E629" s="40"/>
      <c r="F629" s="42"/>
      <c r="G629" s="39"/>
      <c r="H629" s="40"/>
      <c r="I629" s="40"/>
      <c r="J629" s="40"/>
      <c r="K629" s="41"/>
      <c r="L629" s="39"/>
      <c r="M629" s="48" t="str">
        <f aca="false">IF($E629="","",IFERROR(INDEX(Parâmetros!$C$15:$C$20,MATCH($P629,Parâmetros!$B$15:$B$20,0)),""))</f>
        <v/>
      </c>
      <c r="N629" s="46" t="str">
        <f aca="false">IF($E629="","",IF($P629="","",IF($P629&gt;=8,"Alta",IF($P629&gt;=5,"Média","Baixa"))))</f>
        <v/>
      </c>
      <c r="O629" s="46" t="str">
        <f aca="false">IF($E629="","",IF(AND(Parâmetros!$C$5&gt;0,$P629&lt;&gt;"",$P629&gt;=Parâmetros!$C$5),"Sim","Não"))</f>
        <v/>
      </c>
      <c r="P629" s="45" t="str">
        <f aca="false">IF($E629="","",IF($G629="","",IF($G629="NOK",$F629,0)))</f>
        <v/>
      </c>
      <c r="Q629" s="46" t="str">
        <f aca="false">IF($E629="","",IF($O629&lt;&gt;"Sim","",COUNTIF($O$3:$O629,"Sim")))</f>
        <v/>
      </c>
      <c r="R629" s="47" t="n">
        <f aca="false">IF($P629="",0,$P629)</f>
        <v>0</v>
      </c>
    </row>
    <row r="630" customFormat="false" ht="18" hidden="false" customHeight="true" outlineLevel="0" collapsed="false">
      <c r="A630" s="39"/>
      <c r="B630" s="41"/>
      <c r="C630" s="40"/>
      <c r="D630" s="40"/>
      <c r="E630" s="40"/>
      <c r="F630" s="42"/>
      <c r="G630" s="39"/>
      <c r="H630" s="40"/>
      <c r="I630" s="40"/>
      <c r="J630" s="40"/>
      <c r="K630" s="41"/>
      <c r="L630" s="39"/>
      <c r="M630" s="48" t="str">
        <f aca="false">IF($E630="","",IFERROR(INDEX(Parâmetros!$C$15:$C$20,MATCH($P630,Parâmetros!$B$15:$B$20,0)),""))</f>
        <v/>
      </c>
      <c r="N630" s="46" t="str">
        <f aca="false">IF($E630="","",IF($P630="","",IF($P630&gt;=8,"Alta",IF($P630&gt;=5,"Média","Baixa"))))</f>
        <v/>
      </c>
      <c r="O630" s="46" t="str">
        <f aca="false">IF($E630="","",IF(AND(Parâmetros!$C$5&gt;0,$P630&lt;&gt;"",$P630&gt;=Parâmetros!$C$5),"Sim","Não"))</f>
        <v/>
      </c>
      <c r="P630" s="45" t="str">
        <f aca="false">IF($E630="","",IF($G630="","",IF($G630="NOK",$F630,0)))</f>
        <v/>
      </c>
      <c r="Q630" s="46" t="str">
        <f aca="false">IF($E630="","",IF($O630&lt;&gt;"Sim","",COUNTIF($O$3:$O630,"Sim")))</f>
        <v/>
      </c>
      <c r="R630" s="47" t="n">
        <f aca="false">IF($P630="",0,$P630)</f>
        <v>0</v>
      </c>
    </row>
    <row r="631" customFormat="false" ht="18" hidden="false" customHeight="true" outlineLevel="0" collapsed="false">
      <c r="A631" s="39"/>
      <c r="B631" s="41"/>
      <c r="C631" s="40"/>
      <c r="D631" s="40"/>
      <c r="E631" s="40"/>
      <c r="F631" s="42"/>
      <c r="G631" s="39"/>
      <c r="H631" s="40"/>
      <c r="I631" s="40"/>
      <c r="J631" s="40"/>
      <c r="K631" s="41"/>
      <c r="L631" s="39"/>
      <c r="M631" s="48" t="str">
        <f aca="false">IF($E631="","",IFERROR(INDEX(Parâmetros!$C$15:$C$20,MATCH($P631,Parâmetros!$B$15:$B$20,0)),""))</f>
        <v/>
      </c>
      <c r="N631" s="46" t="str">
        <f aca="false">IF($E631="","",IF($P631="","",IF($P631&gt;=8,"Alta",IF($P631&gt;=5,"Média","Baixa"))))</f>
        <v/>
      </c>
      <c r="O631" s="46" t="str">
        <f aca="false">IF($E631="","",IF(AND(Parâmetros!$C$5&gt;0,$P631&lt;&gt;"",$P631&gt;=Parâmetros!$C$5),"Sim","Não"))</f>
        <v/>
      </c>
      <c r="P631" s="45" t="str">
        <f aca="false">IF($E631="","",IF($G631="","",IF($G631="NOK",$F631,0)))</f>
        <v/>
      </c>
      <c r="Q631" s="46" t="str">
        <f aca="false">IF($E631="","",IF($O631&lt;&gt;"Sim","",COUNTIF($O$3:$O631,"Sim")))</f>
        <v/>
      </c>
      <c r="R631" s="47" t="n">
        <f aca="false">IF($P631="",0,$P631)</f>
        <v>0</v>
      </c>
    </row>
    <row r="632" customFormat="false" ht="18" hidden="false" customHeight="true" outlineLevel="0" collapsed="false">
      <c r="A632" s="39"/>
      <c r="B632" s="41"/>
      <c r="C632" s="40"/>
      <c r="D632" s="40"/>
      <c r="E632" s="40"/>
      <c r="F632" s="42"/>
      <c r="G632" s="39"/>
      <c r="H632" s="40"/>
      <c r="I632" s="40"/>
      <c r="J632" s="40"/>
      <c r="K632" s="41"/>
      <c r="L632" s="39"/>
      <c r="M632" s="48" t="str">
        <f aca="false">IF($E632="","",IFERROR(INDEX(Parâmetros!$C$15:$C$20,MATCH($P632,Parâmetros!$B$15:$B$20,0)),""))</f>
        <v/>
      </c>
      <c r="N632" s="46" t="str">
        <f aca="false">IF($E632="","",IF($P632="","",IF($P632&gt;=8,"Alta",IF($P632&gt;=5,"Média","Baixa"))))</f>
        <v/>
      </c>
      <c r="O632" s="46" t="str">
        <f aca="false">IF($E632="","",IF(AND(Parâmetros!$C$5&gt;0,$P632&lt;&gt;"",$P632&gt;=Parâmetros!$C$5),"Sim","Não"))</f>
        <v/>
      </c>
      <c r="P632" s="45" t="str">
        <f aca="false">IF($E632="","",IF($G632="","",IF($G632="NOK",$F632,0)))</f>
        <v/>
      </c>
      <c r="Q632" s="46" t="str">
        <f aca="false">IF($E632="","",IF($O632&lt;&gt;"Sim","",COUNTIF($O$3:$O632,"Sim")))</f>
        <v/>
      </c>
      <c r="R632" s="47" t="n">
        <f aca="false">IF($P632="",0,$P632)</f>
        <v>0</v>
      </c>
    </row>
    <row r="633" customFormat="false" ht="18" hidden="false" customHeight="true" outlineLevel="0" collapsed="false">
      <c r="A633" s="39"/>
      <c r="B633" s="41"/>
      <c r="C633" s="40"/>
      <c r="D633" s="40"/>
      <c r="E633" s="40"/>
      <c r="F633" s="42"/>
      <c r="G633" s="39"/>
      <c r="H633" s="40"/>
      <c r="I633" s="40"/>
      <c r="J633" s="40"/>
      <c r="K633" s="41"/>
      <c r="L633" s="39"/>
      <c r="M633" s="48" t="str">
        <f aca="false">IF($E633="","",IFERROR(INDEX(Parâmetros!$C$15:$C$20,MATCH($P633,Parâmetros!$B$15:$B$20,0)),""))</f>
        <v/>
      </c>
      <c r="N633" s="46" t="str">
        <f aca="false">IF($E633="","",IF($P633="","",IF($P633&gt;=8,"Alta",IF($P633&gt;=5,"Média","Baixa"))))</f>
        <v/>
      </c>
      <c r="O633" s="46" t="str">
        <f aca="false">IF($E633="","",IF(AND(Parâmetros!$C$5&gt;0,$P633&lt;&gt;"",$P633&gt;=Parâmetros!$C$5),"Sim","Não"))</f>
        <v/>
      </c>
      <c r="P633" s="45" t="str">
        <f aca="false">IF($E633="","",IF($G633="","",IF($G633="NOK",$F633,0)))</f>
        <v/>
      </c>
      <c r="Q633" s="46" t="str">
        <f aca="false">IF($E633="","",IF($O633&lt;&gt;"Sim","",COUNTIF($O$3:$O633,"Sim")))</f>
        <v/>
      </c>
      <c r="R633" s="47" t="n">
        <f aca="false">IF($P633="",0,$P633)</f>
        <v>0</v>
      </c>
    </row>
    <row r="634" customFormat="false" ht="18" hidden="false" customHeight="true" outlineLevel="0" collapsed="false">
      <c r="A634" s="39"/>
      <c r="B634" s="41"/>
      <c r="C634" s="40"/>
      <c r="D634" s="40"/>
      <c r="E634" s="40"/>
      <c r="F634" s="42"/>
      <c r="G634" s="39"/>
      <c r="H634" s="40"/>
      <c r="I634" s="40"/>
      <c r="J634" s="40"/>
      <c r="K634" s="41"/>
      <c r="L634" s="39"/>
      <c r="M634" s="48" t="str">
        <f aca="false">IF($E634="","",IFERROR(INDEX(Parâmetros!$C$15:$C$20,MATCH($P634,Parâmetros!$B$15:$B$20,0)),""))</f>
        <v/>
      </c>
      <c r="N634" s="46" t="str">
        <f aca="false">IF($E634="","",IF($P634="","",IF($P634&gt;=8,"Alta",IF($P634&gt;=5,"Média","Baixa"))))</f>
        <v/>
      </c>
      <c r="O634" s="46" t="str">
        <f aca="false">IF($E634="","",IF(AND(Parâmetros!$C$5&gt;0,$P634&lt;&gt;"",$P634&gt;=Parâmetros!$C$5),"Sim","Não"))</f>
        <v/>
      </c>
      <c r="P634" s="45" t="str">
        <f aca="false">IF($E634="","",IF($G634="","",IF($G634="NOK",$F634,0)))</f>
        <v/>
      </c>
      <c r="Q634" s="46" t="str">
        <f aca="false">IF($E634="","",IF($O634&lt;&gt;"Sim","",COUNTIF($O$3:$O634,"Sim")))</f>
        <v/>
      </c>
      <c r="R634" s="47" t="n">
        <f aca="false">IF($P634="",0,$P634)</f>
        <v>0</v>
      </c>
    </row>
    <row r="635" customFormat="false" ht="18" hidden="false" customHeight="true" outlineLevel="0" collapsed="false">
      <c r="A635" s="39"/>
      <c r="B635" s="41"/>
      <c r="C635" s="40"/>
      <c r="D635" s="40"/>
      <c r="E635" s="40"/>
      <c r="F635" s="42"/>
      <c r="G635" s="39"/>
      <c r="H635" s="40"/>
      <c r="I635" s="40"/>
      <c r="J635" s="40"/>
      <c r="K635" s="41"/>
      <c r="L635" s="39"/>
      <c r="M635" s="48" t="str">
        <f aca="false">IF($E635="","",IFERROR(INDEX(Parâmetros!$C$15:$C$20,MATCH($P635,Parâmetros!$B$15:$B$20,0)),""))</f>
        <v/>
      </c>
      <c r="N635" s="46" t="str">
        <f aca="false">IF($E635="","",IF($P635="","",IF($P635&gt;=8,"Alta",IF($P635&gt;=5,"Média","Baixa"))))</f>
        <v/>
      </c>
      <c r="O635" s="46" t="str">
        <f aca="false">IF($E635="","",IF(AND(Parâmetros!$C$5&gt;0,$P635&lt;&gt;"",$P635&gt;=Parâmetros!$C$5),"Sim","Não"))</f>
        <v/>
      </c>
      <c r="P635" s="45" t="str">
        <f aca="false">IF($E635="","",IF($G635="","",IF($G635="NOK",$F635,0)))</f>
        <v/>
      </c>
      <c r="Q635" s="46" t="str">
        <f aca="false">IF($E635="","",IF($O635&lt;&gt;"Sim","",COUNTIF($O$3:$O635,"Sim")))</f>
        <v/>
      </c>
      <c r="R635" s="47" t="n">
        <f aca="false">IF($P635="",0,$P635)</f>
        <v>0</v>
      </c>
    </row>
    <row r="636" customFormat="false" ht="18" hidden="false" customHeight="true" outlineLevel="0" collapsed="false">
      <c r="A636" s="39"/>
      <c r="B636" s="41"/>
      <c r="C636" s="40"/>
      <c r="D636" s="40"/>
      <c r="E636" s="40"/>
      <c r="F636" s="42"/>
      <c r="G636" s="39"/>
      <c r="H636" s="40"/>
      <c r="I636" s="40"/>
      <c r="J636" s="40"/>
      <c r="K636" s="41"/>
      <c r="L636" s="39"/>
      <c r="M636" s="48" t="str">
        <f aca="false">IF($E636="","",IFERROR(INDEX(Parâmetros!$C$15:$C$20,MATCH($P636,Parâmetros!$B$15:$B$20,0)),""))</f>
        <v/>
      </c>
      <c r="N636" s="46" t="str">
        <f aca="false">IF($E636="","",IF($P636="","",IF($P636&gt;=8,"Alta",IF($P636&gt;=5,"Média","Baixa"))))</f>
        <v/>
      </c>
      <c r="O636" s="46" t="str">
        <f aca="false">IF($E636="","",IF(AND(Parâmetros!$C$5&gt;0,$P636&lt;&gt;"",$P636&gt;=Parâmetros!$C$5),"Sim","Não"))</f>
        <v/>
      </c>
      <c r="P636" s="45" t="str">
        <f aca="false">IF($E636="","",IF($G636="","",IF($G636="NOK",$F636,0)))</f>
        <v/>
      </c>
      <c r="Q636" s="46" t="str">
        <f aca="false">IF($E636="","",IF($O636&lt;&gt;"Sim","",COUNTIF($O$3:$O636,"Sim")))</f>
        <v/>
      </c>
      <c r="R636" s="47" t="n">
        <f aca="false">IF($P636="",0,$P636)</f>
        <v>0</v>
      </c>
    </row>
    <row r="637" customFormat="false" ht="18" hidden="false" customHeight="true" outlineLevel="0" collapsed="false">
      <c r="A637" s="39"/>
      <c r="B637" s="41"/>
      <c r="C637" s="40"/>
      <c r="D637" s="40"/>
      <c r="E637" s="40"/>
      <c r="F637" s="42"/>
      <c r="G637" s="39"/>
      <c r="H637" s="40"/>
      <c r="I637" s="40"/>
      <c r="J637" s="40"/>
      <c r="K637" s="41"/>
      <c r="L637" s="39"/>
      <c r="M637" s="48" t="str">
        <f aca="false">IF($E637="","",IFERROR(INDEX(Parâmetros!$C$15:$C$20,MATCH($P637,Parâmetros!$B$15:$B$20,0)),""))</f>
        <v/>
      </c>
      <c r="N637" s="46" t="str">
        <f aca="false">IF($E637="","",IF($P637="","",IF($P637&gt;=8,"Alta",IF($P637&gt;=5,"Média","Baixa"))))</f>
        <v/>
      </c>
      <c r="O637" s="46" t="str">
        <f aca="false">IF($E637="","",IF(AND(Parâmetros!$C$5&gt;0,$P637&lt;&gt;"",$P637&gt;=Parâmetros!$C$5),"Sim","Não"))</f>
        <v/>
      </c>
      <c r="P637" s="45" t="str">
        <f aca="false">IF($E637="","",IF($G637="","",IF($G637="NOK",$F637,0)))</f>
        <v/>
      </c>
      <c r="Q637" s="46" t="str">
        <f aca="false">IF($E637="","",IF($O637&lt;&gt;"Sim","",COUNTIF($O$3:$O637,"Sim")))</f>
        <v/>
      </c>
      <c r="R637" s="47" t="n">
        <f aca="false">IF($P637="",0,$P637)</f>
        <v>0</v>
      </c>
    </row>
    <row r="638" customFormat="false" ht="18" hidden="false" customHeight="true" outlineLevel="0" collapsed="false">
      <c r="A638" s="39"/>
      <c r="B638" s="41"/>
      <c r="C638" s="40"/>
      <c r="D638" s="40"/>
      <c r="E638" s="40"/>
      <c r="F638" s="42"/>
      <c r="G638" s="39"/>
      <c r="H638" s="40"/>
      <c r="I638" s="40"/>
      <c r="J638" s="40"/>
      <c r="K638" s="41"/>
      <c r="L638" s="39"/>
      <c r="M638" s="48" t="str">
        <f aca="false">IF($E638="","",IFERROR(INDEX(Parâmetros!$C$15:$C$20,MATCH($P638,Parâmetros!$B$15:$B$20,0)),""))</f>
        <v/>
      </c>
      <c r="N638" s="46" t="str">
        <f aca="false">IF($E638="","",IF($P638="","",IF($P638&gt;=8,"Alta",IF($P638&gt;=5,"Média","Baixa"))))</f>
        <v/>
      </c>
      <c r="O638" s="46" t="str">
        <f aca="false">IF($E638="","",IF(AND(Parâmetros!$C$5&gt;0,$P638&lt;&gt;"",$P638&gt;=Parâmetros!$C$5),"Sim","Não"))</f>
        <v/>
      </c>
      <c r="P638" s="45" t="str">
        <f aca="false">IF($E638="","",IF($G638="","",IF($G638="NOK",$F638,0)))</f>
        <v/>
      </c>
      <c r="Q638" s="46" t="str">
        <f aca="false">IF($E638="","",IF($O638&lt;&gt;"Sim","",COUNTIF($O$3:$O638,"Sim")))</f>
        <v/>
      </c>
      <c r="R638" s="47" t="n">
        <f aca="false">IF($P638="",0,$P638)</f>
        <v>0</v>
      </c>
    </row>
    <row r="639" customFormat="false" ht="18" hidden="false" customHeight="true" outlineLevel="0" collapsed="false">
      <c r="A639" s="39"/>
      <c r="B639" s="41"/>
      <c r="C639" s="40"/>
      <c r="D639" s="40"/>
      <c r="E639" s="40"/>
      <c r="F639" s="42"/>
      <c r="G639" s="39"/>
      <c r="H639" s="40"/>
      <c r="I639" s="40"/>
      <c r="J639" s="40"/>
      <c r="K639" s="41"/>
      <c r="L639" s="39"/>
      <c r="M639" s="48" t="str">
        <f aca="false">IF($E639="","",IFERROR(INDEX(Parâmetros!$C$15:$C$20,MATCH($P639,Parâmetros!$B$15:$B$20,0)),""))</f>
        <v/>
      </c>
      <c r="N639" s="46" t="str">
        <f aca="false">IF($E639="","",IF($P639="","",IF($P639&gt;=8,"Alta",IF($P639&gt;=5,"Média","Baixa"))))</f>
        <v/>
      </c>
      <c r="O639" s="46" t="str">
        <f aca="false">IF($E639="","",IF(AND(Parâmetros!$C$5&gt;0,$P639&lt;&gt;"",$P639&gt;=Parâmetros!$C$5),"Sim","Não"))</f>
        <v/>
      </c>
      <c r="P639" s="45" t="str">
        <f aca="false">IF($E639="","",IF($G639="","",IF($G639="NOK",$F639,0)))</f>
        <v/>
      </c>
      <c r="Q639" s="46" t="str">
        <f aca="false">IF($E639="","",IF($O639&lt;&gt;"Sim","",COUNTIF($O$3:$O639,"Sim")))</f>
        <v/>
      </c>
      <c r="R639" s="47" t="n">
        <f aca="false">IF($P639="",0,$P639)</f>
        <v>0</v>
      </c>
    </row>
    <row r="640" customFormat="false" ht="18" hidden="false" customHeight="true" outlineLevel="0" collapsed="false">
      <c r="A640" s="39"/>
      <c r="B640" s="41"/>
      <c r="C640" s="40"/>
      <c r="D640" s="40"/>
      <c r="E640" s="40"/>
      <c r="F640" s="42"/>
      <c r="G640" s="39"/>
      <c r="H640" s="40"/>
      <c r="I640" s="40"/>
      <c r="J640" s="40"/>
      <c r="K640" s="41"/>
      <c r="L640" s="39"/>
      <c r="M640" s="48" t="str">
        <f aca="false">IF($E640="","",IFERROR(INDEX(Parâmetros!$C$15:$C$20,MATCH($P640,Parâmetros!$B$15:$B$20,0)),""))</f>
        <v/>
      </c>
      <c r="N640" s="46" t="str">
        <f aca="false">IF($E640="","",IF($P640="","",IF($P640&gt;=8,"Alta",IF($P640&gt;=5,"Média","Baixa"))))</f>
        <v/>
      </c>
      <c r="O640" s="46" t="str">
        <f aca="false">IF($E640="","",IF(AND(Parâmetros!$C$5&gt;0,$P640&lt;&gt;"",$P640&gt;=Parâmetros!$C$5),"Sim","Não"))</f>
        <v/>
      </c>
      <c r="P640" s="45" t="str">
        <f aca="false">IF($E640="","",IF($G640="","",IF($G640="NOK",$F640,0)))</f>
        <v/>
      </c>
      <c r="Q640" s="46" t="str">
        <f aca="false">IF($E640="","",IF($O640&lt;&gt;"Sim","",COUNTIF($O$3:$O640,"Sim")))</f>
        <v/>
      </c>
      <c r="R640" s="47" t="n">
        <f aca="false">IF($P640="",0,$P640)</f>
        <v>0</v>
      </c>
    </row>
    <row r="641" customFormat="false" ht="18" hidden="false" customHeight="true" outlineLevel="0" collapsed="false">
      <c r="A641" s="39"/>
      <c r="B641" s="41"/>
      <c r="C641" s="40"/>
      <c r="D641" s="40"/>
      <c r="E641" s="40"/>
      <c r="F641" s="42"/>
      <c r="G641" s="39"/>
      <c r="H641" s="40"/>
      <c r="I641" s="40"/>
      <c r="J641" s="40"/>
      <c r="K641" s="41"/>
      <c r="L641" s="39"/>
      <c r="M641" s="48" t="str">
        <f aca="false">IF($E641="","",IFERROR(INDEX(Parâmetros!$C$15:$C$20,MATCH($P641,Parâmetros!$B$15:$B$20,0)),""))</f>
        <v/>
      </c>
      <c r="N641" s="46" t="str">
        <f aca="false">IF($E641="","",IF($P641="","",IF($P641&gt;=8,"Alta",IF($P641&gt;=5,"Média","Baixa"))))</f>
        <v/>
      </c>
      <c r="O641" s="46" t="str">
        <f aca="false">IF($E641="","",IF(AND(Parâmetros!$C$5&gt;0,$P641&lt;&gt;"",$P641&gt;=Parâmetros!$C$5),"Sim","Não"))</f>
        <v/>
      </c>
      <c r="P641" s="45" t="str">
        <f aca="false">IF($E641="","",IF($G641="","",IF($G641="NOK",$F641,0)))</f>
        <v/>
      </c>
      <c r="Q641" s="46" t="str">
        <f aca="false">IF($E641="","",IF($O641&lt;&gt;"Sim","",COUNTIF($O$3:$O641,"Sim")))</f>
        <v/>
      </c>
      <c r="R641" s="47" t="n">
        <f aca="false">IF($P641="",0,$P641)</f>
        <v>0</v>
      </c>
    </row>
    <row r="642" customFormat="false" ht="18" hidden="false" customHeight="true" outlineLevel="0" collapsed="false">
      <c r="A642" s="39"/>
      <c r="B642" s="41"/>
      <c r="C642" s="40"/>
      <c r="D642" s="40"/>
      <c r="E642" s="40"/>
      <c r="F642" s="42"/>
      <c r="G642" s="39"/>
      <c r="H642" s="40"/>
      <c r="I642" s="40"/>
      <c r="J642" s="40"/>
      <c r="K642" s="41"/>
      <c r="L642" s="39"/>
      <c r="M642" s="48" t="str">
        <f aca="false">IF($E642="","",IFERROR(INDEX(Parâmetros!$C$15:$C$20,MATCH($P642,Parâmetros!$B$15:$B$20,0)),""))</f>
        <v/>
      </c>
      <c r="N642" s="46" t="str">
        <f aca="false">IF($E642="","",IF($P642="","",IF($P642&gt;=8,"Alta",IF($P642&gt;=5,"Média","Baixa"))))</f>
        <v/>
      </c>
      <c r="O642" s="46" t="str">
        <f aca="false">IF($E642="","",IF(AND(Parâmetros!$C$5&gt;0,$P642&lt;&gt;"",$P642&gt;=Parâmetros!$C$5),"Sim","Não"))</f>
        <v/>
      </c>
      <c r="P642" s="45" t="str">
        <f aca="false">IF($E642="","",IF($G642="","",IF($G642="NOK",$F642,0)))</f>
        <v/>
      </c>
      <c r="Q642" s="46" t="str">
        <f aca="false">IF($E642="","",IF($O642&lt;&gt;"Sim","",COUNTIF($O$3:$O642,"Sim")))</f>
        <v/>
      </c>
      <c r="R642" s="47" t="n">
        <f aca="false">IF($P642="",0,$P642)</f>
        <v>0</v>
      </c>
    </row>
    <row r="643" customFormat="false" ht="18" hidden="false" customHeight="true" outlineLevel="0" collapsed="false">
      <c r="A643" s="39"/>
      <c r="B643" s="41"/>
      <c r="C643" s="40"/>
      <c r="D643" s="40"/>
      <c r="E643" s="40"/>
      <c r="F643" s="42"/>
      <c r="G643" s="39"/>
      <c r="H643" s="40"/>
      <c r="I643" s="40"/>
      <c r="J643" s="40"/>
      <c r="K643" s="41"/>
      <c r="L643" s="39"/>
      <c r="M643" s="48" t="str">
        <f aca="false">IF($E643="","",IFERROR(INDEX(Parâmetros!$C$15:$C$20,MATCH($P643,Parâmetros!$B$15:$B$20,0)),""))</f>
        <v/>
      </c>
      <c r="N643" s="46" t="str">
        <f aca="false">IF($E643="","",IF($P643="","",IF($P643&gt;=8,"Alta",IF($P643&gt;=5,"Média","Baixa"))))</f>
        <v/>
      </c>
      <c r="O643" s="46" t="str">
        <f aca="false">IF($E643="","",IF(AND(Parâmetros!$C$5&gt;0,$P643&lt;&gt;"",$P643&gt;=Parâmetros!$C$5),"Sim","Não"))</f>
        <v/>
      </c>
      <c r="P643" s="45" t="str">
        <f aca="false">IF($E643="","",IF($G643="","",IF($G643="NOK",$F643,0)))</f>
        <v/>
      </c>
      <c r="Q643" s="46" t="str">
        <f aca="false">IF($E643="","",IF($O643&lt;&gt;"Sim","",COUNTIF($O$3:$O643,"Sim")))</f>
        <v/>
      </c>
      <c r="R643" s="47" t="n">
        <f aca="false">IF($P643="",0,$P643)</f>
        <v>0</v>
      </c>
    </row>
    <row r="644" customFormat="false" ht="18" hidden="false" customHeight="true" outlineLevel="0" collapsed="false">
      <c r="A644" s="39"/>
      <c r="B644" s="41"/>
      <c r="C644" s="40"/>
      <c r="D644" s="40"/>
      <c r="E644" s="40"/>
      <c r="F644" s="42"/>
      <c r="G644" s="39"/>
      <c r="H644" s="40"/>
      <c r="I644" s="40"/>
      <c r="J644" s="40"/>
      <c r="K644" s="41"/>
      <c r="L644" s="39"/>
      <c r="M644" s="48" t="str">
        <f aca="false">IF($E644="","",IFERROR(INDEX(Parâmetros!$C$15:$C$20,MATCH($P644,Parâmetros!$B$15:$B$20,0)),""))</f>
        <v/>
      </c>
      <c r="N644" s="46" t="str">
        <f aca="false">IF($E644="","",IF($P644="","",IF($P644&gt;=8,"Alta",IF($P644&gt;=5,"Média","Baixa"))))</f>
        <v/>
      </c>
      <c r="O644" s="46" t="str">
        <f aca="false">IF($E644="","",IF(AND(Parâmetros!$C$5&gt;0,$P644&lt;&gt;"",$P644&gt;=Parâmetros!$C$5),"Sim","Não"))</f>
        <v/>
      </c>
      <c r="P644" s="45" t="str">
        <f aca="false">IF($E644="","",IF($G644="","",IF($G644="NOK",$F644,0)))</f>
        <v/>
      </c>
      <c r="Q644" s="46" t="str">
        <f aca="false">IF($E644="","",IF($O644&lt;&gt;"Sim","",COUNTIF($O$3:$O644,"Sim")))</f>
        <v/>
      </c>
      <c r="R644" s="47" t="n">
        <f aca="false">IF($P644="",0,$P644)</f>
        <v>0</v>
      </c>
    </row>
    <row r="645" customFormat="false" ht="18" hidden="false" customHeight="true" outlineLevel="0" collapsed="false">
      <c r="A645" s="39"/>
      <c r="B645" s="41"/>
      <c r="C645" s="40"/>
      <c r="D645" s="40"/>
      <c r="E645" s="40"/>
      <c r="F645" s="42"/>
      <c r="G645" s="39"/>
      <c r="H645" s="40"/>
      <c r="I645" s="40"/>
      <c r="J645" s="40"/>
      <c r="K645" s="41"/>
      <c r="L645" s="39"/>
      <c r="M645" s="48" t="str">
        <f aca="false">IF($E645="","",IFERROR(INDEX(Parâmetros!$C$15:$C$20,MATCH($P645,Parâmetros!$B$15:$B$20,0)),""))</f>
        <v/>
      </c>
      <c r="N645" s="46" t="str">
        <f aca="false">IF($E645="","",IF($P645="","",IF($P645&gt;=8,"Alta",IF($P645&gt;=5,"Média","Baixa"))))</f>
        <v/>
      </c>
      <c r="O645" s="46" t="str">
        <f aca="false">IF($E645="","",IF(AND(Parâmetros!$C$5&gt;0,$P645&lt;&gt;"",$P645&gt;=Parâmetros!$C$5),"Sim","Não"))</f>
        <v/>
      </c>
      <c r="P645" s="45" t="str">
        <f aca="false">IF($E645="","",IF($G645="","",IF($G645="NOK",$F645,0)))</f>
        <v/>
      </c>
      <c r="Q645" s="46" t="str">
        <f aca="false">IF($E645="","",IF($O645&lt;&gt;"Sim","",COUNTIF($O$3:$O645,"Sim")))</f>
        <v/>
      </c>
      <c r="R645" s="47" t="n">
        <f aca="false">IF($P645="",0,$P645)</f>
        <v>0</v>
      </c>
    </row>
    <row r="646" customFormat="false" ht="18" hidden="false" customHeight="true" outlineLevel="0" collapsed="false">
      <c r="A646" s="39"/>
      <c r="B646" s="41"/>
      <c r="C646" s="40"/>
      <c r="D646" s="40"/>
      <c r="E646" s="40"/>
      <c r="F646" s="42"/>
      <c r="G646" s="39"/>
      <c r="H646" s="40"/>
      <c r="I646" s="40"/>
      <c r="J646" s="40"/>
      <c r="K646" s="41"/>
      <c r="L646" s="39"/>
      <c r="M646" s="48" t="str">
        <f aca="false">IF($E646="","",IFERROR(INDEX(Parâmetros!$C$15:$C$20,MATCH($P646,Parâmetros!$B$15:$B$20,0)),""))</f>
        <v/>
      </c>
      <c r="N646" s="46" t="str">
        <f aca="false">IF($E646="","",IF($P646="","",IF($P646&gt;=8,"Alta",IF($P646&gt;=5,"Média","Baixa"))))</f>
        <v/>
      </c>
      <c r="O646" s="46" t="str">
        <f aca="false">IF($E646="","",IF(AND(Parâmetros!$C$5&gt;0,$P646&lt;&gt;"",$P646&gt;=Parâmetros!$C$5),"Sim","Não"))</f>
        <v/>
      </c>
      <c r="P646" s="45" t="str">
        <f aca="false">IF($E646="","",IF($G646="","",IF($G646="NOK",$F646,0)))</f>
        <v/>
      </c>
      <c r="Q646" s="46" t="str">
        <f aca="false">IF($E646="","",IF($O646&lt;&gt;"Sim","",COUNTIF($O$3:$O646,"Sim")))</f>
        <v/>
      </c>
      <c r="R646" s="47" t="n">
        <f aca="false">IF($P646="",0,$P646)</f>
        <v>0</v>
      </c>
    </row>
    <row r="647" customFormat="false" ht="18" hidden="false" customHeight="true" outlineLevel="0" collapsed="false">
      <c r="A647" s="39"/>
      <c r="B647" s="41"/>
      <c r="C647" s="40"/>
      <c r="D647" s="40"/>
      <c r="E647" s="40"/>
      <c r="F647" s="42"/>
      <c r="G647" s="39"/>
      <c r="H647" s="40"/>
      <c r="I647" s="40"/>
      <c r="J647" s="40"/>
      <c r="K647" s="41"/>
      <c r="L647" s="39"/>
      <c r="M647" s="48" t="str">
        <f aca="false">IF($E647="","",IFERROR(INDEX(Parâmetros!$C$15:$C$20,MATCH($P647,Parâmetros!$B$15:$B$20,0)),""))</f>
        <v/>
      </c>
      <c r="N647" s="46" t="str">
        <f aca="false">IF($E647="","",IF($P647="","",IF($P647&gt;=8,"Alta",IF($P647&gt;=5,"Média","Baixa"))))</f>
        <v/>
      </c>
      <c r="O647" s="46" t="str">
        <f aca="false">IF($E647="","",IF(AND(Parâmetros!$C$5&gt;0,$P647&lt;&gt;"",$P647&gt;=Parâmetros!$C$5),"Sim","Não"))</f>
        <v/>
      </c>
      <c r="P647" s="45" t="str">
        <f aca="false">IF($E647="","",IF($G647="","",IF($G647="NOK",$F647,0)))</f>
        <v/>
      </c>
      <c r="Q647" s="46" t="str">
        <f aca="false">IF($E647="","",IF($O647&lt;&gt;"Sim","",COUNTIF($O$3:$O647,"Sim")))</f>
        <v/>
      </c>
      <c r="R647" s="47" t="n">
        <f aca="false">IF($P647="",0,$P647)</f>
        <v>0</v>
      </c>
    </row>
    <row r="648" customFormat="false" ht="18" hidden="false" customHeight="true" outlineLevel="0" collapsed="false">
      <c r="A648" s="39"/>
      <c r="B648" s="41"/>
      <c r="C648" s="40"/>
      <c r="D648" s="40"/>
      <c r="E648" s="40"/>
      <c r="F648" s="42"/>
      <c r="G648" s="39"/>
      <c r="H648" s="40"/>
      <c r="I648" s="40"/>
      <c r="J648" s="40"/>
      <c r="K648" s="41"/>
      <c r="L648" s="39"/>
      <c r="M648" s="48" t="str">
        <f aca="false">IF($E648="","",IFERROR(INDEX(Parâmetros!$C$15:$C$20,MATCH($P648,Parâmetros!$B$15:$B$20,0)),""))</f>
        <v/>
      </c>
      <c r="N648" s="46" t="str">
        <f aca="false">IF($E648="","",IF($P648="","",IF($P648&gt;=8,"Alta",IF($P648&gt;=5,"Média","Baixa"))))</f>
        <v/>
      </c>
      <c r="O648" s="46" t="str">
        <f aca="false">IF($E648="","",IF(AND(Parâmetros!$C$5&gt;0,$P648&lt;&gt;"",$P648&gt;=Parâmetros!$C$5),"Sim","Não"))</f>
        <v/>
      </c>
      <c r="P648" s="45" t="str">
        <f aca="false">IF($E648="","",IF($G648="","",IF($G648="NOK",$F648,0)))</f>
        <v/>
      </c>
      <c r="Q648" s="46" t="str">
        <f aca="false">IF($E648="","",IF($O648&lt;&gt;"Sim","",COUNTIF($O$3:$O648,"Sim")))</f>
        <v/>
      </c>
      <c r="R648" s="47" t="n">
        <f aca="false">IF($P648="",0,$P648)</f>
        <v>0</v>
      </c>
    </row>
    <row r="649" customFormat="false" ht="18" hidden="false" customHeight="true" outlineLevel="0" collapsed="false">
      <c r="A649" s="39"/>
      <c r="B649" s="41"/>
      <c r="C649" s="40"/>
      <c r="D649" s="40"/>
      <c r="E649" s="40"/>
      <c r="F649" s="42"/>
      <c r="G649" s="39"/>
      <c r="H649" s="40"/>
      <c r="I649" s="40"/>
      <c r="J649" s="40"/>
      <c r="K649" s="41"/>
      <c r="L649" s="39"/>
      <c r="M649" s="48" t="str">
        <f aca="false">IF($E649="","",IFERROR(INDEX(Parâmetros!$C$15:$C$20,MATCH($P649,Parâmetros!$B$15:$B$20,0)),""))</f>
        <v/>
      </c>
      <c r="N649" s="46" t="str">
        <f aca="false">IF($E649="","",IF($P649="","",IF($P649&gt;=8,"Alta",IF($P649&gt;=5,"Média","Baixa"))))</f>
        <v/>
      </c>
      <c r="O649" s="46" t="str">
        <f aca="false">IF($E649="","",IF(AND(Parâmetros!$C$5&gt;0,$P649&lt;&gt;"",$P649&gt;=Parâmetros!$C$5),"Sim","Não"))</f>
        <v/>
      </c>
      <c r="P649" s="45" t="str">
        <f aca="false">IF($E649="","",IF($G649="","",IF($G649="NOK",$F649,0)))</f>
        <v/>
      </c>
      <c r="Q649" s="46" t="str">
        <f aca="false">IF($E649="","",IF($O649&lt;&gt;"Sim","",COUNTIF($O$3:$O649,"Sim")))</f>
        <v/>
      </c>
      <c r="R649" s="47" t="n">
        <f aca="false">IF($P649="",0,$P649)</f>
        <v>0</v>
      </c>
    </row>
    <row r="650" customFormat="false" ht="18" hidden="false" customHeight="true" outlineLevel="0" collapsed="false">
      <c r="A650" s="39"/>
      <c r="B650" s="41"/>
      <c r="C650" s="40"/>
      <c r="D650" s="40"/>
      <c r="E650" s="40"/>
      <c r="F650" s="42"/>
      <c r="G650" s="39"/>
      <c r="H650" s="40"/>
      <c r="I650" s="40"/>
      <c r="J650" s="40"/>
      <c r="K650" s="41"/>
      <c r="L650" s="39"/>
      <c r="M650" s="48" t="str">
        <f aca="false">IF($E650="","",IFERROR(INDEX(Parâmetros!$C$15:$C$20,MATCH($P650,Parâmetros!$B$15:$B$20,0)),""))</f>
        <v/>
      </c>
      <c r="N650" s="46" t="str">
        <f aca="false">IF($E650="","",IF($P650="","",IF($P650&gt;=8,"Alta",IF($P650&gt;=5,"Média","Baixa"))))</f>
        <v/>
      </c>
      <c r="O650" s="46" t="str">
        <f aca="false">IF($E650="","",IF(AND(Parâmetros!$C$5&gt;0,$P650&lt;&gt;"",$P650&gt;=Parâmetros!$C$5),"Sim","Não"))</f>
        <v/>
      </c>
      <c r="P650" s="45" t="str">
        <f aca="false">IF($E650="","",IF($G650="","",IF($G650="NOK",$F650,0)))</f>
        <v/>
      </c>
      <c r="Q650" s="46" t="str">
        <f aca="false">IF($E650="","",IF($O650&lt;&gt;"Sim","",COUNTIF($O$3:$O650,"Sim")))</f>
        <v/>
      </c>
      <c r="R650" s="47" t="n">
        <f aca="false">IF($P650="",0,$P650)</f>
        <v>0</v>
      </c>
    </row>
    <row r="651" customFormat="false" ht="18" hidden="false" customHeight="true" outlineLevel="0" collapsed="false">
      <c r="A651" s="39"/>
      <c r="B651" s="41"/>
      <c r="C651" s="40"/>
      <c r="D651" s="40"/>
      <c r="E651" s="40"/>
      <c r="F651" s="42"/>
      <c r="G651" s="39"/>
      <c r="H651" s="40"/>
      <c r="I651" s="40"/>
      <c r="J651" s="40"/>
      <c r="K651" s="41"/>
      <c r="L651" s="39"/>
      <c r="M651" s="48" t="str">
        <f aca="false">IF($E651="","",IFERROR(INDEX(Parâmetros!$C$15:$C$20,MATCH($P651,Parâmetros!$B$15:$B$20,0)),""))</f>
        <v/>
      </c>
      <c r="N651" s="46" t="str">
        <f aca="false">IF($E651="","",IF($P651="","",IF($P651&gt;=8,"Alta",IF($P651&gt;=5,"Média","Baixa"))))</f>
        <v/>
      </c>
      <c r="O651" s="46" t="str">
        <f aca="false">IF($E651="","",IF(AND(Parâmetros!$C$5&gt;0,$P651&lt;&gt;"",$P651&gt;=Parâmetros!$C$5),"Sim","Não"))</f>
        <v/>
      </c>
      <c r="P651" s="45" t="str">
        <f aca="false">IF($E651="","",IF($G651="","",IF($G651="NOK",$F651,0)))</f>
        <v/>
      </c>
      <c r="Q651" s="46" t="str">
        <f aca="false">IF($E651="","",IF($O651&lt;&gt;"Sim","",COUNTIF($O$3:$O651,"Sim")))</f>
        <v/>
      </c>
      <c r="R651" s="47" t="n">
        <f aca="false">IF($P651="",0,$P651)</f>
        <v>0</v>
      </c>
    </row>
    <row r="652" customFormat="false" ht="18" hidden="false" customHeight="true" outlineLevel="0" collapsed="false">
      <c r="A652" s="39"/>
      <c r="B652" s="41"/>
      <c r="C652" s="40"/>
      <c r="D652" s="40"/>
      <c r="E652" s="40"/>
      <c r="F652" s="42"/>
      <c r="G652" s="39"/>
      <c r="H652" s="40"/>
      <c r="I652" s="40"/>
      <c r="J652" s="40"/>
      <c r="K652" s="41"/>
      <c r="L652" s="39"/>
      <c r="M652" s="48" t="str">
        <f aca="false">IF($E652="","",IFERROR(INDEX(Parâmetros!$C$15:$C$20,MATCH($P652,Parâmetros!$B$15:$B$20,0)),""))</f>
        <v/>
      </c>
      <c r="N652" s="46" t="str">
        <f aca="false">IF($E652="","",IF($P652="","",IF($P652&gt;=8,"Alta",IF($P652&gt;=5,"Média","Baixa"))))</f>
        <v/>
      </c>
      <c r="O652" s="46" t="str">
        <f aca="false">IF($E652="","",IF(AND(Parâmetros!$C$5&gt;0,$P652&lt;&gt;"",$P652&gt;=Parâmetros!$C$5),"Sim","Não"))</f>
        <v/>
      </c>
      <c r="P652" s="45" t="str">
        <f aca="false">IF($E652="","",IF($G652="","",IF($G652="NOK",$F652,0)))</f>
        <v/>
      </c>
      <c r="Q652" s="46" t="str">
        <f aca="false">IF($E652="","",IF($O652&lt;&gt;"Sim","",COUNTIF($O$3:$O652,"Sim")))</f>
        <v/>
      </c>
      <c r="R652" s="47" t="n">
        <f aca="false">IF($P652="",0,$P652)</f>
        <v>0</v>
      </c>
    </row>
    <row r="653" customFormat="false" ht="18" hidden="false" customHeight="true" outlineLevel="0" collapsed="false">
      <c r="A653" s="39"/>
      <c r="B653" s="41"/>
      <c r="C653" s="40"/>
      <c r="D653" s="40"/>
      <c r="E653" s="40"/>
      <c r="F653" s="42"/>
      <c r="G653" s="39"/>
      <c r="H653" s="40"/>
      <c r="I653" s="40"/>
      <c r="J653" s="40"/>
      <c r="K653" s="41"/>
      <c r="L653" s="39"/>
      <c r="M653" s="48" t="str">
        <f aca="false">IF($E653="","",IFERROR(INDEX(Parâmetros!$C$15:$C$20,MATCH($P653,Parâmetros!$B$15:$B$20,0)),""))</f>
        <v/>
      </c>
      <c r="N653" s="46" t="str">
        <f aca="false">IF($E653="","",IF($P653="","",IF($P653&gt;=8,"Alta",IF($P653&gt;=5,"Média","Baixa"))))</f>
        <v/>
      </c>
      <c r="O653" s="46" t="str">
        <f aca="false">IF($E653="","",IF(AND(Parâmetros!$C$5&gt;0,$P653&lt;&gt;"",$P653&gt;=Parâmetros!$C$5),"Sim","Não"))</f>
        <v/>
      </c>
      <c r="P653" s="45" t="str">
        <f aca="false">IF($E653="","",IF($G653="","",IF($G653="NOK",$F653,0)))</f>
        <v/>
      </c>
      <c r="Q653" s="46" t="str">
        <f aca="false">IF($E653="","",IF($O653&lt;&gt;"Sim","",COUNTIF($O$3:$O653,"Sim")))</f>
        <v/>
      </c>
      <c r="R653" s="47" t="n">
        <f aca="false">IF($P653="",0,$P653)</f>
        <v>0</v>
      </c>
    </row>
    <row r="654" customFormat="false" ht="18" hidden="false" customHeight="true" outlineLevel="0" collapsed="false">
      <c r="A654" s="39"/>
      <c r="B654" s="41"/>
      <c r="C654" s="40"/>
      <c r="D654" s="40"/>
      <c r="E654" s="40"/>
      <c r="F654" s="42"/>
      <c r="G654" s="39"/>
      <c r="H654" s="40"/>
      <c r="I654" s="40"/>
      <c r="J654" s="40"/>
      <c r="K654" s="41"/>
      <c r="L654" s="39"/>
      <c r="M654" s="48" t="str">
        <f aca="false">IF($E654="","",IFERROR(INDEX(Parâmetros!$C$15:$C$20,MATCH($P654,Parâmetros!$B$15:$B$20,0)),""))</f>
        <v/>
      </c>
      <c r="N654" s="46" t="str">
        <f aca="false">IF($E654="","",IF($P654="","",IF($P654&gt;=8,"Alta",IF($P654&gt;=5,"Média","Baixa"))))</f>
        <v/>
      </c>
      <c r="O654" s="46" t="str">
        <f aca="false">IF($E654="","",IF(AND(Parâmetros!$C$5&gt;0,$P654&lt;&gt;"",$P654&gt;=Parâmetros!$C$5),"Sim","Não"))</f>
        <v/>
      </c>
      <c r="P654" s="45" t="str">
        <f aca="false">IF($E654="","",IF($G654="","",IF($G654="NOK",$F654,0)))</f>
        <v/>
      </c>
      <c r="Q654" s="46" t="str">
        <f aca="false">IF($E654="","",IF($O654&lt;&gt;"Sim","",COUNTIF($O$3:$O654,"Sim")))</f>
        <v/>
      </c>
      <c r="R654" s="47" t="n">
        <f aca="false">IF($P654="",0,$P654)</f>
        <v>0</v>
      </c>
    </row>
    <row r="655" customFormat="false" ht="18" hidden="false" customHeight="true" outlineLevel="0" collapsed="false">
      <c r="A655" s="39"/>
      <c r="B655" s="41"/>
      <c r="C655" s="40"/>
      <c r="D655" s="40"/>
      <c r="E655" s="40"/>
      <c r="F655" s="42"/>
      <c r="G655" s="39"/>
      <c r="H655" s="40"/>
      <c r="I655" s="40"/>
      <c r="J655" s="40"/>
      <c r="K655" s="41"/>
      <c r="L655" s="39"/>
      <c r="M655" s="48" t="str">
        <f aca="false">IF($E655="","",IFERROR(INDEX(Parâmetros!$C$15:$C$20,MATCH($P655,Parâmetros!$B$15:$B$20,0)),""))</f>
        <v/>
      </c>
      <c r="N655" s="46" t="str">
        <f aca="false">IF($E655="","",IF($P655="","",IF($P655&gt;=8,"Alta",IF($P655&gt;=5,"Média","Baixa"))))</f>
        <v/>
      </c>
      <c r="O655" s="46" t="str">
        <f aca="false">IF($E655="","",IF(AND(Parâmetros!$C$5&gt;0,$P655&lt;&gt;"",$P655&gt;=Parâmetros!$C$5),"Sim","Não"))</f>
        <v/>
      </c>
      <c r="P655" s="45" t="str">
        <f aca="false">IF($E655="","",IF($G655="","",IF($G655="NOK",$F655,0)))</f>
        <v/>
      </c>
      <c r="Q655" s="46" t="str">
        <f aca="false">IF($E655="","",IF($O655&lt;&gt;"Sim","",COUNTIF($O$3:$O655,"Sim")))</f>
        <v/>
      </c>
      <c r="R655" s="47" t="n">
        <f aca="false">IF($P655="",0,$P655)</f>
        <v>0</v>
      </c>
    </row>
    <row r="656" customFormat="false" ht="18" hidden="false" customHeight="true" outlineLevel="0" collapsed="false">
      <c r="A656" s="39"/>
      <c r="B656" s="41"/>
      <c r="C656" s="40"/>
      <c r="D656" s="40"/>
      <c r="E656" s="40"/>
      <c r="F656" s="42"/>
      <c r="G656" s="39"/>
      <c r="H656" s="40"/>
      <c r="I656" s="40"/>
      <c r="J656" s="40"/>
      <c r="K656" s="41"/>
      <c r="L656" s="39"/>
      <c r="M656" s="48" t="str">
        <f aca="false">IF($E656="","",IFERROR(INDEX(Parâmetros!$C$15:$C$20,MATCH($P656,Parâmetros!$B$15:$B$20,0)),""))</f>
        <v/>
      </c>
      <c r="N656" s="46" t="str">
        <f aca="false">IF($E656="","",IF($P656="","",IF($P656&gt;=8,"Alta",IF($P656&gt;=5,"Média","Baixa"))))</f>
        <v/>
      </c>
      <c r="O656" s="46" t="str">
        <f aca="false">IF($E656="","",IF(AND(Parâmetros!$C$5&gt;0,$P656&lt;&gt;"",$P656&gt;=Parâmetros!$C$5),"Sim","Não"))</f>
        <v/>
      </c>
      <c r="P656" s="45" t="str">
        <f aca="false">IF($E656="","",IF($G656="","",IF($G656="NOK",$F656,0)))</f>
        <v/>
      </c>
      <c r="Q656" s="46" t="str">
        <f aca="false">IF($E656="","",IF($O656&lt;&gt;"Sim","",COUNTIF($O$3:$O656,"Sim")))</f>
        <v/>
      </c>
      <c r="R656" s="47" t="n">
        <f aca="false">IF($P656="",0,$P656)</f>
        <v>0</v>
      </c>
    </row>
    <row r="657" customFormat="false" ht="18" hidden="false" customHeight="true" outlineLevel="0" collapsed="false">
      <c r="A657" s="39"/>
      <c r="B657" s="41"/>
      <c r="C657" s="40"/>
      <c r="D657" s="40"/>
      <c r="E657" s="40"/>
      <c r="F657" s="42"/>
      <c r="G657" s="39"/>
      <c r="H657" s="40"/>
      <c r="I657" s="40"/>
      <c r="J657" s="40"/>
      <c r="K657" s="41"/>
      <c r="L657" s="39"/>
      <c r="M657" s="48" t="str">
        <f aca="false">IF($E657="","",IFERROR(INDEX(Parâmetros!$C$15:$C$20,MATCH($P657,Parâmetros!$B$15:$B$20,0)),""))</f>
        <v/>
      </c>
      <c r="N657" s="46" t="str">
        <f aca="false">IF($E657="","",IF($P657="","",IF($P657&gt;=8,"Alta",IF($P657&gt;=5,"Média","Baixa"))))</f>
        <v/>
      </c>
      <c r="O657" s="46" t="str">
        <f aca="false">IF($E657="","",IF(AND(Parâmetros!$C$5&gt;0,$P657&lt;&gt;"",$P657&gt;=Parâmetros!$C$5),"Sim","Não"))</f>
        <v/>
      </c>
      <c r="P657" s="45" t="str">
        <f aca="false">IF($E657="","",IF($G657="","",IF($G657="NOK",$F657,0)))</f>
        <v/>
      </c>
      <c r="Q657" s="46" t="str">
        <f aca="false">IF($E657="","",IF($O657&lt;&gt;"Sim","",COUNTIF($O$3:$O657,"Sim")))</f>
        <v/>
      </c>
      <c r="R657" s="47" t="n">
        <f aca="false">IF($P657="",0,$P657)</f>
        <v>0</v>
      </c>
    </row>
    <row r="658" customFormat="false" ht="18" hidden="false" customHeight="true" outlineLevel="0" collapsed="false">
      <c r="A658" s="39"/>
      <c r="B658" s="41"/>
      <c r="C658" s="40"/>
      <c r="D658" s="40"/>
      <c r="E658" s="40"/>
      <c r="F658" s="42"/>
      <c r="G658" s="39"/>
      <c r="H658" s="40"/>
      <c r="I658" s="40"/>
      <c r="J658" s="40"/>
      <c r="K658" s="41"/>
      <c r="L658" s="39"/>
      <c r="M658" s="48" t="str">
        <f aca="false">IF($E658="","",IFERROR(INDEX(Parâmetros!$C$15:$C$20,MATCH($P658,Parâmetros!$B$15:$B$20,0)),""))</f>
        <v/>
      </c>
      <c r="N658" s="46" t="str">
        <f aca="false">IF($E658="","",IF($P658="","",IF($P658&gt;=8,"Alta",IF($P658&gt;=5,"Média","Baixa"))))</f>
        <v/>
      </c>
      <c r="O658" s="46" t="str">
        <f aca="false">IF($E658="","",IF(AND(Parâmetros!$C$5&gt;0,$P658&lt;&gt;"",$P658&gt;=Parâmetros!$C$5),"Sim","Não"))</f>
        <v/>
      </c>
      <c r="P658" s="45" t="str">
        <f aca="false">IF($E658="","",IF($G658="","",IF($G658="NOK",$F658,0)))</f>
        <v/>
      </c>
      <c r="Q658" s="46" t="str">
        <f aca="false">IF($E658="","",IF($O658&lt;&gt;"Sim","",COUNTIF($O$3:$O658,"Sim")))</f>
        <v/>
      </c>
      <c r="R658" s="47" t="n">
        <f aca="false">IF($P658="",0,$P658)</f>
        <v>0</v>
      </c>
    </row>
    <row r="659" customFormat="false" ht="18" hidden="false" customHeight="true" outlineLevel="0" collapsed="false">
      <c r="A659" s="39"/>
      <c r="B659" s="41"/>
      <c r="C659" s="40"/>
      <c r="D659" s="40"/>
      <c r="E659" s="40"/>
      <c r="F659" s="42"/>
      <c r="G659" s="39"/>
      <c r="H659" s="40"/>
      <c r="I659" s="40"/>
      <c r="J659" s="40"/>
      <c r="K659" s="41"/>
      <c r="L659" s="39"/>
      <c r="M659" s="48" t="str">
        <f aca="false">IF($E659="","",IFERROR(INDEX(Parâmetros!$C$15:$C$20,MATCH($P659,Parâmetros!$B$15:$B$20,0)),""))</f>
        <v/>
      </c>
      <c r="N659" s="46" t="str">
        <f aca="false">IF($E659="","",IF($P659="","",IF($P659&gt;=8,"Alta",IF($P659&gt;=5,"Média","Baixa"))))</f>
        <v/>
      </c>
      <c r="O659" s="46" t="str">
        <f aca="false">IF($E659="","",IF(AND(Parâmetros!$C$5&gt;0,$P659&lt;&gt;"",$P659&gt;=Parâmetros!$C$5),"Sim","Não"))</f>
        <v/>
      </c>
      <c r="P659" s="45" t="str">
        <f aca="false">IF($E659="","",IF($G659="","",IF($G659="NOK",$F659,0)))</f>
        <v/>
      </c>
      <c r="Q659" s="46" t="str">
        <f aca="false">IF($E659="","",IF($O659&lt;&gt;"Sim","",COUNTIF($O$3:$O659,"Sim")))</f>
        <v/>
      </c>
      <c r="R659" s="47" t="n">
        <f aca="false">IF($P659="",0,$P659)</f>
        <v>0</v>
      </c>
    </row>
    <row r="660" customFormat="false" ht="18" hidden="false" customHeight="true" outlineLevel="0" collapsed="false">
      <c r="A660" s="39"/>
      <c r="B660" s="41"/>
      <c r="C660" s="40"/>
      <c r="D660" s="40"/>
      <c r="E660" s="40"/>
      <c r="F660" s="42"/>
      <c r="G660" s="39"/>
      <c r="H660" s="40"/>
      <c r="I660" s="40"/>
      <c r="J660" s="40"/>
      <c r="K660" s="41"/>
      <c r="L660" s="39"/>
      <c r="M660" s="48" t="str">
        <f aca="false">IF($E660="","",IFERROR(INDEX(Parâmetros!$C$15:$C$20,MATCH($P660,Parâmetros!$B$15:$B$20,0)),""))</f>
        <v/>
      </c>
      <c r="N660" s="46" t="str">
        <f aca="false">IF($E660="","",IF($P660="","",IF($P660&gt;=8,"Alta",IF($P660&gt;=5,"Média","Baixa"))))</f>
        <v/>
      </c>
      <c r="O660" s="46" t="str">
        <f aca="false">IF($E660="","",IF(AND(Parâmetros!$C$5&gt;0,$P660&lt;&gt;"",$P660&gt;=Parâmetros!$C$5),"Sim","Não"))</f>
        <v/>
      </c>
      <c r="P660" s="45" t="str">
        <f aca="false">IF($E660="","",IF($G660="","",IF($G660="NOK",$F660,0)))</f>
        <v/>
      </c>
      <c r="Q660" s="46" t="str">
        <f aca="false">IF($E660="","",IF($O660&lt;&gt;"Sim","",COUNTIF($O$3:$O660,"Sim")))</f>
        <v/>
      </c>
      <c r="R660" s="47" t="n">
        <f aca="false">IF($P660="",0,$P660)</f>
        <v>0</v>
      </c>
    </row>
    <row r="661" customFormat="false" ht="18" hidden="false" customHeight="true" outlineLevel="0" collapsed="false">
      <c r="A661" s="39"/>
      <c r="B661" s="41"/>
      <c r="C661" s="40"/>
      <c r="D661" s="40"/>
      <c r="E661" s="40"/>
      <c r="F661" s="42"/>
      <c r="G661" s="39"/>
      <c r="H661" s="40"/>
      <c r="I661" s="40"/>
      <c r="J661" s="40"/>
      <c r="K661" s="41"/>
      <c r="L661" s="39"/>
      <c r="M661" s="48" t="str">
        <f aca="false">IF($E661="","",IFERROR(INDEX(Parâmetros!$C$15:$C$20,MATCH($P661,Parâmetros!$B$15:$B$20,0)),""))</f>
        <v/>
      </c>
      <c r="N661" s="46" t="str">
        <f aca="false">IF($E661="","",IF($P661="","",IF($P661&gt;=8,"Alta",IF($P661&gt;=5,"Média","Baixa"))))</f>
        <v/>
      </c>
      <c r="O661" s="46" t="str">
        <f aca="false">IF($E661="","",IF(AND(Parâmetros!$C$5&gt;0,$P661&lt;&gt;"",$P661&gt;=Parâmetros!$C$5),"Sim","Não"))</f>
        <v/>
      </c>
      <c r="P661" s="45" t="str">
        <f aca="false">IF($E661="","",IF($G661="","",IF($G661="NOK",$F661,0)))</f>
        <v/>
      </c>
      <c r="Q661" s="46" t="str">
        <f aca="false">IF($E661="","",IF($O661&lt;&gt;"Sim","",COUNTIF($O$3:$O661,"Sim")))</f>
        <v/>
      </c>
      <c r="R661" s="47" t="n">
        <f aca="false">IF($P661="",0,$P661)</f>
        <v>0</v>
      </c>
    </row>
    <row r="662" customFormat="false" ht="18" hidden="false" customHeight="true" outlineLevel="0" collapsed="false">
      <c r="A662" s="39"/>
      <c r="B662" s="41"/>
      <c r="C662" s="40"/>
      <c r="D662" s="40"/>
      <c r="E662" s="40"/>
      <c r="F662" s="42"/>
      <c r="G662" s="39"/>
      <c r="H662" s="40"/>
      <c r="I662" s="40"/>
      <c r="J662" s="40"/>
      <c r="K662" s="41"/>
      <c r="L662" s="39"/>
      <c r="M662" s="48" t="str">
        <f aca="false">IF($E662="","",IFERROR(INDEX(Parâmetros!$C$15:$C$20,MATCH($P662,Parâmetros!$B$15:$B$20,0)),""))</f>
        <v/>
      </c>
      <c r="N662" s="46" t="str">
        <f aca="false">IF($E662="","",IF($P662="","",IF($P662&gt;=8,"Alta",IF($P662&gt;=5,"Média","Baixa"))))</f>
        <v/>
      </c>
      <c r="O662" s="46" t="str">
        <f aca="false">IF($E662="","",IF(AND(Parâmetros!$C$5&gt;0,$P662&lt;&gt;"",$P662&gt;=Parâmetros!$C$5),"Sim","Não"))</f>
        <v/>
      </c>
      <c r="P662" s="45" t="str">
        <f aca="false">IF($E662="","",IF($G662="","",IF($G662="NOK",$F662,0)))</f>
        <v/>
      </c>
      <c r="Q662" s="46" t="str">
        <f aca="false">IF($E662="","",IF($O662&lt;&gt;"Sim","",COUNTIF($O$3:$O662,"Sim")))</f>
        <v/>
      </c>
      <c r="R662" s="47" t="n">
        <f aca="false">IF($P662="",0,$P662)</f>
        <v>0</v>
      </c>
    </row>
    <row r="663" customFormat="false" ht="18" hidden="false" customHeight="true" outlineLevel="0" collapsed="false">
      <c r="A663" s="39"/>
      <c r="B663" s="41"/>
      <c r="C663" s="40"/>
      <c r="D663" s="40"/>
      <c r="E663" s="40"/>
      <c r="F663" s="42"/>
      <c r="G663" s="39"/>
      <c r="H663" s="40"/>
      <c r="I663" s="40"/>
      <c r="J663" s="40"/>
      <c r="K663" s="41"/>
      <c r="L663" s="39"/>
      <c r="M663" s="48" t="str">
        <f aca="false">IF($E663="","",IFERROR(INDEX(Parâmetros!$C$15:$C$20,MATCH($P663,Parâmetros!$B$15:$B$20,0)),""))</f>
        <v/>
      </c>
      <c r="N663" s="46" t="str">
        <f aca="false">IF($E663="","",IF($P663="","",IF($P663&gt;=8,"Alta",IF($P663&gt;=5,"Média","Baixa"))))</f>
        <v/>
      </c>
      <c r="O663" s="46" t="str">
        <f aca="false">IF($E663="","",IF(AND(Parâmetros!$C$5&gt;0,$P663&lt;&gt;"",$P663&gt;=Parâmetros!$C$5),"Sim","Não"))</f>
        <v/>
      </c>
      <c r="P663" s="45" t="str">
        <f aca="false">IF($E663="","",IF($G663="","",IF($G663="NOK",$F663,0)))</f>
        <v/>
      </c>
      <c r="Q663" s="46" t="str">
        <f aca="false">IF($E663="","",IF($O663&lt;&gt;"Sim","",COUNTIF($O$3:$O663,"Sim")))</f>
        <v/>
      </c>
      <c r="R663" s="47" t="n">
        <f aca="false">IF($P663="",0,$P663)</f>
        <v>0</v>
      </c>
    </row>
    <row r="664" customFormat="false" ht="18" hidden="false" customHeight="true" outlineLevel="0" collapsed="false">
      <c r="A664" s="39"/>
      <c r="B664" s="41"/>
      <c r="C664" s="40"/>
      <c r="D664" s="40"/>
      <c r="E664" s="40"/>
      <c r="F664" s="42"/>
      <c r="G664" s="39"/>
      <c r="H664" s="40"/>
      <c r="I664" s="40"/>
      <c r="J664" s="40"/>
      <c r="K664" s="41"/>
      <c r="L664" s="39"/>
      <c r="M664" s="48" t="str">
        <f aca="false">IF($E664="","",IFERROR(INDEX(Parâmetros!$C$15:$C$20,MATCH($P664,Parâmetros!$B$15:$B$20,0)),""))</f>
        <v/>
      </c>
      <c r="N664" s="46" t="str">
        <f aca="false">IF($E664="","",IF($P664="","",IF($P664&gt;=8,"Alta",IF($P664&gt;=5,"Média","Baixa"))))</f>
        <v/>
      </c>
      <c r="O664" s="46" t="str">
        <f aca="false">IF($E664="","",IF(AND(Parâmetros!$C$5&gt;0,$P664&lt;&gt;"",$P664&gt;=Parâmetros!$C$5),"Sim","Não"))</f>
        <v/>
      </c>
      <c r="P664" s="45" t="str">
        <f aca="false">IF($E664="","",IF($G664="","",IF($G664="NOK",$F664,0)))</f>
        <v/>
      </c>
      <c r="Q664" s="46" t="str">
        <f aca="false">IF($E664="","",IF($O664&lt;&gt;"Sim","",COUNTIF($O$3:$O664,"Sim")))</f>
        <v/>
      </c>
      <c r="R664" s="47" t="n">
        <f aca="false">IF($P664="",0,$P664)</f>
        <v>0</v>
      </c>
    </row>
    <row r="665" customFormat="false" ht="18" hidden="false" customHeight="true" outlineLevel="0" collapsed="false">
      <c r="A665" s="39"/>
      <c r="B665" s="41"/>
      <c r="C665" s="40"/>
      <c r="D665" s="40"/>
      <c r="E665" s="40"/>
      <c r="F665" s="42"/>
      <c r="G665" s="39"/>
      <c r="H665" s="40"/>
      <c r="I665" s="40"/>
      <c r="J665" s="40"/>
      <c r="K665" s="41"/>
      <c r="L665" s="39"/>
      <c r="M665" s="48" t="str">
        <f aca="false">IF($E665="","",IFERROR(INDEX(Parâmetros!$C$15:$C$20,MATCH($P665,Parâmetros!$B$15:$B$20,0)),""))</f>
        <v/>
      </c>
      <c r="N665" s="46" t="str">
        <f aca="false">IF($E665="","",IF($P665="","",IF($P665&gt;=8,"Alta",IF($P665&gt;=5,"Média","Baixa"))))</f>
        <v/>
      </c>
      <c r="O665" s="46" t="str">
        <f aca="false">IF($E665="","",IF(AND(Parâmetros!$C$5&gt;0,$P665&lt;&gt;"",$P665&gt;=Parâmetros!$C$5),"Sim","Não"))</f>
        <v/>
      </c>
      <c r="P665" s="45" t="str">
        <f aca="false">IF($E665="","",IF($G665="","",IF($G665="NOK",$F665,0)))</f>
        <v/>
      </c>
      <c r="Q665" s="46" t="str">
        <f aca="false">IF($E665="","",IF($O665&lt;&gt;"Sim","",COUNTIF($O$3:$O665,"Sim")))</f>
        <v/>
      </c>
      <c r="R665" s="47" t="n">
        <f aca="false">IF($P665="",0,$P665)</f>
        <v>0</v>
      </c>
    </row>
    <row r="666" customFormat="false" ht="18" hidden="false" customHeight="true" outlineLevel="0" collapsed="false">
      <c r="A666" s="39"/>
      <c r="B666" s="41"/>
      <c r="C666" s="40"/>
      <c r="D666" s="40"/>
      <c r="E666" s="40"/>
      <c r="F666" s="42"/>
      <c r="G666" s="39"/>
      <c r="H666" s="40"/>
      <c r="I666" s="40"/>
      <c r="J666" s="40"/>
      <c r="K666" s="41"/>
      <c r="L666" s="39"/>
      <c r="M666" s="48" t="str">
        <f aca="false">IF($E666="","",IFERROR(INDEX(Parâmetros!$C$15:$C$20,MATCH($P666,Parâmetros!$B$15:$B$20,0)),""))</f>
        <v/>
      </c>
      <c r="N666" s="46" t="str">
        <f aca="false">IF($E666="","",IF($P666="","",IF($P666&gt;=8,"Alta",IF($P666&gt;=5,"Média","Baixa"))))</f>
        <v/>
      </c>
      <c r="O666" s="46" t="str">
        <f aca="false">IF($E666="","",IF(AND(Parâmetros!$C$5&gt;0,$P666&lt;&gt;"",$P666&gt;=Parâmetros!$C$5),"Sim","Não"))</f>
        <v/>
      </c>
      <c r="P666" s="45" t="str">
        <f aca="false">IF($E666="","",IF($G666="","",IF($G666="NOK",$F666,0)))</f>
        <v/>
      </c>
      <c r="Q666" s="46" t="str">
        <f aca="false">IF($E666="","",IF($O666&lt;&gt;"Sim","",COUNTIF($O$3:$O666,"Sim")))</f>
        <v/>
      </c>
      <c r="R666" s="47" t="n">
        <f aca="false">IF($P666="",0,$P666)</f>
        <v>0</v>
      </c>
    </row>
    <row r="667" customFormat="false" ht="18" hidden="false" customHeight="true" outlineLevel="0" collapsed="false">
      <c r="A667" s="39"/>
      <c r="B667" s="41"/>
      <c r="C667" s="40"/>
      <c r="D667" s="40"/>
      <c r="E667" s="40"/>
      <c r="F667" s="42"/>
      <c r="G667" s="39"/>
      <c r="H667" s="40"/>
      <c r="I667" s="40"/>
      <c r="J667" s="40"/>
      <c r="K667" s="41"/>
      <c r="L667" s="39"/>
      <c r="M667" s="48" t="str">
        <f aca="false">IF($E667="","",IFERROR(INDEX(Parâmetros!$C$15:$C$20,MATCH($P667,Parâmetros!$B$15:$B$20,0)),""))</f>
        <v/>
      </c>
      <c r="N667" s="46" t="str">
        <f aca="false">IF($E667="","",IF($P667="","",IF($P667&gt;=8,"Alta",IF($P667&gt;=5,"Média","Baixa"))))</f>
        <v/>
      </c>
      <c r="O667" s="46" t="str">
        <f aca="false">IF($E667="","",IF(AND(Parâmetros!$C$5&gt;0,$P667&lt;&gt;"",$P667&gt;=Parâmetros!$C$5),"Sim","Não"))</f>
        <v/>
      </c>
      <c r="P667" s="45" t="str">
        <f aca="false">IF($E667="","",IF($G667="","",IF($G667="NOK",$F667,0)))</f>
        <v/>
      </c>
      <c r="Q667" s="46" t="str">
        <f aca="false">IF($E667="","",IF($O667&lt;&gt;"Sim","",COUNTIF($O$3:$O667,"Sim")))</f>
        <v/>
      </c>
      <c r="R667" s="47" t="n">
        <f aca="false">IF($P667="",0,$P667)</f>
        <v>0</v>
      </c>
    </row>
    <row r="668" customFormat="false" ht="18" hidden="false" customHeight="true" outlineLevel="0" collapsed="false">
      <c r="A668" s="39"/>
      <c r="B668" s="41"/>
      <c r="C668" s="40"/>
      <c r="D668" s="40"/>
      <c r="E668" s="40"/>
      <c r="F668" s="42"/>
      <c r="G668" s="39"/>
      <c r="H668" s="40"/>
      <c r="I668" s="40"/>
      <c r="J668" s="40"/>
      <c r="K668" s="41"/>
      <c r="L668" s="39"/>
      <c r="M668" s="48" t="str">
        <f aca="false">IF($E668="","",IFERROR(INDEX(Parâmetros!$C$15:$C$20,MATCH($P668,Parâmetros!$B$15:$B$20,0)),""))</f>
        <v/>
      </c>
      <c r="N668" s="46" t="str">
        <f aca="false">IF($E668="","",IF($P668="","",IF($P668&gt;=8,"Alta",IF($P668&gt;=5,"Média","Baixa"))))</f>
        <v/>
      </c>
      <c r="O668" s="46" t="str">
        <f aca="false">IF($E668="","",IF(AND(Parâmetros!$C$5&gt;0,$P668&lt;&gt;"",$P668&gt;=Parâmetros!$C$5),"Sim","Não"))</f>
        <v/>
      </c>
      <c r="P668" s="45" t="str">
        <f aca="false">IF($E668="","",IF($G668="","",IF($G668="NOK",$F668,0)))</f>
        <v/>
      </c>
      <c r="Q668" s="46" t="str">
        <f aca="false">IF($E668="","",IF($O668&lt;&gt;"Sim","",COUNTIF($O$3:$O668,"Sim")))</f>
        <v/>
      </c>
      <c r="R668" s="47" t="n">
        <f aca="false">IF($P668="",0,$P668)</f>
        <v>0</v>
      </c>
    </row>
    <row r="669" customFormat="false" ht="18" hidden="false" customHeight="true" outlineLevel="0" collapsed="false">
      <c r="A669" s="39"/>
      <c r="B669" s="41"/>
      <c r="C669" s="40"/>
      <c r="D669" s="40"/>
      <c r="E669" s="40"/>
      <c r="F669" s="42"/>
      <c r="G669" s="39"/>
      <c r="H669" s="40"/>
      <c r="I669" s="40"/>
      <c r="J669" s="40"/>
      <c r="K669" s="41"/>
      <c r="L669" s="39"/>
      <c r="M669" s="48" t="str">
        <f aca="false">IF($E669="","",IFERROR(INDEX(Parâmetros!$C$15:$C$20,MATCH($P669,Parâmetros!$B$15:$B$20,0)),""))</f>
        <v/>
      </c>
      <c r="N669" s="46" t="str">
        <f aca="false">IF($E669="","",IF($P669="","",IF($P669&gt;=8,"Alta",IF($P669&gt;=5,"Média","Baixa"))))</f>
        <v/>
      </c>
      <c r="O669" s="46" t="str">
        <f aca="false">IF($E669="","",IF(AND(Parâmetros!$C$5&gt;0,$P669&lt;&gt;"",$P669&gt;=Parâmetros!$C$5),"Sim","Não"))</f>
        <v/>
      </c>
      <c r="P669" s="45" t="str">
        <f aca="false">IF($E669="","",IF($G669="","",IF($G669="NOK",$F669,0)))</f>
        <v/>
      </c>
      <c r="Q669" s="46" t="str">
        <f aca="false">IF($E669="","",IF($O669&lt;&gt;"Sim","",COUNTIF($O$3:$O669,"Sim")))</f>
        <v/>
      </c>
      <c r="R669" s="47" t="n">
        <f aca="false">IF($P669="",0,$P669)</f>
        <v>0</v>
      </c>
    </row>
    <row r="670" customFormat="false" ht="18" hidden="false" customHeight="true" outlineLevel="0" collapsed="false">
      <c r="A670" s="39"/>
      <c r="B670" s="41"/>
      <c r="C670" s="40"/>
      <c r="D670" s="40"/>
      <c r="E670" s="40"/>
      <c r="F670" s="42"/>
      <c r="G670" s="39"/>
      <c r="H670" s="40"/>
      <c r="I670" s="40"/>
      <c r="J670" s="40"/>
      <c r="K670" s="41"/>
      <c r="L670" s="39"/>
      <c r="M670" s="48" t="str">
        <f aca="false">IF($E670="","",IFERROR(INDEX(Parâmetros!$C$15:$C$20,MATCH($P670,Parâmetros!$B$15:$B$20,0)),""))</f>
        <v/>
      </c>
      <c r="N670" s="46" t="str">
        <f aca="false">IF($E670="","",IF($P670="","",IF($P670&gt;=8,"Alta",IF($P670&gt;=5,"Média","Baixa"))))</f>
        <v/>
      </c>
      <c r="O670" s="46" t="str">
        <f aca="false">IF($E670="","",IF(AND(Parâmetros!$C$5&gt;0,$P670&lt;&gt;"",$P670&gt;=Parâmetros!$C$5),"Sim","Não"))</f>
        <v/>
      </c>
      <c r="P670" s="45" t="str">
        <f aca="false">IF($E670="","",IF($G670="","",IF($G670="NOK",$F670,0)))</f>
        <v/>
      </c>
      <c r="Q670" s="46" t="str">
        <f aca="false">IF($E670="","",IF($O670&lt;&gt;"Sim","",COUNTIF($O$3:$O670,"Sim")))</f>
        <v/>
      </c>
      <c r="R670" s="47" t="n">
        <f aca="false">IF($P670="",0,$P670)</f>
        <v>0</v>
      </c>
    </row>
    <row r="671" customFormat="false" ht="18" hidden="false" customHeight="true" outlineLevel="0" collapsed="false">
      <c r="A671" s="39"/>
      <c r="B671" s="41"/>
      <c r="C671" s="40"/>
      <c r="D671" s="40"/>
      <c r="E671" s="40"/>
      <c r="F671" s="42"/>
      <c r="G671" s="39"/>
      <c r="H671" s="40"/>
      <c r="I671" s="40"/>
      <c r="J671" s="40"/>
      <c r="K671" s="41"/>
      <c r="L671" s="39"/>
      <c r="M671" s="48" t="str">
        <f aca="false">IF($E671="","",IFERROR(INDEX(Parâmetros!$C$15:$C$20,MATCH($P671,Parâmetros!$B$15:$B$20,0)),""))</f>
        <v/>
      </c>
      <c r="N671" s="46" t="str">
        <f aca="false">IF($E671="","",IF($P671="","",IF($P671&gt;=8,"Alta",IF($P671&gt;=5,"Média","Baixa"))))</f>
        <v/>
      </c>
      <c r="O671" s="46" t="str">
        <f aca="false">IF($E671="","",IF(AND(Parâmetros!$C$5&gt;0,$P671&lt;&gt;"",$P671&gt;=Parâmetros!$C$5),"Sim","Não"))</f>
        <v/>
      </c>
      <c r="P671" s="45" t="str">
        <f aca="false">IF($E671="","",IF($G671="","",IF($G671="NOK",$F671,0)))</f>
        <v/>
      </c>
      <c r="Q671" s="46" t="str">
        <f aca="false">IF($E671="","",IF($O671&lt;&gt;"Sim","",COUNTIF($O$3:$O671,"Sim")))</f>
        <v/>
      </c>
      <c r="R671" s="47" t="n">
        <f aca="false">IF($P671="",0,$P671)</f>
        <v>0</v>
      </c>
    </row>
    <row r="672" customFormat="false" ht="18" hidden="false" customHeight="true" outlineLevel="0" collapsed="false">
      <c r="A672" s="39"/>
      <c r="B672" s="41"/>
      <c r="C672" s="40"/>
      <c r="D672" s="40"/>
      <c r="E672" s="40"/>
      <c r="F672" s="42"/>
      <c r="G672" s="39"/>
      <c r="H672" s="40"/>
      <c r="I672" s="40"/>
      <c r="J672" s="40"/>
      <c r="K672" s="41"/>
      <c r="L672" s="39"/>
      <c r="M672" s="48" t="str">
        <f aca="false">IF($E672="","",IFERROR(INDEX(Parâmetros!$C$15:$C$20,MATCH($P672,Parâmetros!$B$15:$B$20,0)),""))</f>
        <v/>
      </c>
      <c r="N672" s="46" t="str">
        <f aca="false">IF($E672="","",IF($P672="","",IF($P672&gt;=8,"Alta",IF($P672&gt;=5,"Média","Baixa"))))</f>
        <v/>
      </c>
      <c r="O672" s="46" t="str">
        <f aca="false">IF($E672="","",IF(AND(Parâmetros!$C$5&gt;0,$P672&lt;&gt;"",$P672&gt;=Parâmetros!$C$5),"Sim","Não"))</f>
        <v/>
      </c>
      <c r="P672" s="45" t="str">
        <f aca="false">IF($E672="","",IF($G672="","",IF($G672="NOK",$F672,0)))</f>
        <v/>
      </c>
      <c r="Q672" s="46" t="str">
        <f aca="false">IF($E672="","",IF($O672&lt;&gt;"Sim","",COUNTIF($O$3:$O672,"Sim")))</f>
        <v/>
      </c>
      <c r="R672" s="47" t="n">
        <f aca="false">IF($P672="",0,$P672)</f>
        <v>0</v>
      </c>
    </row>
    <row r="673" customFormat="false" ht="18" hidden="false" customHeight="true" outlineLevel="0" collapsed="false">
      <c r="A673" s="39"/>
      <c r="B673" s="41"/>
      <c r="C673" s="40"/>
      <c r="D673" s="40"/>
      <c r="E673" s="40"/>
      <c r="F673" s="42"/>
      <c r="G673" s="39"/>
      <c r="H673" s="40"/>
      <c r="I673" s="40"/>
      <c r="J673" s="40"/>
      <c r="K673" s="41"/>
      <c r="L673" s="39"/>
      <c r="M673" s="48" t="str">
        <f aca="false">IF($E673="","",IFERROR(INDEX(Parâmetros!$C$15:$C$20,MATCH($P673,Parâmetros!$B$15:$B$20,0)),""))</f>
        <v/>
      </c>
      <c r="N673" s="46" t="str">
        <f aca="false">IF($E673="","",IF($P673="","",IF($P673&gt;=8,"Alta",IF($P673&gt;=5,"Média","Baixa"))))</f>
        <v/>
      </c>
      <c r="O673" s="46" t="str">
        <f aca="false">IF($E673="","",IF(AND(Parâmetros!$C$5&gt;0,$P673&lt;&gt;"",$P673&gt;=Parâmetros!$C$5),"Sim","Não"))</f>
        <v/>
      </c>
      <c r="P673" s="45" t="str">
        <f aca="false">IF($E673="","",IF($G673="","",IF($G673="NOK",$F673,0)))</f>
        <v/>
      </c>
      <c r="Q673" s="46" t="str">
        <f aca="false">IF($E673="","",IF($O673&lt;&gt;"Sim","",COUNTIF($O$3:$O673,"Sim")))</f>
        <v/>
      </c>
      <c r="R673" s="47" t="n">
        <f aca="false">IF($P673="",0,$P673)</f>
        <v>0</v>
      </c>
    </row>
    <row r="674" customFormat="false" ht="18" hidden="false" customHeight="true" outlineLevel="0" collapsed="false">
      <c r="A674" s="39"/>
      <c r="B674" s="41"/>
      <c r="C674" s="40"/>
      <c r="D674" s="40"/>
      <c r="E674" s="40"/>
      <c r="F674" s="42"/>
      <c r="G674" s="39"/>
      <c r="H674" s="40"/>
      <c r="I674" s="40"/>
      <c r="J674" s="40"/>
      <c r="K674" s="41"/>
      <c r="L674" s="39"/>
      <c r="M674" s="48" t="str">
        <f aca="false">IF($E674="","",IFERROR(INDEX(Parâmetros!$C$15:$C$20,MATCH($P674,Parâmetros!$B$15:$B$20,0)),""))</f>
        <v/>
      </c>
      <c r="N674" s="46" t="str">
        <f aca="false">IF($E674="","",IF($P674="","",IF($P674&gt;=8,"Alta",IF($P674&gt;=5,"Média","Baixa"))))</f>
        <v/>
      </c>
      <c r="O674" s="46" t="str">
        <f aca="false">IF($E674="","",IF(AND(Parâmetros!$C$5&gt;0,$P674&lt;&gt;"",$P674&gt;=Parâmetros!$C$5),"Sim","Não"))</f>
        <v/>
      </c>
      <c r="P674" s="45" t="str">
        <f aca="false">IF($E674="","",IF($G674="","",IF($G674="NOK",$F674,0)))</f>
        <v/>
      </c>
      <c r="Q674" s="46" t="str">
        <f aca="false">IF($E674="","",IF($O674&lt;&gt;"Sim","",COUNTIF($O$3:$O674,"Sim")))</f>
        <v/>
      </c>
      <c r="R674" s="47" t="n">
        <f aca="false">IF($P674="",0,$P674)</f>
        <v>0</v>
      </c>
    </row>
    <row r="675" customFormat="false" ht="18" hidden="false" customHeight="true" outlineLevel="0" collapsed="false">
      <c r="A675" s="39"/>
      <c r="B675" s="41"/>
      <c r="C675" s="40"/>
      <c r="D675" s="40"/>
      <c r="E675" s="40"/>
      <c r="F675" s="42"/>
      <c r="G675" s="39"/>
      <c r="H675" s="40"/>
      <c r="I675" s="40"/>
      <c r="J675" s="40"/>
      <c r="K675" s="41"/>
      <c r="L675" s="39"/>
      <c r="M675" s="48" t="str">
        <f aca="false">IF($E675="","",IFERROR(INDEX(Parâmetros!$C$15:$C$20,MATCH($P675,Parâmetros!$B$15:$B$20,0)),""))</f>
        <v/>
      </c>
      <c r="N675" s="46" t="str">
        <f aca="false">IF($E675="","",IF($P675="","",IF($P675&gt;=8,"Alta",IF($P675&gt;=5,"Média","Baixa"))))</f>
        <v/>
      </c>
      <c r="O675" s="46" t="str">
        <f aca="false">IF($E675="","",IF(AND(Parâmetros!$C$5&gt;0,$P675&lt;&gt;"",$P675&gt;=Parâmetros!$C$5),"Sim","Não"))</f>
        <v/>
      </c>
      <c r="P675" s="45" t="str">
        <f aca="false">IF($E675="","",IF($G675="","",IF($G675="NOK",$F675,0)))</f>
        <v/>
      </c>
      <c r="Q675" s="46" t="str">
        <f aca="false">IF($E675="","",IF($O675&lt;&gt;"Sim","",COUNTIF($O$3:$O675,"Sim")))</f>
        <v/>
      </c>
      <c r="R675" s="47" t="n">
        <f aca="false">IF($P675="",0,$P675)</f>
        <v>0</v>
      </c>
    </row>
    <row r="676" customFormat="false" ht="18" hidden="false" customHeight="true" outlineLevel="0" collapsed="false">
      <c r="A676" s="39"/>
      <c r="B676" s="41"/>
      <c r="C676" s="40"/>
      <c r="D676" s="40"/>
      <c r="E676" s="40"/>
      <c r="F676" s="42"/>
      <c r="G676" s="39"/>
      <c r="H676" s="40"/>
      <c r="I676" s="40"/>
      <c r="J676" s="40"/>
      <c r="K676" s="41"/>
      <c r="L676" s="39"/>
      <c r="M676" s="48" t="str">
        <f aca="false">IF($E676="","",IFERROR(INDEX(Parâmetros!$C$15:$C$20,MATCH($P676,Parâmetros!$B$15:$B$20,0)),""))</f>
        <v/>
      </c>
      <c r="N676" s="46" t="str">
        <f aca="false">IF($E676="","",IF($P676="","",IF($P676&gt;=8,"Alta",IF($P676&gt;=5,"Média","Baixa"))))</f>
        <v/>
      </c>
      <c r="O676" s="46" t="str">
        <f aca="false">IF($E676="","",IF(AND(Parâmetros!$C$5&gt;0,$P676&lt;&gt;"",$P676&gt;=Parâmetros!$C$5),"Sim","Não"))</f>
        <v/>
      </c>
      <c r="P676" s="45" t="str">
        <f aca="false">IF($E676="","",IF($G676="","",IF($G676="NOK",$F676,0)))</f>
        <v/>
      </c>
      <c r="Q676" s="46" t="str">
        <f aca="false">IF($E676="","",IF($O676&lt;&gt;"Sim","",COUNTIF($O$3:$O676,"Sim")))</f>
        <v/>
      </c>
      <c r="R676" s="47" t="n">
        <f aca="false">IF($P676="",0,$P676)</f>
        <v>0</v>
      </c>
    </row>
    <row r="677" customFormat="false" ht="18" hidden="false" customHeight="true" outlineLevel="0" collapsed="false">
      <c r="A677" s="39"/>
      <c r="B677" s="41"/>
      <c r="C677" s="40"/>
      <c r="D677" s="40"/>
      <c r="E677" s="40"/>
      <c r="F677" s="42"/>
      <c r="G677" s="39"/>
      <c r="H677" s="40"/>
      <c r="I677" s="40"/>
      <c r="J677" s="40"/>
      <c r="K677" s="41"/>
      <c r="L677" s="39"/>
      <c r="M677" s="48" t="str">
        <f aca="false">IF($E677="","",IFERROR(INDEX(Parâmetros!$C$15:$C$20,MATCH($P677,Parâmetros!$B$15:$B$20,0)),""))</f>
        <v/>
      </c>
      <c r="N677" s="46" t="str">
        <f aca="false">IF($E677="","",IF($P677="","",IF($P677&gt;=8,"Alta",IF($P677&gt;=5,"Média","Baixa"))))</f>
        <v/>
      </c>
      <c r="O677" s="46" t="str">
        <f aca="false">IF($E677="","",IF(AND(Parâmetros!$C$5&gt;0,$P677&lt;&gt;"",$P677&gt;=Parâmetros!$C$5),"Sim","Não"))</f>
        <v/>
      </c>
      <c r="P677" s="45" t="str">
        <f aca="false">IF($E677="","",IF($G677="","",IF($G677="NOK",$F677,0)))</f>
        <v/>
      </c>
      <c r="Q677" s="46" t="str">
        <f aca="false">IF($E677="","",IF($O677&lt;&gt;"Sim","",COUNTIF($O$3:$O677,"Sim")))</f>
        <v/>
      </c>
      <c r="R677" s="47" t="n">
        <f aca="false">IF($P677="",0,$P677)</f>
        <v>0</v>
      </c>
    </row>
    <row r="678" customFormat="false" ht="18" hidden="false" customHeight="true" outlineLevel="0" collapsed="false">
      <c r="A678" s="39"/>
      <c r="B678" s="41"/>
      <c r="C678" s="40"/>
      <c r="D678" s="40"/>
      <c r="E678" s="40"/>
      <c r="F678" s="42"/>
      <c r="G678" s="39"/>
      <c r="H678" s="40"/>
      <c r="I678" s="40"/>
      <c r="J678" s="40"/>
      <c r="K678" s="41"/>
      <c r="L678" s="39"/>
      <c r="M678" s="48" t="str">
        <f aca="false">IF($E678="","",IFERROR(INDEX(Parâmetros!$C$15:$C$20,MATCH($P678,Parâmetros!$B$15:$B$20,0)),""))</f>
        <v/>
      </c>
      <c r="N678" s="46" t="str">
        <f aca="false">IF($E678="","",IF($P678="","",IF($P678&gt;=8,"Alta",IF($P678&gt;=5,"Média","Baixa"))))</f>
        <v/>
      </c>
      <c r="O678" s="46" t="str">
        <f aca="false">IF($E678="","",IF(AND(Parâmetros!$C$5&gt;0,$P678&lt;&gt;"",$P678&gt;=Parâmetros!$C$5),"Sim","Não"))</f>
        <v/>
      </c>
      <c r="P678" s="45" t="str">
        <f aca="false">IF($E678="","",IF($G678="","",IF($G678="NOK",$F678,0)))</f>
        <v/>
      </c>
      <c r="Q678" s="46" t="str">
        <f aca="false">IF($E678="","",IF($O678&lt;&gt;"Sim","",COUNTIF($O$3:$O678,"Sim")))</f>
        <v/>
      </c>
      <c r="R678" s="47" t="n">
        <f aca="false">IF($P678="",0,$P678)</f>
        <v>0</v>
      </c>
    </row>
    <row r="679" customFormat="false" ht="18" hidden="false" customHeight="true" outlineLevel="0" collapsed="false">
      <c r="A679" s="39"/>
      <c r="B679" s="41"/>
      <c r="C679" s="40"/>
      <c r="D679" s="40"/>
      <c r="E679" s="40"/>
      <c r="F679" s="42"/>
      <c r="G679" s="39"/>
      <c r="H679" s="40"/>
      <c r="I679" s="40"/>
      <c r="J679" s="40"/>
      <c r="K679" s="41"/>
      <c r="L679" s="39"/>
      <c r="M679" s="48" t="str">
        <f aca="false">IF($E679="","",IFERROR(INDEX(Parâmetros!$C$15:$C$20,MATCH($P679,Parâmetros!$B$15:$B$20,0)),""))</f>
        <v/>
      </c>
      <c r="N679" s="46" t="str">
        <f aca="false">IF($E679="","",IF($P679="","",IF($P679&gt;=8,"Alta",IF($P679&gt;=5,"Média","Baixa"))))</f>
        <v/>
      </c>
      <c r="O679" s="46" t="str">
        <f aca="false">IF($E679="","",IF(AND(Parâmetros!$C$5&gt;0,$P679&lt;&gt;"",$P679&gt;=Parâmetros!$C$5),"Sim","Não"))</f>
        <v/>
      </c>
      <c r="P679" s="45" t="str">
        <f aca="false">IF($E679="","",IF($G679="","",IF($G679="NOK",$F679,0)))</f>
        <v/>
      </c>
      <c r="Q679" s="46" t="str">
        <f aca="false">IF($E679="","",IF($O679&lt;&gt;"Sim","",COUNTIF($O$3:$O679,"Sim")))</f>
        <v/>
      </c>
      <c r="R679" s="47" t="n">
        <f aca="false">IF($P679="",0,$P679)</f>
        <v>0</v>
      </c>
    </row>
    <row r="680" customFormat="false" ht="18" hidden="false" customHeight="true" outlineLevel="0" collapsed="false">
      <c r="A680" s="39"/>
      <c r="B680" s="41"/>
      <c r="C680" s="40"/>
      <c r="D680" s="40"/>
      <c r="E680" s="40"/>
      <c r="F680" s="42"/>
      <c r="G680" s="39"/>
      <c r="H680" s="40"/>
      <c r="I680" s="40"/>
      <c r="J680" s="40"/>
      <c r="K680" s="41"/>
      <c r="L680" s="39"/>
      <c r="M680" s="48" t="str">
        <f aca="false">IF($E680="","",IFERROR(INDEX(Parâmetros!$C$15:$C$20,MATCH($P680,Parâmetros!$B$15:$B$20,0)),""))</f>
        <v/>
      </c>
      <c r="N680" s="46" t="str">
        <f aca="false">IF($E680="","",IF($P680="","",IF($P680&gt;=8,"Alta",IF($P680&gt;=5,"Média","Baixa"))))</f>
        <v/>
      </c>
      <c r="O680" s="46" t="str">
        <f aca="false">IF($E680="","",IF(AND(Parâmetros!$C$5&gt;0,$P680&lt;&gt;"",$P680&gt;=Parâmetros!$C$5),"Sim","Não"))</f>
        <v/>
      </c>
      <c r="P680" s="45" t="str">
        <f aca="false">IF($E680="","",IF($G680="","",IF($G680="NOK",$F680,0)))</f>
        <v/>
      </c>
      <c r="Q680" s="46" t="str">
        <f aca="false">IF($E680="","",IF($O680&lt;&gt;"Sim","",COUNTIF($O$3:$O680,"Sim")))</f>
        <v/>
      </c>
      <c r="R680" s="47" t="n">
        <f aca="false">IF($P680="",0,$P680)</f>
        <v>0</v>
      </c>
    </row>
    <row r="681" customFormat="false" ht="18" hidden="false" customHeight="true" outlineLevel="0" collapsed="false">
      <c r="A681" s="39"/>
      <c r="B681" s="41"/>
      <c r="C681" s="40"/>
      <c r="D681" s="40"/>
      <c r="E681" s="40"/>
      <c r="F681" s="42"/>
      <c r="G681" s="39"/>
      <c r="H681" s="40"/>
      <c r="I681" s="40"/>
      <c r="J681" s="40"/>
      <c r="K681" s="41"/>
      <c r="L681" s="39"/>
      <c r="M681" s="48" t="str">
        <f aca="false">IF($E681="","",IFERROR(INDEX(Parâmetros!$C$15:$C$20,MATCH($P681,Parâmetros!$B$15:$B$20,0)),""))</f>
        <v/>
      </c>
      <c r="N681" s="46" t="str">
        <f aca="false">IF($E681="","",IF($P681="","",IF($P681&gt;=8,"Alta",IF($P681&gt;=5,"Média","Baixa"))))</f>
        <v/>
      </c>
      <c r="O681" s="46" t="str">
        <f aca="false">IF($E681="","",IF(AND(Parâmetros!$C$5&gt;0,$P681&lt;&gt;"",$P681&gt;=Parâmetros!$C$5),"Sim","Não"))</f>
        <v/>
      </c>
      <c r="P681" s="45" t="str">
        <f aca="false">IF($E681="","",IF($G681="","",IF($G681="NOK",$F681,0)))</f>
        <v/>
      </c>
      <c r="Q681" s="46" t="str">
        <f aca="false">IF($E681="","",IF($O681&lt;&gt;"Sim","",COUNTIF($O$3:$O681,"Sim")))</f>
        <v/>
      </c>
      <c r="R681" s="47" t="n">
        <f aca="false">IF($P681="",0,$P681)</f>
        <v>0</v>
      </c>
    </row>
    <row r="682" customFormat="false" ht="18" hidden="false" customHeight="true" outlineLevel="0" collapsed="false">
      <c r="A682" s="39"/>
      <c r="B682" s="41"/>
      <c r="C682" s="40"/>
      <c r="D682" s="40"/>
      <c r="E682" s="40"/>
      <c r="F682" s="42"/>
      <c r="G682" s="39"/>
      <c r="H682" s="40"/>
      <c r="I682" s="40"/>
      <c r="J682" s="40"/>
      <c r="K682" s="41"/>
      <c r="L682" s="39"/>
      <c r="M682" s="48" t="str">
        <f aca="false">IF($E682="","",IFERROR(INDEX(Parâmetros!$C$15:$C$20,MATCH($P682,Parâmetros!$B$15:$B$20,0)),""))</f>
        <v/>
      </c>
      <c r="N682" s="46" t="str">
        <f aca="false">IF($E682="","",IF($P682="","",IF($P682&gt;=8,"Alta",IF($P682&gt;=5,"Média","Baixa"))))</f>
        <v/>
      </c>
      <c r="O682" s="46" t="str">
        <f aca="false">IF($E682="","",IF(AND(Parâmetros!$C$5&gt;0,$P682&lt;&gt;"",$P682&gt;=Parâmetros!$C$5),"Sim","Não"))</f>
        <v/>
      </c>
      <c r="P682" s="45" t="str">
        <f aca="false">IF($E682="","",IF($G682="","",IF($G682="NOK",$F682,0)))</f>
        <v/>
      </c>
      <c r="Q682" s="46" t="str">
        <f aca="false">IF($E682="","",IF($O682&lt;&gt;"Sim","",COUNTIF($O$3:$O682,"Sim")))</f>
        <v/>
      </c>
      <c r="R682" s="47" t="n">
        <f aca="false">IF($P682="",0,$P682)</f>
        <v>0</v>
      </c>
    </row>
    <row r="683" customFormat="false" ht="18" hidden="false" customHeight="true" outlineLevel="0" collapsed="false">
      <c r="A683" s="39"/>
      <c r="B683" s="41"/>
      <c r="C683" s="40"/>
      <c r="D683" s="40"/>
      <c r="E683" s="40"/>
      <c r="F683" s="42"/>
      <c r="G683" s="39"/>
      <c r="H683" s="40"/>
      <c r="I683" s="40"/>
      <c r="J683" s="40"/>
      <c r="K683" s="41"/>
      <c r="L683" s="39"/>
      <c r="M683" s="48" t="str">
        <f aca="false">IF($E683="","",IFERROR(INDEX(Parâmetros!$C$15:$C$20,MATCH($P683,Parâmetros!$B$15:$B$20,0)),""))</f>
        <v/>
      </c>
      <c r="N683" s="46" t="str">
        <f aca="false">IF($E683="","",IF($P683="","",IF($P683&gt;=8,"Alta",IF($P683&gt;=5,"Média","Baixa"))))</f>
        <v/>
      </c>
      <c r="O683" s="46" t="str">
        <f aca="false">IF($E683="","",IF(AND(Parâmetros!$C$5&gt;0,$P683&lt;&gt;"",$P683&gt;=Parâmetros!$C$5),"Sim","Não"))</f>
        <v/>
      </c>
      <c r="P683" s="45" t="str">
        <f aca="false">IF($E683="","",IF($G683="","",IF($G683="NOK",$F683,0)))</f>
        <v/>
      </c>
      <c r="Q683" s="46" t="str">
        <f aca="false">IF($E683="","",IF($O683&lt;&gt;"Sim","",COUNTIF($O$3:$O683,"Sim")))</f>
        <v/>
      </c>
      <c r="R683" s="47" t="n">
        <f aca="false">IF($P683="",0,$P683)</f>
        <v>0</v>
      </c>
    </row>
    <row r="684" customFormat="false" ht="18" hidden="false" customHeight="true" outlineLevel="0" collapsed="false">
      <c r="A684" s="39"/>
      <c r="B684" s="41"/>
      <c r="C684" s="40"/>
      <c r="D684" s="40"/>
      <c r="E684" s="40"/>
      <c r="F684" s="42"/>
      <c r="G684" s="39"/>
      <c r="H684" s="40"/>
      <c r="I684" s="40"/>
      <c r="J684" s="40"/>
      <c r="K684" s="41"/>
      <c r="L684" s="39"/>
      <c r="M684" s="48" t="str">
        <f aca="false">IF($E684="","",IFERROR(INDEX(Parâmetros!$C$15:$C$20,MATCH($P684,Parâmetros!$B$15:$B$20,0)),""))</f>
        <v/>
      </c>
      <c r="N684" s="46" t="str">
        <f aca="false">IF($E684="","",IF($P684="","",IF($P684&gt;=8,"Alta",IF($P684&gt;=5,"Média","Baixa"))))</f>
        <v/>
      </c>
      <c r="O684" s="46" t="str">
        <f aca="false">IF($E684="","",IF(AND(Parâmetros!$C$5&gt;0,$P684&lt;&gt;"",$P684&gt;=Parâmetros!$C$5),"Sim","Não"))</f>
        <v/>
      </c>
      <c r="P684" s="45" t="str">
        <f aca="false">IF($E684="","",IF($G684="","",IF($G684="NOK",$F684,0)))</f>
        <v/>
      </c>
      <c r="Q684" s="46" t="str">
        <f aca="false">IF($E684="","",IF($O684&lt;&gt;"Sim","",COUNTIF($O$3:$O684,"Sim")))</f>
        <v/>
      </c>
      <c r="R684" s="47" t="n">
        <f aca="false">IF($P684="",0,$P684)</f>
        <v>0</v>
      </c>
    </row>
    <row r="685" customFormat="false" ht="18" hidden="false" customHeight="true" outlineLevel="0" collapsed="false">
      <c r="A685" s="39"/>
      <c r="B685" s="41"/>
      <c r="C685" s="40"/>
      <c r="D685" s="40"/>
      <c r="E685" s="40"/>
      <c r="F685" s="42"/>
      <c r="G685" s="39"/>
      <c r="H685" s="40"/>
      <c r="I685" s="40"/>
      <c r="J685" s="40"/>
      <c r="K685" s="41"/>
      <c r="L685" s="39"/>
      <c r="M685" s="48" t="str">
        <f aca="false">IF($E685="","",IFERROR(INDEX(Parâmetros!$C$15:$C$20,MATCH($P685,Parâmetros!$B$15:$B$20,0)),""))</f>
        <v/>
      </c>
      <c r="N685" s="46" t="str">
        <f aca="false">IF($E685="","",IF($P685="","",IF($P685&gt;=8,"Alta",IF($P685&gt;=5,"Média","Baixa"))))</f>
        <v/>
      </c>
      <c r="O685" s="46" t="str">
        <f aca="false">IF($E685="","",IF(AND(Parâmetros!$C$5&gt;0,$P685&lt;&gt;"",$P685&gt;=Parâmetros!$C$5),"Sim","Não"))</f>
        <v/>
      </c>
      <c r="P685" s="45" t="str">
        <f aca="false">IF($E685="","",IF($G685="","",IF($G685="NOK",$F685,0)))</f>
        <v/>
      </c>
      <c r="Q685" s="46" t="str">
        <f aca="false">IF($E685="","",IF($O685&lt;&gt;"Sim","",COUNTIF($O$3:$O685,"Sim")))</f>
        <v/>
      </c>
      <c r="R685" s="47" t="n">
        <f aca="false">IF($P685="",0,$P685)</f>
        <v>0</v>
      </c>
    </row>
    <row r="686" customFormat="false" ht="18" hidden="false" customHeight="true" outlineLevel="0" collapsed="false">
      <c r="A686" s="39"/>
      <c r="B686" s="41"/>
      <c r="C686" s="40"/>
      <c r="D686" s="40"/>
      <c r="E686" s="40"/>
      <c r="F686" s="42"/>
      <c r="G686" s="39"/>
      <c r="H686" s="40"/>
      <c r="I686" s="40"/>
      <c r="J686" s="40"/>
      <c r="K686" s="41"/>
      <c r="L686" s="39"/>
      <c r="M686" s="48" t="str">
        <f aca="false">IF($E686="","",IFERROR(INDEX(Parâmetros!$C$15:$C$20,MATCH($P686,Parâmetros!$B$15:$B$20,0)),""))</f>
        <v/>
      </c>
      <c r="N686" s="46" t="str">
        <f aca="false">IF($E686="","",IF($P686="","",IF($P686&gt;=8,"Alta",IF($P686&gt;=5,"Média","Baixa"))))</f>
        <v/>
      </c>
      <c r="O686" s="46" t="str">
        <f aca="false">IF($E686="","",IF(AND(Parâmetros!$C$5&gt;0,$P686&lt;&gt;"",$P686&gt;=Parâmetros!$C$5),"Sim","Não"))</f>
        <v/>
      </c>
      <c r="P686" s="45" t="str">
        <f aca="false">IF($E686="","",IF($G686="","",IF($G686="NOK",$F686,0)))</f>
        <v/>
      </c>
      <c r="Q686" s="46" t="str">
        <f aca="false">IF($E686="","",IF($O686&lt;&gt;"Sim","",COUNTIF($O$3:$O686,"Sim")))</f>
        <v/>
      </c>
      <c r="R686" s="47" t="n">
        <f aca="false">IF($P686="",0,$P686)</f>
        <v>0</v>
      </c>
    </row>
    <row r="687" customFormat="false" ht="18" hidden="false" customHeight="true" outlineLevel="0" collapsed="false">
      <c r="A687" s="39"/>
      <c r="B687" s="41"/>
      <c r="C687" s="40"/>
      <c r="D687" s="40"/>
      <c r="E687" s="40"/>
      <c r="F687" s="42"/>
      <c r="G687" s="39"/>
      <c r="H687" s="40"/>
      <c r="I687" s="40"/>
      <c r="J687" s="40"/>
      <c r="K687" s="41"/>
      <c r="L687" s="39"/>
      <c r="M687" s="48" t="str">
        <f aca="false">IF($E687="","",IFERROR(INDEX(Parâmetros!$C$15:$C$20,MATCH($P687,Parâmetros!$B$15:$B$20,0)),""))</f>
        <v/>
      </c>
      <c r="N687" s="46" t="str">
        <f aca="false">IF($E687="","",IF($P687="","",IF($P687&gt;=8,"Alta",IF($P687&gt;=5,"Média","Baixa"))))</f>
        <v/>
      </c>
      <c r="O687" s="46" t="str">
        <f aca="false">IF($E687="","",IF(AND(Parâmetros!$C$5&gt;0,$P687&lt;&gt;"",$P687&gt;=Parâmetros!$C$5),"Sim","Não"))</f>
        <v/>
      </c>
      <c r="P687" s="45" t="str">
        <f aca="false">IF($E687="","",IF($G687="","",IF($G687="NOK",$F687,0)))</f>
        <v/>
      </c>
      <c r="Q687" s="46" t="str">
        <f aca="false">IF($E687="","",IF($O687&lt;&gt;"Sim","",COUNTIF($O$3:$O687,"Sim")))</f>
        <v/>
      </c>
      <c r="R687" s="47" t="n">
        <f aca="false">IF($P687="",0,$P687)</f>
        <v>0</v>
      </c>
    </row>
    <row r="688" customFormat="false" ht="18" hidden="false" customHeight="true" outlineLevel="0" collapsed="false">
      <c r="A688" s="39"/>
      <c r="B688" s="41"/>
      <c r="C688" s="40"/>
      <c r="D688" s="40"/>
      <c r="E688" s="40"/>
      <c r="F688" s="42"/>
      <c r="G688" s="39"/>
      <c r="H688" s="40"/>
      <c r="I688" s="40"/>
      <c r="J688" s="40"/>
      <c r="K688" s="41"/>
      <c r="L688" s="39"/>
      <c r="M688" s="48" t="str">
        <f aca="false">IF($E688="","",IFERROR(INDEX(Parâmetros!$C$15:$C$20,MATCH($P688,Parâmetros!$B$15:$B$20,0)),""))</f>
        <v/>
      </c>
      <c r="N688" s="46" t="str">
        <f aca="false">IF($E688="","",IF($P688="","",IF($P688&gt;=8,"Alta",IF($P688&gt;=5,"Média","Baixa"))))</f>
        <v/>
      </c>
      <c r="O688" s="46" t="str">
        <f aca="false">IF($E688="","",IF(AND(Parâmetros!$C$5&gt;0,$P688&lt;&gt;"",$P688&gt;=Parâmetros!$C$5),"Sim","Não"))</f>
        <v/>
      </c>
      <c r="P688" s="45" t="str">
        <f aca="false">IF($E688="","",IF($G688="","",IF($G688="NOK",$F688,0)))</f>
        <v/>
      </c>
      <c r="Q688" s="46" t="str">
        <f aca="false">IF($E688="","",IF($O688&lt;&gt;"Sim","",COUNTIF($O$3:$O688,"Sim")))</f>
        <v/>
      </c>
      <c r="R688" s="47" t="n">
        <f aca="false">IF($P688="",0,$P688)</f>
        <v>0</v>
      </c>
    </row>
    <row r="689" customFormat="false" ht="18" hidden="false" customHeight="true" outlineLevel="0" collapsed="false">
      <c r="A689" s="39"/>
      <c r="B689" s="41"/>
      <c r="C689" s="40"/>
      <c r="D689" s="40"/>
      <c r="E689" s="40"/>
      <c r="F689" s="42"/>
      <c r="G689" s="39"/>
      <c r="H689" s="40"/>
      <c r="I689" s="40"/>
      <c r="J689" s="40"/>
      <c r="K689" s="41"/>
      <c r="L689" s="39"/>
      <c r="M689" s="48" t="str">
        <f aca="false">IF($E689="","",IFERROR(INDEX(Parâmetros!$C$15:$C$20,MATCH($P689,Parâmetros!$B$15:$B$20,0)),""))</f>
        <v/>
      </c>
      <c r="N689" s="46" t="str">
        <f aca="false">IF($E689="","",IF($P689="","",IF($P689&gt;=8,"Alta",IF($P689&gt;=5,"Média","Baixa"))))</f>
        <v/>
      </c>
      <c r="O689" s="46" t="str">
        <f aca="false">IF($E689="","",IF(AND(Parâmetros!$C$5&gt;0,$P689&lt;&gt;"",$P689&gt;=Parâmetros!$C$5),"Sim","Não"))</f>
        <v/>
      </c>
      <c r="P689" s="45" t="str">
        <f aca="false">IF($E689="","",IF($G689="","",IF($G689="NOK",$F689,0)))</f>
        <v/>
      </c>
      <c r="Q689" s="46" t="str">
        <f aca="false">IF($E689="","",IF($O689&lt;&gt;"Sim","",COUNTIF($O$3:$O689,"Sim")))</f>
        <v/>
      </c>
      <c r="R689" s="47" t="n">
        <f aca="false">IF($P689="",0,$P689)</f>
        <v>0</v>
      </c>
    </row>
    <row r="690" customFormat="false" ht="18" hidden="false" customHeight="true" outlineLevel="0" collapsed="false">
      <c r="A690" s="39"/>
      <c r="B690" s="41"/>
      <c r="C690" s="40"/>
      <c r="D690" s="40"/>
      <c r="E690" s="40"/>
      <c r="F690" s="42"/>
      <c r="G690" s="39"/>
      <c r="H690" s="40"/>
      <c r="I690" s="40"/>
      <c r="J690" s="40"/>
      <c r="K690" s="41"/>
      <c r="L690" s="39"/>
      <c r="M690" s="48" t="str">
        <f aca="false">IF($E690="","",IFERROR(INDEX(Parâmetros!$C$15:$C$20,MATCH($P690,Parâmetros!$B$15:$B$20,0)),""))</f>
        <v/>
      </c>
      <c r="N690" s="46" t="str">
        <f aca="false">IF($E690="","",IF($P690="","",IF($P690&gt;=8,"Alta",IF($P690&gt;=5,"Média","Baixa"))))</f>
        <v/>
      </c>
      <c r="O690" s="46" t="str">
        <f aca="false">IF($E690="","",IF(AND(Parâmetros!$C$5&gt;0,$P690&lt;&gt;"",$P690&gt;=Parâmetros!$C$5),"Sim","Não"))</f>
        <v/>
      </c>
      <c r="P690" s="45" t="str">
        <f aca="false">IF($E690="","",IF($G690="","",IF($G690="NOK",$F690,0)))</f>
        <v/>
      </c>
      <c r="Q690" s="46" t="str">
        <f aca="false">IF($E690="","",IF($O690&lt;&gt;"Sim","",COUNTIF($O$3:$O690,"Sim")))</f>
        <v/>
      </c>
      <c r="R690" s="47" t="n">
        <f aca="false">IF($P690="",0,$P690)</f>
        <v>0</v>
      </c>
    </row>
    <row r="691" customFormat="false" ht="18" hidden="false" customHeight="true" outlineLevel="0" collapsed="false">
      <c r="A691" s="39"/>
      <c r="B691" s="41"/>
      <c r="C691" s="40"/>
      <c r="D691" s="40"/>
      <c r="E691" s="40"/>
      <c r="F691" s="42"/>
      <c r="G691" s="39"/>
      <c r="H691" s="40"/>
      <c r="I691" s="40"/>
      <c r="J691" s="40"/>
      <c r="K691" s="41"/>
      <c r="L691" s="39"/>
      <c r="M691" s="48" t="str">
        <f aca="false">IF($E691="","",IFERROR(INDEX(Parâmetros!$C$15:$C$20,MATCH($P691,Parâmetros!$B$15:$B$20,0)),""))</f>
        <v/>
      </c>
      <c r="N691" s="46" t="str">
        <f aca="false">IF($E691="","",IF($P691="","",IF($P691&gt;=8,"Alta",IF($P691&gt;=5,"Média","Baixa"))))</f>
        <v/>
      </c>
      <c r="O691" s="46" t="str">
        <f aca="false">IF($E691="","",IF(AND(Parâmetros!$C$5&gt;0,$P691&lt;&gt;"",$P691&gt;=Parâmetros!$C$5),"Sim","Não"))</f>
        <v/>
      </c>
      <c r="P691" s="45" t="str">
        <f aca="false">IF($E691="","",IF($G691="","",IF($G691="NOK",$F691,0)))</f>
        <v/>
      </c>
      <c r="Q691" s="46" t="str">
        <f aca="false">IF($E691="","",IF($O691&lt;&gt;"Sim","",COUNTIF($O$3:$O691,"Sim")))</f>
        <v/>
      </c>
      <c r="R691" s="47" t="n">
        <f aca="false">IF($P691="",0,$P691)</f>
        <v>0</v>
      </c>
    </row>
    <row r="692" customFormat="false" ht="18" hidden="false" customHeight="true" outlineLevel="0" collapsed="false">
      <c r="A692" s="39"/>
      <c r="B692" s="41"/>
      <c r="C692" s="40"/>
      <c r="D692" s="40"/>
      <c r="E692" s="40"/>
      <c r="F692" s="42"/>
      <c r="G692" s="39"/>
      <c r="H692" s="40"/>
      <c r="I692" s="40"/>
      <c r="J692" s="40"/>
      <c r="K692" s="41"/>
      <c r="L692" s="39"/>
      <c r="M692" s="48" t="str">
        <f aca="false">IF($E692="","",IFERROR(INDEX(Parâmetros!$C$15:$C$20,MATCH($P692,Parâmetros!$B$15:$B$20,0)),""))</f>
        <v/>
      </c>
      <c r="N692" s="46" t="str">
        <f aca="false">IF($E692="","",IF($P692="","",IF($P692&gt;=8,"Alta",IF($P692&gt;=5,"Média","Baixa"))))</f>
        <v/>
      </c>
      <c r="O692" s="46" t="str">
        <f aca="false">IF($E692="","",IF(AND(Parâmetros!$C$5&gt;0,$P692&lt;&gt;"",$P692&gt;=Parâmetros!$C$5),"Sim","Não"))</f>
        <v/>
      </c>
      <c r="P692" s="45" t="str">
        <f aca="false">IF($E692="","",IF($G692="","",IF($G692="NOK",$F692,0)))</f>
        <v/>
      </c>
      <c r="Q692" s="46" t="str">
        <f aca="false">IF($E692="","",IF($O692&lt;&gt;"Sim","",COUNTIF($O$3:$O692,"Sim")))</f>
        <v/>
      </c>
      <c r="R692" s="47" t="n">
        <f aca="false">IF($P692="",0,$P692)</f>
        <v>0</v>
      </c>
    </row>
    <row r="693" customFormat="false" ht="18" hidden="false" customHeight="true" outlineLevel="0" collapsed="false">
      <c r="A693" s="39"/>
      <c r="B693" s="41"/>
      <c r="C693" s="40"/>
      <c r="D693" s="40"/>
      <c r="E693" s="40"/>
      <c r="F693" s="42"/>
      <c r="G693" s="39"/>
      <c r="H693" s="40"/>
      <c r="I693" s="40"/>
      <c r="J693" s="40"/>
      <c r="K693" s="41"/>
      <c r="L693" s="39"/>
      <c r="M693" s="48" t="str">
        <f aca="false">IF($E693="","",IFERROR(INDEX(Parâmetros!$C$15:$C$20,MATCH($P693,Parâmetros!$B$15:$B$20,0)),""))</f>
        <v/>
      </c>
      <c r="N693" s="46" t="str">
        <f aca="false">IF($E693="","",IF($P693="","",IF($P693&gt;=8,"Alta",IF($P693&gt;=5,"Média","Baixa"))))</f>
        <v/>
      </c>
      <c r="O693" s="46" t="str">
        <f aca="false">IF($E693="","",IF(AND(Parâmetros!$C$5&gt;0,$P693&lt;&gt;"",$P693&gt;=Parâmetros!$C$5),"Sim","Não"))</f>
        <v/>
      </c>
      <c r="P693" s="45" t="str">
        <f aca="false">IF($E693="","",IF($G693="","",IF($G693="NOK",$F693,0)))</f>
        <v/>
      </c>
      <c r="Q693" s="46" t="str">
        <f aca="false">IF($E693="","",IF($O693&lt;&gt;"Sim","",COUNTIF($O$3:$O693,"Sim")))</f>
        <v/>
      </c>
      <c r="R693" s="47" t="n">
        <f aca="false">IF($P693="",0,$P693)</f>
        <v>0</v>
      </c>
    </row>
    <row r="694" customFormat="false" ht="18" hidden="false" customHeight="true" outlineLevel="0" collapsed="false">
      <c r="A694" s="39"/>
      <c r="B694" s="41"/>
      <c r="C694" s="40"/>
      <c r="D694" s="40"/>
      <c r="E694" s="40"/>
      <c r="F694" s="42"/>
      <c r="G694" s="39"/>
      <c r="H694" s="40"/>
      <c r="I694" s="40"/>
      <c r="J694" s="40"/>
      <c r="K694" s="41"/>
      <c r="L694" s="39"/>
      <c r="M694" s="48" t="str">
        <f aca="false">IF($E694="","",IFERROR(INDEX(Parâmetros!$C$15:$C$20,MATCH($P694,Parâmetros!$B$15:$B$20,0)),""))</f>
        <v/>
      </c>
      <c r="N694" s="46" t="str">
        <f aca="false">IF($E694="","",IF($P694="","",IF($P694&gt;=8,"Alta",IF($P694&gt;=5,"Média","Baixa"))))</f>
        <v/>
      </c>
      <c r="O694" s="46" t="str">
        <f aca="false">IF($E694="","",IF(AND(Parâmetros!$C$5&gt;0,$P694&lt;&gt;"",$P694&gt;=Parâmetros!$C$5),"Sim","Não"))</f>
        <v/>
      </c>
      <c r="P694" s="45" t="str">
        <f aca="false">IF($E694="","",IF($G694="","",IF($G694="NOK",$F694,0)))</f>
        <v/>
      </c>
      <c r="Q694" s="46" t="str">
        <f aca="false">IF($E694="","",IF($O694&lt;&gt;"Sim","",COUNTIF($O$3:$O694,"Sim")))</f>
        <v/>
      </c>
      <c r="R694" s="47" t="n">
        <f aca="false">IF($P694="",0,$P694)</f>
        <v>0</v>
      </c>
    </row>
    <row r="695" customFormat="false" ht="18" hidden="false" customHeight="true" outlineLevel="0" collapsed="false">
      <c r="A695" s="39"/>
      <c r="B695" s="41"/>
      <c r="C695" s="40"/>
      <c r="D695" s="40"/>
      <c r="E695" s="40"/>
      <c r="F695" s="42"/>
      <c r="G695" s="39"/>
      <c r="H695" s="40"/>
      <c r="I695" s="40"/>
      <c r="J695" s="40"/>
      <c r="K695" s="41"/>
      <c r="L695" s="39"/>
      <c r="M695" s="48" t="str">
        <f aca="false">IF($E695="","",IFERROR(INDEX(Parâmetros!$C$15:$C$20,MATCH($P695,Parâmetros!$B$15:$B$20,0)),""))</f>
        <v/>
      </c>
      <c r="N695" s="46" t="str">
        <f aca="false">IF($E695="","",IF($P695="","",IF($P695&gt;=8,"Alta",IF($P695&gt;=5,"Média","Baixa"))))</f>
        <v/>
      </c>
      <c r="O695" s="46" t="str">
        <f aca="false">IF($E695="","",IF(AND(Parâmetros!$C$5&gt;0,$P695&lt;&gt;"",$P695&gt;=Parâmetros!$C$5),"Sim","Não"))</f>
        <v/>
      </c>
      <c r="P695" s="45" t="str">
        <f aca="false">IF($E695="","",IF($G695="","",IF($G695="NOK",$F695,0)))</f>
        <v/>
      </c>
      <c r="Q695" s="46" t="str">
        <f aca="false">IF($E695="","",IF($O695&lt;&gt;"Sim","",COUNTIF($O$3:$O695,"Sim")))</f>
        <v/>
      </c>
      <c r="R695" s="47" t="n">
        <f aca="false">IF($P695="",0,$P695)</f>
        <v>0</v>
      </c>
    </row>
    <row r="696" customFormat="false" ht="18" hidden="false" customHeight="true" outlineLevel="0" collapsed="false">
      <c r="A696" s="39"/>
      <c r="B696" s="41"/>
      <c r="C696" s="40"/>
      <c r="D696" s="40"/>
      <c r="E696" s="40"/>
      <c r="F696" s="42"/>
      <c r="G696" s="39"/>
      <c r="H696" s="40"/>
      <c r="I696" s="40"/>
      <c r="J696" s="40"/>
      <c r="K696" s="41"/>
      <c r="L696" s="39"/>
      <c r="M696" s="48" t="str">
        <f aca="false">IF($E696="","",IFERROR(INDEX(Parâmetros!$C$15:$C$20,MATCH($P696,Parâmetros!$B$15:$B$20,0)),""))</f>
        <v/>
      </c>
      <c r="N696" s="46" t="str">
        <f aca="false">IF($E696="","",IF($P696="","",IF($P696&gt;=8,"Alta",IF($P696&gt;=5,"Média","Baixa"))))</f>
        <v/>
      </c>
      <c r="O696" s="46" t="str">
        <f aca="false">IF($E696="","",IF(AND(Parâmetros!$C$5&gt;0,$P696&lt;&gt;"",$P696&gt;=Parâmetros!$C$5),"Sim","Não"))</f>
        <v/>
      </c>
      <c r="P696" s="45" t="str">
        <f aca="false">IF($E696="","",IF($G696="","",IF($G696="NOK",$F696,0)))</f>
        <v/>
      </c>
      <c r="Q696" s="46" t="str">
        <f aca="false">IF($E696="","",IF($O696&lt;&gt;"Sim","",COUNTIF($O$3:$O696,"Sim")))</f>
        <v/>
      </c>
      <c r="R696" s="47" t="n">
        <f aca="false">IF($P696="",0,$P696)</f>
        <v>0</v>
      </c>
    </row>
    <row r="697" customFormat="false" ht="18" hidden="false" customHeight="true" outlineLevel="0" collapsed="false">
      <c r="A697" s="39"/>
      <c r="B697" s="41"/>
      <c r="C697" s="40"/>
      <c r="D697" s="40"/>
      <c r="E697" s="40"/>
      <c r="F697" s="42"/>
      <c r="G697" s="39"/>
      <c r="H697" s="40"/>
      <c r="I697" s="40"/>
      <c r="J697" s="40"/>
      <c r="K697" s="41"/>
      <c r="L697" s="39"/>
      <c r="M697" s="48" t="str">
        <f aca="false">IF($E697="","",IFERROR(INDEX(Parâmetros!$C$15:$C$20,MATCH($P697,Parâmetros!$B$15:$B$20,0)),""))</f>
        <v/>
      </c>
      <c r="N697" s="46" t="str">
        <f aca="false">IF($E697="","",IF($P697="","",IF($P697&gt;=8,"Alta",IF($P697&gt;=5,"Média","Baixa"))))</f>
        <v/>
      </c>
      <c r="O697" s="46" t="str">
        <f aca="false">IF($E697="","",IF(AND(Parâmetros!$C$5&gt;0,$P697&lt;&gt;"",$P697&gt;=Parâmetros!$C$5),"Sim","Não"))</f>
        <v/>
      </c>
      <c r="P697" s="45" t="str">
        <f aca="false">IF($E697="","",IF($G697="","",IF($G697="NOK",$F697,0)))</f>
        <v/>
      </c>
      <c r="Q697" s="46" t="str">
        <f aca="false">IF($E697="","",IF($O697&lt;&gt;"Sim","",COUNTIF($O$3:$O697,"Sim")))</f>
        <v/>
      </c>
      <c r="R697" s="47" t="n">
        <f aca="false">IF($P697="",0,$P697)</f>
        <v>0</v>
      </c>
    </row>
    <row r="698" customFormat="false" ht="18" hidden="false" customHeight="true" outlineLevel="0" collapsed="false">
      <c r="A698" s="39"/>
      <c r="B698" s="41"/>
      <c r="C698" s="40"/>
      <c r="D698" s="40"/>
      <c r="E698" s="40"/>
      <c r="F698" s="42"/>
      <c r="G698" s="39"/>
      <c r="H698" s="40"/>
      <c r="I698" s="40"/>
      <c r="J698" s="40"/>
      <c r="K698" s="41"/>
      <c r="L698" s="39"/>
      <c r="M698" s="48" t="str">
        <f aca="false">IF($E698="","",IFERROR(INDEX(Parâmetros!$C$15:$C$20,MATCH($P698,Parâmetros!$B$15:$B$20,0)),""))</f>
        <v/>
      </c>
      <c r="N698" s="46" t="str">
        <f aca="false">IF($E698="","",IF($P698="","",IF($P698&gt;=8,"Alta",IF($P698&gt;=5,"Média","Baixa"))))</f>
        <v/>
      </c>
      <c r="O698" s="46" t="str">
        <f aca="false">IF($E698="","",IF(AND(Parâmetros!$C$5&gt;0,$P698&lt;&gt;"",$P698&gt;=Parâmetros!$C$5),"Sim","Não"))</f>
        <v/>
      </c>
      <c r="P698" s="45" t="str">
        <f aca="false">IF($E698="","",IF($G698="","",IF($G698="NOK",$F698,0)))</f>
        <v/>
      </c>
      <c r="Q698" s="46" t="str">
        <f aca="false">IF($E698="","",IF($O698&lt;&gt;"Sim","",COUNTIF($O$3:$O698,"Sim")))</f>
        <v/>
      </c>
      <c r="R698" s="47" t="n">
        <f aca="false">IF($P698="",0,$P698)</f>
        <v>0</v>
      </c>
    </row>
    <row r="699" customFormat="false" ht="18" hidden="false" customHeight="true" outlineLevel="0" collapsed="false">
      <c r="A699" s="39"/>
      <c r="B699" s="41"/>
      <c r="C699" s="40"/>
      <c r="D699" s="40"/>
      <c r="E699" s="40"/>
      <c r="F699" s="42"/>
      <c r="G699" s="39"/>
      <c r="H699" s="40"/>
      <c r="I699" s="40"/>
      <c r="J699" s="40"/>
      <c r="K699" s="41"/>
      <c r="L699" s="39"/>
      <c r="M699" s="48" t="str">
        <f aca="false">IF($E699="","",IFERROR(INDEX(Parâmetros!$C$15:$C$20,MATCH($P699,Parâmetros!$B$15:$B$20,0)),""))</f>
        <v/>
      </c>
      <c r="N699" s="46" t="str">
        <f aca="false">IF($E699="","",IF($P699="","",IF($P699&gt;=8,"Alta",IF($P699&gt;=5,"Média","Baixa"))))</f>
        <v/>
      </c>
      <c r="O699" s="46" t="str">
        <f aca="false">IF($E699="","",IF(AND(Parâmetros!$C$5&gt;0,$P699&lt;&gt;"",$P699&gt;=Parâmetros!$C$5),"Sim","Não"))</f>
        <v/>
      </c>
      <c r="P699" s="45" t="str">
        <f aca="false">IF($E699="","",IF($G699="","",IF($G699="NOK",$F699,0)))</f>
        <v/>
      </c>
      <c r="Q699" s="46" t="str">
        <f aca="false">IF($E699="","",IF($O699&lt;&gt;"Sim","",COUNTIF($O$3:$O699,"Sim")))</f>
        <v/>
      </c>
      <c r="R699" s="47" t="n">
        <f aca="false">IF($P699="",0,$P699)</f>
        <v>0</v>
      </c>
    </row>
    <row r="700" customFormat="false" ht="18" hidden="false" customHeight="true" outlineLevel="0" collapsed="false">
      <c r="A700" s="39"/>
      <c r="B700" s="41"/>
      <c r="C700" s="40"/>
      <c r="D700" s="40"/>
      <c r="E700" s="40"/>
      <c r="F700" s="42"/>
      <c r="G700" s="39"/>
      <c r="H700" s="40"/>
      <c r="I700" s="40"/>
      <c r="J700" s="40"/>
      <c r="K700" s="41"/>
      <c r="L700" s="39"/>
      <c r="M700" s="48" t="str">
        <f aca="false">IF($E700="","",IFERROR(INDEX(Parâmetros!$C$15:$C$20,MATCH($P700,Parâmetros!$B$15:$B$20,0)),""))</f>
        <v/>
      </c>
      <c r="N700" s="46" t="str">
        <f aca="false">IF($E700="","",IF($P700="","",IF($P700&gt;=8,"Alta",IF($P700&gt;=5,"Média","Baixa"))))</f>
        <v/>
      </c>
      <c r="O700" s="46" t="str">
        <f aca="false">IF($E700="","",IF(AND(Parâmetros!$C$5&gt;0,$P700&lt;&gt;"",$P700&gt;=Parâmetros!$C$5),"Sim","Não"))</f>
        <v/>
      </c>
      <c r="P700" s="45" t="str">
        <f aca="false">IF($E700="","",IF($G700="","",IF($G700="NOK",$F700,0)))</f>
        <v/>
      </c>
      <c r="Q700" s="46" t="str">
        <f aca="false">IF($E700="","",IF($O700&lt;&gt;"Sim","",COUNTIF($O$3:$O700,"Sim")))</f>
        <v/>
      </c>
      <c r="R700" s="47" t="n">
        <f aca="false">IF($P700="",0,$P700)</f>
        <v>0</v>
      </c>
    </row>
    <row r="701" customFormat="false" ht="18" hidden="false" customHeight="true" outlineLevel="0" collapsed="false">
      <c r="A701" s="39"/>
      <c r="B701" s="41"/>
      <c r="C701" s="40"/>
      <c r="D701" s="40"/>
      <c r="E701" s="40"/>
      <c r="F701" s="42"/>
      <c r="G701" s="39"/>
      <c r="H701" s="40"/>
      <c r="I701" s="40"/>
      <c r="J701" s="40"/>
      <c r="K701" s="41"/>
      <c r="L701" s="39"/>
      <c r="M701" s="48" t="str">
        <f aca="false">IF($E701="","",IFERROR(INDEX(Parâmetros!$C$15:$C$20,MATCH($P701,Parâmetros!$B$15:$B$20,0)),""))</f>
        <v/>
      </c>
      <c r="N701" s="46" t="str">
        <f aca="false">IF($E701="","",IF($P701="","",IF($P701&gt;=8,"Alta",IF($P701&gt;=5,"Média","Baixa"))))</f>
        <v/>
      </c>
      <c r="O701" s="46" t="str">
        <f aca="false">IF($E701="","",IF(AND(Parâmetros!$C$5&gt;0,$P701&lt;&gt;"",$P701&gt;=Parâmetros!$C$5),"Sim","Não"))</f>
        <v/>
      </c>
      <c r="P701" s="45" t="str">
        <f aca="false">IF($E701="","",IF($G701="","",IF($G701="NOK",$F701,0)))</f>
        <v/>
      </c>
      <c r="Q701" s="46" t="str">
        <f aca="false">IF($E701="","",IF($O701&lt;&gt;"Sim","",COUNTIF($O$3:$O701,"Sim")))</f>
        <v/>
      </c>
      <c r="R701" s="47" t="n">
        <f aca="false">IF($P701="",0,$P701)</f>
        <v>0</v>
      </c>
    </row>
    <row r="702" customFormat="false" ht="18" hidden="false" customHeight="true" outlineLevel="0" collapsed="false">
      <c r="A702" s="39"/>
      <c r="B702" s="41"/>
      <c r="C702" s="40"/>
      <c r="D702" s="40"/>
      <c r="E702" s="40"/>
      <c r="F702" s="42"/>
      <c r="G702" s="39"/>
      <c r="H702" s="40"/>
      <c r="I702" s="40"/>
      <c r="J702" s="40"/>
      <c r="K702" s="41"/>
      <c r="L702" s="39"/>
      <c r="M702" s="48" t="str">
        <f aca="false">IF($E702="","",IFERROR(INDEX(Parâmetros!$C$15:$C$20,MATCH($P702,Parâmetros!$B$15:$B$20,0)),""))</f>
        <v/>
      </c>
      <c r="N702" s="46" t="str">
        <f aca="false">IF($E702="","",IF($P702="","",IF($P702&gt;=8,"Alta",IF($P702&gt;=5,"Média","Baixa"))))</f>
        <v/>
      </c>
      <c r="O702" s="46" t="str">
        <f aca="false">IF($E702="","",IF(AND(Parâmetros!$C$5&gt;0,$P702&lt;&gt;"",$P702&gt;=Parâmetros!$C$5),"Sim","Não"))</f>
        <v/>
      </c>
      <c r="P702" s="45" t="str">
        <f aca="false">IF($E702="","",IF($G702="","",IF($G702="NOK",$F702,0)))</f>
        <v/>
      </c>
      <c r="Q702" s="46" t="str">
        <f aca="false">IF($E702="","",IF($O702&lt;&gt;"Sim","",COUNTIF($O$3:$O702,"Sim")))</f>
        <v/>
      </c>
      <c r="R702" s="47" t="n">
        <f aca="false">IF($P702="",0,$P702)</f>
        <v>0</v>
      </c>
    </row>
    <row r="703" customFormat="false" ht="18" hidden="false" customHeight="true" outlineLevel="0" collapsed="false">
      <c r="A703" s="39"/>
      <c r="B703" s="41"/>
      <c r="C703" s="40"/>
      <c r="D703" s="40"/>
      <c r="E703" s="40"/>
      <c r="F703" s="42"/>
      <c r="G703" s="39"/>
      <c r="H703" s="40"/>
      <c r="I703" s="40"/>
      <c r="J703" s="40"/>
      <c r="K703" s="41"/>
      <c r="L703" s="39"/>
      <c r="M703" s="48" t="str">
        <f aca="false">IF($E703="","",IFERROR(INDEX(Parâmetros!$C$15:$C$20,MATCH($P703,Parâmetros!$B$15:$B$20,0)),""))</f>
        <v/>
      </c>
      <c r="N703" s="46" t="str">
        <f aca="false">IF($E703="","",IF($P703="","",IF($P703&gt;=8,"Alta",IF($P703&gt;=5,"Média","Baixa"))))</f>
        <v/>
      </c>
      <c r="O703" s="46" t="str">
        <f aca="false">IF($E703="","",IF(AND(Parâmetros!$C$5&gt;0,$P703&lt;&gt;"",$P703&gt;=Parâmetros!$C$5),"Sim","Não"))</f>
        <v/>
      </c>
      <c r="P703" s="45" t="str">
        <f aca="false">IF($E703="","",IF($G703="","",IF($G703="NOK",$F703,0)))</f>
        <v/>
      </c>
      <c r="Q703" s="46" t="str">
        <f aca="false">IF($E703="","",IF($O703&lt;&gt;"Sim","",COUNTIF($O$3:$O703,"Sim")))</f>
        <v/>
      </c>
      <c r="R703" s="47" t="n">
        <f aca="false">IF($P703="",0,$P703)</f>
        <v>0</v>
      </c>
    </row>
    <row r="704" customFormat="false" ht="18" hidden="false" customHeight="true" outlineLevel="0" collapsed="false">
      <c r="A704" s="39"/>
      <c r="B704" s="41"/>
      <c r="C704" s="40"/>
      <c r="D704" s="40"/>
      <c r="E704" s="40"/>
      <c r="F704" s="42"/>
      <c r="G704" s="39"/>
      <c r="H704" s="40"/>
      <c r="I704" s="40"/>
      <c r="J704" s="40"/>
      <c r="K704" s="41"/>
      <c r="L704" s="39"/>
      <c r="M704" s="48" t="str">
        <f aca="false">IF($E704="","",IFERROR(INDEX(Parâmetros!$C$15:$C$20,MATCH($P704,Parâmetros!$B$15:$B$20,0)),""))</f>
        <v/>
      </c>
      <c r="N704" s="46" t="str">
        <f aca="false">IF($E704="","",IF($P704="","",IF($P704&gt;=8,"Alta",IF($P704&gt;=5,"Média","Baixa"))))</f>
        <v/>
      </c>
      <c r="O704" s="46" t="str">
        <f aca="false">IF($E704="","",IF(AND(Parâmetros!$C$5&gt;0,$P704&lt;&gt;"",$P704&gt;=Parâmetros!$C$5),"Sim","Não"))</f>
        <v/>
      </c>
      <c r="P704" s="45" t="str">
        <f aca="false">IF($E704="","",IF($G704="","",IF($G704="NOK",$F704,0)))</f>
        <v/>
      </c>
      <c r="Q704" s="46" t="str">
        <f aca="false">IF($E704="","",IF($O704&lt;&gt;"Sim","",COUNTIF($O$3:$O704,"Sim")))</f>
        <v/>
      </c>
      <c r="R704" s="47" t="n">
        <f aca="false">IF($P704="",0,$P704)</f>
        <v>0</v>
      </c>
    </row>
    <row r="705" customFormat="false" ht="18" hidden="false" customHeight="true" outlineLevel="0" collapsed="false">
      <c r="A705" s="39"/>
      <c r="B705" s="41"/>
      <c r="C705" s="40"/>
      <c r="D705" s="40"/>
      <c r="E705" s="40"/>
      <c r="F705" s="42"/>
      <c r="G705" s="39"/>
      <c r="H705" s="40"/>
      <c r="I705" s="40"/>
      <c r="J705" s="40"/>
      <c r="K705" s="41"/>
      <c r="L705" s="39"/>
      <c r="M705" s="48" t="str">
        <f aca="false">IF($E705="","",IFERROR(INDEX(Parâmetros!$C$15:$C$20,MATCH($P705,Parâmetros!$B$15:$B$20,0)),""))</f>
        <v/>
      </c>
      <c r="N705" s="46" t="str">
        <f aca="false">IF($E705="","",IF($P705="","",IF($P705&gt;=8,"Alta",IF($P705&gt;=5,"Média","Baixa"))))</f>
        <v/>
      </c>
      <c r="O705" s="46" t="str">
        <f aca="false">IF($E705="","",IF(AND(Parâmetros!$C$5&gt;0,$P705&lt;&gt;"",$P705&gt;=Parâmetros!$C$5),"Sim","Não"))</f>
        <v/>
      </c>
      <c r="P705" s="45" t="str">
        <f aca="false">IF($E705="","",IF($G705="","",IF($G705="NOK",$F705,0)))</f>
        <v/>
      </c>
      <c r="Q705" s="46" t="str">
        <f aca="false">IF($E705="","",IF($O705&lt;&gt;"Sim","",COUNTIF($O$3:$O705,"Sim")))</f>
        <v/>
      </c>
      <c r="R705" s="47" t="n">
        <f aca="false">IF($P705="",0,$P705)</f>
        <v>0</v>
      </c>
    </row>
    <row r="706" customFormat="false" ht="18" hidden="false" customHeight="true" outlineLevel="0" collapsed="false">
      <c r="A706" s="39"/>
      <c r="B706" s="41"/>
      <c r="C706" s="40"/>
      <c r="D706" s="40"/>
      <c r="E706" s="40"/>
      <c r="F706" s="42"/>
      <c r="G706" s="39"/>
      <c r="H706" s="40"/>
      <c r="I706" s="40"/>
      <c r="J706" s="40"/>
      <c r="K706" s="41"/>
      <c r="L706" s="39"/>
      <c r="M706" s="48" t="str">
        <f aca="false">IF($E706="","",IFERROR(INDEX(Parâmetros!$C$15:$C$20,MATCH($P706,Parâmetros!$B$15:$B$20,0)),""))</f>
        <v/>
      </c>
      <c r="N706" s="46" t="str">
        <f aca="false">IF($E706="","",IF($P706="","",IF($P706&gt;=8,"Alta",IF($P706&gt;=5,"Média","Baixa"))))</f>
        <v/>
      </c>
      <c r="O706" s="46" t="str">
        <f aca="false">IF($E706="","",IF(AND(Parâmetros!$C$5&gt;0,$P706&lt;&gt;"",$P706&gt;=Parâmetros!$C$5),"Sim","Não"))</f>
        <v/>
      </c>
      <c r="P706" s="45" t="str">
        <f aca="false">IF($E706="","",IF($G706="","",IF($G706="NOK",$F706,0)))</f>
        <v/>
      </c>
      <c r="Q706" s="46" t="str">
        <f aca="false">IF($E706="","",IF($O706&lt;&gt;"Sim","",COUNTIF($O$3:$O706,"Sim")))</f>
        <v/>
      </c>
      <c r="R706" s="47" t="n">
        <f aca="false">IF($P706="",0,$P706)</f>
        <v>0</v>
      </c>
    </row>
    <row r="707" customFormat="false" ht="18" hidden="false" customHeight="true" outlineLevel="0" collapsed="false">
      <c r="A707" s="39"/>
      <c r="B707" s="41"/>
      <c r="C707" s="40"/>
      <c r="D707" s="40"/>
      <c r="E707" s="40"/>
      <c r="F707" s="42"/>
      <c r="G707" s="39"/>
      <c r="H707" s="40"/>
      <c r="I707" s="40"/>
      <c r="J707" s="40"/>
      <c r="K707" s="41"/>
      <c r="L707" s="39"/>
      <c r="M707" s="48" t="str">
        <f aca="false">IF($E707="","",IFERROR(INDEX(Parâmetros!$C$15:$C$20,MATCH($P707,Parâmetros!$B$15:$B$20,0)),""))</f>
        <v/>
      </c>
      <c r="N707" s="46" t="str">
        <f aca="false">IF($E707="","",IF($P707="","",IF($P707&gt;=8,"Alta",IF($P707&gt;=5,"Média","Baixa"))))</f>
        <v/>
      </c>
      <c r="O707" s="46" t="str">
        <f aca="false">IF($E707="","",IF(AND(Parâmetros!$C$5&gt;0,$P707&lt;&gt;"",$P707&gt;=Parâmetros!$C$5),"Sim","Não"))</f>
        <v/>
      </c>
      <c r="P707" s="45" t="str">
        <f aca="false">IF($E707="","",IF($G707="","",IF($G707="NOK",$F707,0)))</f>
        <v/>
      </c>
      <c r="Q707" s="46" t="str">
        <f aca="false">IF($E707="","",IF($O707&lt;&gt;"Sim","",COUNTIF($O$3:$O707,"Sim")))</f>
        <v/>
      </c>
      <c r="R707" s="47" t="n">
        <f aca="false">IF($P707="",0,$P707)</f>
        <v>0</v>
      </c>
    </row>
    <row r="708" customFormat="false" ht="18" hidden="false" customHeight="true" outlineLevel="0" collapsed="false">
      <c r="A708" s="39"/>
      <c r="B708" s="41"/>
      <c r="C708" s="40"/>
      <c r="D708" s="40"/>
      <c r="E708" s="40"/>
      <c r="F708" s="42"/>
      <c r="G708" s="39"/>
      <c r="H708" s="40"/>
      <c r="I708" s="40"/>
      <c r="J708" s="40"/>
      <c r="K708" s="41"/>
      <c r="L708" s="39"/>
      <c r="M708" s="48" t="str">
        <f aca="false">IF($E708="","",IFERROR(INDEX(Parâmetros!$C$15:$C$20,MATCH($P708,Parâmetros!$B$15:$B$20,0)),""))</f>
        <v/>
      </c>
      <c r="N708" s="46" t="str">
        <f aca="false">IF($E708="","",IF($P708="","",IF($P708&gt;=8,"Alta",IF($P708&gt;=5,"Média","Baixa"))))</f>
        <v/>
      </c>
      <c r="O708" s="46" t="str">
        <f aca="false">IF($E708="","",IF(AND(Parâmetros!$C$5&gt;0,$P708&lt;&gt;"",$P708&gt;=Parâmetros!$C$5),"Sim","Não"))</f>
        <v/>
      </c>
      <c r="P708" s="45" t="str">
        <f aca="false">IF($E708="","",IF($G708="","",IF($G708="NOK",$F708,0)))</f>
        <v/>
      </c>
      <c r="Q708" s="46" t="str">
        <f aca="false">IF($E708="","",IF($O708&lt;&gt;"Sim","",COUNTIF($O$3:$O708,"Sim")))</f>
        <v/>
      </c>
      <c r="R708" s="47" t="n">
        <f aca="false">IF($P708="",0,$P708)</f>
        <v>0</v>
      </c>
    </row>
    <row r="709" customFormat="false" ht="18" hidden="false" customHeight="true" outlineLevel="0" collapsed="false">
      <c r="A709" s="39"/>
      <c r="B709" s="41"/>
      <c r="C709" s="40"/>
      <c r="D709" s="40"/>
      <c r="E709" s="40"/>
      <c r="F709" s="42"/>
      <c r="G709" s="39"/>
      <c r="H709" s="40"/>
      <c r="I709" s="40"/>
      <c r="J709" s="40"/>
      <c r="K709" s="41"/>
      <c r="L709" s="39"/>
      <c r="M709" s="48" t="str">
        <f aca="false">IF($E709="","",IFERROR(INDEX(Parâmetros!$C$15:$C$20,MATCH($P709,Parâmetros!$B$15:$B$20,0)),""))</f>
        <v/>
      </c>
      <c r="N709" s="46" t="str">
        <f aca="false">IF($E709="","",IF($P709="","",IF($P709&gt;=8,"Alta",IF($P709&gt;=5,"Média","Baixa"))))</f>
        <v/>
      </c>
      <c r="O709" s="46" t="str">
        <f aca="false">IF($E709="","",IF(AND(Parâmetros!$C$5&gt;0,$P709&lt;&gt;"",$P709&gt;=Parâmetros!$C$5),"Sim","Não"))</f>
        <v/>
      </c>
      <c r="P709" s="45" t="str">
        <f aca="false">IF($E709="","",IF($G709="","",IF($G709="NOK",$F709,0)))</f>
        <v/>
      </c>
      <c r="Q709" s="46" t="str">
        <f aca="false">IF($E709="","",IF($O709&lt;&gt;"Sim","",COUNTIF($O$3:$O709,"Sim")))</f>
        <v/>
      </c>
      <c r="R709" s="47" t="n">
        <f aca="false">IF($P709="",0,$P709)</f>
        <v>0</v>
      </c>
    </row>
    <row r="710" customFormat="false" ht="18" hidden="false" customHeight="true" outlineLevel="0" collapsed="false">
      <c r="A710" s="39"/>
      <c r="B710" s="41"/>
      <c r="C710" s="40"/>
      <c r="D710" s="40"/>
      <c r="E710" s="40"/>
      <c r="F710" s="42"/>
      <c r="G710" s="39"/>
      <c r="H710" s="40"/>
      <c r="I710" s="40"/>
      <c r="J710" s="40"/>
      <c r="K710" s="41"/>
      <c r="L710" s="39"/>
      <c r="M710" s="48" t="str">
        <f aca="false">IF($E710="","",IFERROR(INDEX(Parâmetros!$C$15:$C$20,MATCH($P710,Parâmetros!$B$15:$B$20,0)),""))</f>
        <v/>
      </c>
      <c r="N710" s="46" t="str">
        <f aca="false">IF($E710="","",IF($P710="","",IF($P710&gt;=8,"Alta",IF($P710&gt;=5,"Média","Baixa"))))</f>
        <v/>
      </c>
      <c r="O710" s="46" t="str">
        <f aca="false">IF($E710="","",IF(AND(Parâmetros!$C$5&gt;0,$P710&lt;&gt;"",$P710&gt;=Parâmetros!$C$5),"Sim","Não"))</f>
        <v/>
      </c>
      <c r="P710" s="45" t="str">
        <f aca="false">IF($E710="","",IF($G710="","",IF($G710="NOK",$F710,0)))</f>
        <v/>
      </c>
      <c r="Q710" s="46" t="str">
        <f aca="false">IF($E710="","",IF($O710&lt;&gt;"Sim","",COUNTIF($O$3:$O710,"Sim")))</f>
        <v/>
      </c>
      <c r="R710" s="47" t="n">
        <f aca="false">IF($P710="",0,$P710)</f>
        <v>0</v>
      </c>
    </row>
    <row r="711" customFormat="false" ht="18" hidden="false" customHeight="true" outlineLevel="0" collapsed="false">
      <c r="A711" s="39"/>
      <c r="B711" s="41"/>
      <c r="C711" s="40"/>
      <c r="D711" s="40"/>
      <c r="E711" s="40"/>
      <c r="F711" s="42"/>
      <c r="G711" s="39"/>
      <c r="H711" s="40"/>
      <c r="I711" s="40"/>
      <c r="J711" s="40"/>
      <c r="K711" s="41"/>
      <c r="L711" s="39"/>
      <c r="M711" s="48" t="str">
        <f aca="false">IF($E711="","",IFERROR(INDEX(Parâmetros!$C$15:$C$20,MATCH($P711,Parâmetros!$B$15:$B$20,0)),""))</f>
        <v/>
      </c>
      <c r="N711" s="46" t="str">
        <f aca="false">IF($E711="","",IF($P711="","",IF($P711&gt;=8,"Alta",IF($P711&gt;=5,"Média","Baixa"))))</f>
        <v/>
      </c>
      <c r="O711" s="46" t="str">
        <f aca="false">IF($E711="","",IF(AND(Parâmetros!$C$5&gt;0,$P711&lt;&gt;"",$P711&gt;=Parâmetros!$C$5),"Sim","Não"))</f>
        <v/>
      </c>
      <c r="P711" s="45" t="str">
        <f aca="false">IF($E711="","",IF($G711="","",IF($G711="NOK",$F711,0)))</f>
        <v/>
      </c>
      <c r="Q711" s="46" t="str">
        <f aca="false">IF($E711="","",IF($O711&lt;&gt;"Sim","",COUNTIF($O$3:$O711,"Sim")))</f>
        <v/>
      </c>
      <c r="R711" s="47" t="n">
        <f aca="false">IF($P711="",0,$P711)</f>
        <v>0</v>
      </c>
    </row>
    <row r="712" customFormat="false" ht="18" hidden="false" customHeight="true" outlineLevel="0" collapsed="false">
      <c r="A712" s="39"/>
      <c r="B712" s="41"/>
      <c r="C712" s="40"/>
      <c r="D712" s="40"/>
      <c r="E712" s="40"/>
      <c r="F712" s="42"/>
      <c r="G712" s="39"/>
      <c r="H712" s="40"/>
      <c r="I712" s="40"/>
      <c r="J712" s="40"/>
      <c r="K712" s="41"/>
      <c r="L712" s="39"/>
      <c r="M712" s="48" t="str">
        <f aca="false">IF($E712="","",IFERROR(INDEX(Parâmetros!$C$15:$C$20,MATCH($P712,Parâmetros!$B$15:$B$20,0)),""))</f>
        <v/>
      </c>
      <c r="N712" s="46" t="str">
        <f aca="false">IF($E712="","",IF($P712="","",IF($P712&gt;=8,"Alta",IF($P712&gt;=5,"Média","Baixa"))))</f>
        <v/>
      </c>
      <c r="O712" s="46" t="str">
        <f aca="false">IF($E712="","",IF(AND(Parâmetros!$C$5&gt;0,$P712&lt;&gt;"",$P712&gt;=Parâmetros!$C$5),"Sim","Não"))</f>
        <v/>
      </c>
      <c r="P712" s="45" t="str">
        <f aca="false">IF($E712="","",IF($G712="","",IF($G712="NOK",$F712,0)))</f>
        <v/>
      </c>
      <c r="Q712" s="46" t="str">
        <f aca="false">IF($E712="","",IF($O712&lt;&gt;"Sim","",COUNTIF($O$3:$O712,"Sim")))</f>
        <v/>
      </c>
      <c r="R712" s="47" t="n">
        <f aca="false">IF($P712="",0,$P712)</f>
        <v>0</v>
      </c>
    </row>
    <row r="713" customFormat="false" ht="18" hidden="false" customHeight="true" outlineLevel="0" collapsed="false">
      <c r="A713" s="39"/>
      <c r="B713" s="41"/>
      <c r="C713" s="40"/>
      <c r="D713" s="40"/>
      <c r="E713" s="40"/>
      <c r="F713" s="42"/>
      <c r="G713" s="39"/>
      <c r="H713" s="40"/>
      <c r="I713" s="40"/>
      <c r="J713" s="40"/>
      <c r="K713" s="41"/>
      <c r="L713" s="39"/>
      <c r="M713" s="48" t="str">
        <f aca="false">IF($E713="","",IFERROR(INDEX(Parâmetros!$C$15:$C$20,MATCH($P713,Parâmetros!$B$15:$B$20,0)),""))</f>
        <v/>
      </c>
      <c r="N713" s="46" t="str">
        <f aca="false">IF($E713="","",IF($P713="","",IF($P713&gt;=8,"Alta",IF($P713&gt;=5,"Média","Baixa"))))</f>
        <v/>
      </c>
      <c r="O713" s="46" t="str">
        <f aca="false">IF($E713="","",IF(AND(Parâmetros!$C$5&gt;0,$P713&lt;&gt;"",$P713&gt;=Parâmetros!$C$5),"Sim","Não"))</f>
        <v/>
      </c>
      <c r="P713" s="45" t="str">
        <f aca="false">IF($E713="","",IF($G713="","",IF($G713="NOK",$F713,0)))</f>
        <v/>
      </c>
      <c r="Q713" s="46" t="str">
        <f aca="false">IF($E713="","",IF($O713&lt;&gt;"Sim","",COUNTIF($O$3:$O713,"Sim")))</f>
        <v/>
      </c>
      <c r="R713" s="47" t="n">
        <f aca="false">IF($P713="",0,$P713)</f>
        <v>0</v>
      </c>
    </row>
    <row r="714" customFormat="false" ht="18" hidden="false" customHeight="true" outlineLevel="0" collapsed="false">
      <c r="A714" s="39"/>
      <c r="B714" s="41"/>
      <c r="C714" s="40"/>
      <c r="D714" s="40"/>
      <c r="E714" s="40"/>
      <c r="F714" s="42"/>
      <c r="G714" s="39"/>
      <c r="H714" s="40"/>
      <c r="I714" s="40"/>
      <c r="J714" s="40"/>
      <c r="K714" s="41"/>
      <c r="L714" s="39"/>
      <c r="M714" s="48" t="str">
        <f aca="false">IF($E714="","",IFERROR(INDEX(Parâmetros!$C$15:$C$20,MATCH($P714,Parâmetros!$B$15:$B$20,0)),""))</f>
        <v/>
      </c>
      <c r="N714" s="46" t="str">
        <f aca="false">IF($E714="","",IF($P714="","",IF($P714&gt;=8,"Alta",IF($P714&gt;=5,"Média","Baixa"))))</f>
        <v/>
      </c>
      <c r="O714" s="46" t="str">
        <f aca="false">IF($E714="","",IF(AND(Parâmetros!$C$5&gt;0,$P714&lt;&gt;"",$P714&gt;=Parâmetros!$C$5),"Sim","Não"))</f>
        <v/>
      </c>
      <c r="P714" s="45" t="str">
        <f aca="false">IF($E714="","",IF($G714="","",IF($G714="NOK",$F714,0)))</f>
        <v/>
      </c>
      <c r="Q714" s="46" t="str">
        <f aca="false">IF($E714="","",IF($O714&lt;&gt;"Sim","",COUNTIF($O$3:$O714,"Sim")))</f>
        <v/>
      </c>
      <c r="R714" s="47" t="n">
        <f aca="false">IF($P714="",0,$P714)</f>
        <v>0</v>
      </c>
    </row>
    <row r="715" customFormat="false" ht="18" hidden="false" customHeight="true" outlineLevel="0" collapsed="false">
      <c r="A715" s="39"/>
      <c r="B715" s="41"/>
      <c r="C715" s="40"/>
      <c r="D715" s="40"/>
      <c r="E715" s="40"/>
      <c r="F715" s="42"/>
      <c r="G715" s="39"/>
      <c r="H715" s="40"/>
      <c r="I715" s="40"/>
      <c r="J715" s="40"/>
      <c r="K715" s="41"/>
      <c r="L715" s="39"/>
      <c r="M715" s="48" t="str">
        <f aca="false">IF($E715="","",IFERROR(INDEX(Parâmetros!$C$15:$C$20,MATCH($P715,Parâmetros!$B$15:$B$20,0)),""))</f>
        <v/>
      </c>
      <c r="N715" s="46" t="str">
        <f aca="false">IF($E715="","",IF($P715="","",IF($P715&gt;=8,"Alta",IF($P715&gt;=5,"Média","Baixa"))))</f>
        <v/>
      </c>
      <c r="O715" s="46" t="str">
        <f aca="false">IF($E715="","",IF(AND(Parâmetros!$C$5&gt;0,$P715&lt;&gt;"",$P715&gt;=Parâmetros!$C$5),"Sim","Não"))</f>
        <v/>
      </c>
      <c r="P715" s="45" t="str">
        <f aca="false">IF($E715="","",IF($G715="","",IF($G715="NOK",$F715,0)))</f>
        <v/>
      </c>
      <c r="Q715" s="46" t="str">
        <f aca="false">IF($E715="","",IF($O715&lt;&gt;"Sim","",COUNTIF($O$3:$O715,"Sim")))</f>
        <v/>
      </c>
      <c r="R715" s="47" t="n">
        <f aca="false">IF($P715="",0,$P715)</f>
        <v>0</v>
      </c>
    </row>
    <row r="716" customFormat="false" ht="18" hidden="false" customHeight="true" outlineLevel="0" collapsed="false">
      <c r="A716" s="39"/>
      <c r="B716" s="41"/>
      <c r="C716" s="40"/>
      <c r="D716" s="40"/>
      <c r="E716" s="40"/>
      <c r="F716" s="42"/>
      <c r="G716" s="39"/>
      <c r="H716" s="40"/>
      <c r="I716" s="40"/>
      <c r="J716" s="40"/>
      <c r="K716" s="41"/>
      <c r="L716" s="39"/>
      <c r="M716" s="48" t="str">
        <f aca="false">IF($E716="","",IFERROR(INDEX(Parâmetros!$C$15:$C$20,MATCH($P716,Parâmetros!$B$15:$B$20,0)),""))</f>
        <v/>
      </c>
      <c r="N716" s="46" t="str">
        <f aca="false">IF($E716="","",IF($P716="","",IF($P716&gt;=8,"Alta",IF($P716&gt;=5,"Média","Baixa"))))</f>
        <v/>
      </c>
      <c r="O716" s="46" t="str">
        <f aca="false">IF($E716="","",IF(AND(Parâmetros!$C$5&gt;0,$P716&lt;&gt;"",$P716&gt;=Parâmetros!$C$5),"Sim","Não"))</f>
        <v/>
      </c>
      <c r="P716" s="45" t="str">
        <f aca="false">IF($E716="","",IF($G716="","",IF($G716="NOK",$F716,0)))</f>
        <v/>
      </c>
      <c r="Q716" s="46" t="str">
        <f aca="false">IF($E716="","",IF($O716&lt;&gt;"Sim","",COUNTIF($O$3:$O716,"Sim")))</f>
        <v/>
      </c>
      <c r="R716" s="47" t="n">
        <f aca="false">IF($P716="",0,$P716)</f>
        <v>0</v>
      </c>
    </row>
    <row r="717" customFormat="false" ht="18" hidden="false" customHeight="true" outlineLevel="0" collapsed="false">
      <c r="A717" s="39"/>
      <c r="B717" s="41"/>
      <c r="C717" s="40"/>
      <c r="D717" s="40"/>
      <c r="E717" s="40"/>
      <c r="F717" s="42"/>
      <c r="G717" s="39"/>
      <c r="H717" s="40"/>
      <c r="I717" s="40"/>
      <c r="J717" s="40"/>
      <c r="K717" s="41"/>
      <c r="L717" s="39"/>
      <c r="M717" s="48" t="str">
        <f aca="false">IF($E717="","",IFERROR(INDEX(Parâmetros!$C$15:$C$20,MATCH($P717,Parâmetros!$B$15:$B$20,0)),""))</f>
        <v/>
      </c>
      <c r="N717" s="46" t="str">
        <f aca="false">IF($E717="","",IF($P717="","",IF($P717&gt;=8,"Alta",IF($P717&gt;=5,"Média","Baixa"))))</f>
        <v/>
      </c>
      <c r="O717" s="46" t="str">
        <f aca="false">IF($E717="","",IF(AND(Parâmetros!$C$5&gt;0,$P717&lt;&gt;"",$P717&gt;=Parâmetros!$C$5),"Sim","Não"))</f>
        <v/>
      </c>
      <c r="P717" s="45" t="str">
        <f aca="false">IF($E717="","",IF($G717="","",IF($G717="NOK",$F717,0)))</f>
        <v/>
      </c>
      <c r="Q717" s="46" t="str">
        <f aca="false">IF($E717="","",IF($O717&lt;&gt;"Sim","",COUNTIF($O$3:$O717,"Sim")))</f>
        <v/>
      </c>
      <c r="R717" s="47" t="n">
        <f aca="false">IF($P717="",0,$P717)</f>
        <v>0</v>
      </c>
    </row>
    <row r="718" customFormat="false" ht="18" hidden="false" customHeight="true" outlineLevel="0" collapsed="false">
      <c r="A718" s="39"/>
      <c r="B718" s="41"/>
      <c r="C718" s="40"/>
      <c r="D718" s="40"/>
      <c r="E718" s="40"/>
      <c r="F718" s="42"/>
      <c r="G718" s="39"/>
      <c r="H718" s="40"/>
      <c r="I718" s="40"/>
      <c r="J718" s="40"/>
      <c r="K718" s="41"/>
      <c r="L718" s="39"/>
      <c r="M718" s="48" t="str">
        <f aca="false">IF($E718="","",IFERROR(INDEX(Parâmetros!$C$15:$C$20,MATCH($P718,Parâmetros!$B$15:$B$20,0)),""))</f>
        <v/>
      </c>
      <c r="N718" s="46" t="str">
        <f aca="false">IF($E718="","",IF($P718="","",IF($P718&gt;=8,"Alta",IF($P718&gt;=5,"Média","Baixa"))))</f>
        <v/>
      </c>
      <c r="O718" s="46" t="str">
        <f aca="false">IF($E718="","",IF(AND(Parâmetros!$C$5&gt;0,$P718&lt;&gt;"",$P718&gt;=Parâmetros!$C$5),"Sim","Não"))</f>
        <v/>
      </c>
      <c r="P718" s="45" t="str">
        <f aca="false">IF($E718="","",IF($G718="","",IF($G718="NOK",$F718,0)))</f>
        <v/>
      </c>
      <c r="Q718" s="46" t="str">
        <f aca="false">IF($E718="","",IF($O718&lt;&gt;"Sim","",COUNTIF($O$3:$O718,"Sim")))</f>
        <v/>
      </c>
      <c r="R718" s="47" t="n">
        <f aca="false">IF($P718="",0,$P718)</f>
        <v>0</v>
      </c>
    </row>
    <row r="719" customFormat="false" ht="18" hidden="false" customHeight="true" outlineLevel="0" collapsed="false">
      <c r="A719" s="39"/>
      <c r="B719" s="41"/>
      <c r="C719" s="40"/>
      <c r="D719" s="40"/>
      <c r="E719" s="40"/>
      <c r="F719" s="42"/>
      <c r="G719" s="39"/>
      <c r="H719" s="40"/>
      <c r="I719" s="40"/>
      <c r="J719" s="40"/>
      <c r="K719" s="41"/>
      <c r="L719" s="39"/>
      <c r="M719" s="48" t="str">
        <f aca="false">IF($E719="","",IFERROR(INDEX(Parâmetros!$C$15:$C$20,MATCH($P719,Parâmetros!$B$15:$B$20,0)),""))</f>
        <v/>
      </c>
      <c r="N719" s="46" t="str">
        <f aca="false">IF($E719="","",IF($P719="","",IF($P719&gt;=8,"Alta",IF($P719&gt;=5,"Média","Baixa"))))</f>
        <v/>
      </c>
      <c r="O719" s="46" t="str">
        <f aca="false">IF($E719="","",IF(AND(Parâmetros!$C$5&gt;0,$P719&lt;&gt;"",$P719&gt;=Parâmetros!$C$5),"Sim","Não"))</f>
        <v/>
      </c>
      <c r="P719" s="45" t="str">
        <f aca="false">IF($E719="","",IF($G719="","",IF($G719="NOK",$F719,0)))</f>
        <v/>
      </c>
      <c r="Q719" s="46" t="str">
        <f aca="false">IF($E719="","",IF($O719&lt;&gt;"Sim","",COUNTIF($O$3:$O719,"Sim")))</f>
        <v/>
      </c>
      <c r="R719" s="47" t="n">
        <f aca="false">IF($P719="",0,$P719)</f>
        <v>0</v>
      </c>
    </row>
    <row r="720" customFormat="false" ht="18" hidden="false" customHeight="true" outlineLevel="0" collapsed="false">
      <c r="A720" s="39"/>
      <c r="B720" s="41"/>
      <c r="C720" s="40"/>
      <c r="D720" s="40"/>
      <c r="E720" s="40"/>
      <c r="F720" s="42"/>
      <c r="G720" s="39"/>
      <c r="H720" s="40"/>
      <c r="I720" s="40"/>
      <c r="J720" s="40"/>
      <c r="K720" s="41"/>
      <c r="L720" s="39"/>
      <c r="M720" s="48" t="str">
        <f aca="false">IF($E720="","",IFERROR(INDEX(Parâmetros!$C$15:$C$20,MATCH($P720,Parâmetros!$B$15:$B$20,0)),""))</f>
        <v/>
      </c>
      <c r="N720" s="46" t="str">
        <f aca="false">IF($E720="","",IF($P720="","",IF($P720&gt;=8,"Alta",IF($P720&gt;=5,"Média","Baixa"))))</f>
        <v/>
      </c>
      <c r="O720" s="46" t="str">
        <f aca="false">IF($E720="","",IF(AND(Parâmetros!$C$5&gt;0,$P720&lt;&gt;"",$P720&gt;=Parâmetros!$C$5),"Sim","Não"))</f>
        <v/>
      </c>
      <c r="P720" s="45" t="str">
        <f aca="false">IF($E720="","",IF($G720="","",IF($G720="NOK",$F720,0)))</f>
        <v/>
      </c>
      <c r="Q720" s="46" t="str">
        <f aca="false">IF($E720="","",IF($O720&lt;&gt;"Sim","",COUNTIF($O$3:$O720,"Sim")))</f>
        <v/>
      </c>
      <c r="R720" s="47" t="n">
        <f aca="false">IF($P720="",0,$P720)</f>
        <v>0</v>
      </c>
    </row>
    <row r="721" customFormat="false" ht="18" hidden="false" customHeight="true" outlineLevel="0" collapsed="false">
      <c r="A721" s="39"/>
      <c r="B721" s="41"/>
      <c r="C721" s="40"/>
      <c r="D721" s="40"/>
      <c r="E721" s="40"/>
      <c r="F721" s="42"/>
      <c r="G721" s="39"/>
      <c r="H721" s="40"/>
      <c r="I721" s="40"/>
      <c r="J721" s="40"/>
      <c r="K721" s="41"/>
      <c r="L721" s="39"/>
      <c r="M721" s="48" t="str">
        <f aca="false">IF($E721="","",IFERROR(INDEX(Parâmetros!$C$15:$C$20,MATCH($P721,Parâmetros!$B$15:$B$20,0)),""))</f>
        <v/>
      </c>
      <c r="N721" s="46" t="str">
        <f aca="false">IF($E721="","",IF($P721="","",IF($P721&gt;=8,"Alta",IF($P721&gt;=5,"Média","Baixa"))))</f>
        <v/>
      </c>
      <c r="O721" s="46" t="str">
        <f aca="false">IF($E721="","",IF(AND(Parâmetros!$C$5&gt;0,$P721&lt;&gt;"",$P721&gt;=Parâmetros!$C$5),"Sim","Não"))</f>
        <v/>
      </c>
      <c r="P721" s="45" t="str">
        <f aca="false">IF($E721="","",IF($G721="","",IF($G721="NOK",$F721,0)))</f>
        <v/>
      </c>
      <c r="Q721" s="46" t="str">
        <f aca="false">IF($E721="","",IF($O721&lt;&gt;"Sim","",COUNTIF($O$3:$O721,"Sim")))</f>
        <v/>
      </c>
      <c r="R721" s="47" t="n">
        <f aca="false">IF($P721="",0,$P721)</f>
        <v>0</v>
      </c>
    </row>
    <row r="722" customFormat="false" ht="18" hidden="false" customHeight="true" outlineLevel="0" collapsed="false">
      <c r="A722" s="39"/>
      <c r="B722" s="41"/>
      <c r="C722" s="40"/>
      <c r="D722" s="40"/>
      <c r="E722" s="40"/>
      <c r="F722" s="42"/>
      <c r="G722" s="39"/>
      <c r="H722" s="40"/>
      <c r="I722" s="40"/>
      <c r="J722" s="40"/>
      <c r="K722" s="41"/>
      <c r="L722" s="39"/>
      <c r="M722" s="48" t="str">
        <f aca="false">IF($E722="","",IFERROR(INDEX(Parâmetros!$C$15:$C$20,MATCH($P722,Parâmetros!$B$15:$B$20,0)),""))</f>
        <v/>
      </c>
      <c r="N722" s="46" t="str">
        <f aca="false">IF($E722="","",IF($P722="","",IF($P722&gt;=8,"Alta",IF($P722&gt;=5,"Média","Baixa"))))</f>
        <v/>
      </c>
      <c r="O722" s="46" t="str">
        <f aca="false">IF($E722="","",IF(AND(Parâmetros!$C$5&gt;0,$P722&lt;&gt;"",$P722&gt;=Parâmetros!$C$5),"Sim","Não"))</f>
        <v/>
      </c>
      <c r="P722" s="45" t="str">
        <f aca="false">IF($E722="","",IF($G722="","",IF($G722="NOK",$F722,0)))</f>
        <v/>
      </c>
      <c r="Q722" s="46" t="str">
        <f aca="false">IF($E722="","",IF($O722&lt;&gt;"Sim","",COUNTIF($O$3:$O722,"Sim")))</f>
        <v/>
      </c>
      <c r="R722" s="47" t="n">
        <f aca="false">IF($P722="",0,$P722)</f>
        <v>0</v>
      </c>
    </row>
    <row r="723" customFormat="false" ht="18" hidden="false" customHeight="true" outlineLevel="0" collapsed="false">
      <c r="A723" s="39"/>
      <c r="B723" s="41"/>
      <c r="C723" s="40"/>
      <c r="D723" s="40"/>
      <c r="E723" s="40"/>
      <c r="F723" s="42"/>
      <c r="G723" s="39"/>
      <c r="H723" s="40"/>
      <c r="I723" s="40"/>
      <c r="J723" s="40"/>
      <c r="K723" s="41"/>
      <c r="L723" s="39"/>
      <c r="M723" s="48" t="str">
        <f aca="false">IF($E723="","",IFERROR(INDEX(Parâmetros!$C$15:$C$20,MATCH($P723,Parâmetros!$B$15:$B$20,0)),""))</f>
        <v/>
      </c>
      <c r="N723" s="46" t="str">
        <f aca="false">IF($E723="","",IF($P723="","",IF($P723&gt;=8,"Alta",IF($P723&gt;=5,"Média","Baixa"))))</f>
        <v/>
      </c>
      <c r="O723" s="46" t="str">
        <f aca="false">IF($E723="","",IF(AND(Parâmetros!$C$5&gt;0,$P723&lt;&gt;"",$P723&gt;=Parâmetros!$C$5),"Sim","Não"))</f>
        <v/>
      </c>
      <c r="P723" s="45" t="str">
        <f aca="false">IF($E723="","",IF($G723="","",IF($G723="NOK",$F723,0)))</f>
        <v/>
      </c>
      <c r="Q723" s="46" t="str">
        <f aca="false">IF($E723="","",IF($O723&lt;&gt;"Sim","",COUNTIF($O$3:$O723,"Sim")))</f>
        <v/>
      </c>
      <c r="R723" s="47" t="n">
        <f aca="false">IF($P723="",0,$P723)</f>
        <v>0</v>
      </c>
    </row>
    <row r="724" customFormat="false" ht="18" hidden="false" customHeight="true" outlineLevel="0" collapsed="false">
      <c r="A724" s="39"/>
      <c r="B724" s="41"/>
      <c r="C724" s="40"/>
      <c r="D724" s="40"/>
      <c r="E724" s="40"/>
      <c r="F724" s="42"/>
      <c r="G724" s="39"/>
      <c r="H724" s="40"/>
      <c r="I724" s="40"/>
      <c r="J724" s="40"/>
      <c r="K724" s="41"/>
      <c r="L724" s="39"/>
      <c r="M724" s="48" t="str">
        <f aca="false">IF($E724="","",IFERROR(INDEX(Parâmetros!$C$15:$C$20,MATCH($P724,Parâmetros!$B$15:$B$20,0)),""))</f>
        <v/>
      </c>
      <c r="N724" s="46" t="str">
        <f aca="false">IF($E724="","",IF($P724="","",IF($P724&gt;=8,"Alta",IF($P724&gt;=5,"Média","Baixa"))))</f>
        <v/>
      </c>
      <c r="O724" s="46" t="str">
        <f aca="false">IF($E724="","",IF(AND(Parâmetros!$C$5&gt;0,$P724&lt;&gt;"",$P724&gt;=Parâmetros!$C$5),"Sim","Não"))</f>
        <v/>
      </c>
      <c r="P724" s="45" t="str">
        <f aca="false">IF($E724="","",IF($G724="","",IF($G724="NOK",$F724,0)))</f>
        <v/>
      </c>
      <c r="Q724" s="46" t="str">
        <f aca="false">IF($E724="","",IF($O724&lt;&gt;"Sim","",COUNTIF($O$3:$O724,"Sim")))</f>
        <v/>
      </c>
      <c r="R724" s="47" t="n">
        <f aca="false">IF($P724="",0,$P724)</f>
        <v>0</v>
      </c>
    </row>
    <row r="725" customFormat="false" ht="18" hidden="false" customHeight="true" outlineLevel="0" collapsed="false">
      <c r="A725" s="39"/>
      <c r="B725" s="41"/>
      <c r="C725" s="40"/>
      <c r="D725" s="40"/>
      <c r="E725" s="40"/>
      <c r="F725" s="42"/>
      <c r="G725" s="39"/>
      <c r="H725" s="40"/>
      <c r="I725" s="40"/>
      <c r="J725" s="40"/>
      <c r="K725" s="41"/>
      <c r="L725" s="39"/>
      <c r="M725" s="48" t="str">
        <f aca="false">IF($E725="","",IFERROR(INDEX(Parâmetros!$C$15:$C$20,MATCH($P725,Parâmetros!$B$15:$B$20,0)),""))</f>
        <v/>
      </c>
      <c r="N725" s="46" t="str">
        <f aca="false">IF($E725="","",IF($P725="","",IF($P725&gt;=8,"Alta",IF($P725&gt;=5,"Média","Baixa"))))</f>
        <v/>
      </c>
      <c r="O725" s="46" t="str">
        <f aca="false">IF($E725="","",IF(AND(Parâmetros!$C$5&gt;0,$P725&lt;&gt;"",$P725&gt;=Parâmetros!$C$5),"Sim","Não"))</f>
        <v/>
      </c>
      <c r="P725" s="45" t="str">
        <f aca="false">IF($E725="","",IF($G725="","",IF($G725="NOK",$F725,0)))</f>
        <v/>
      </c>
      <c r="Q725" s="46" t="str">
        <f aca="false">IF($E725="","",IF($O725&lt;&gt;"Sim","",COUNTIF($O$3:$O725,"Sim")))</f>
        <v/>
      </c>
      <c r="R725" s="47" t="n">
        <f aca="false">IF($P725="",0,$P725)</f>
        <v>0</v>
      </c>
    </row>
    <row r="726" customFormat="false" ht="18" hidden="false" customHeight="true" outlineLevel="0" collapsed="false">
      <c r="A726" s="39"/>
      <c r="B726" s="41"/>
      <c r="C726" s="40"/>
      <c r="D726" s="40"/>
      <c r="E726" s="40"/>
      <c r="F726" s="42"/>
      <c r="G726" s="39"/>
      <c r="H726" s="40"/>
      <c r="I726" s="40"/>
      <c r="J726" s="40"/>
      <c r="K726" s="41"/>
      <c r="L726" s="39"/>
      <c r="M726" s="48" t="str">
        <f aca="false">IF($E726="","",IFERROR(INDEX(Parâmetros!$C$15:$C$20,MATCH($P726,Parâmetros!$B$15:$B$20,0)),""))</f>
        <v/>
      </c>
      <c r="N726" s="46" t="str">
        <f aca="false">IF($E726="","",IF($P726="","",IF($P726&gt;=8,"Alta",IF($P726&gt;=5,"Média","Baixa"))))</f>
        <v/>
      </c>
      <c r="O726" s="46" t="str">
        <f aca="false">IF($E726="","",IF(AND(Parâmetros!$C$5&gt;0,$P726&lt;&gt;"",$P726&gt;=Parâmetros!$C$5),"Sim","Não"))</f>
        <v/>
      </c>
      <c r="P726" s="45" t="str">
        <f aca="false">IF($E726="","",IF($G726="","",IF($G726="NOK",$F726,0)))</f>
        <v/>
      </c>
      <c r="Q726" s="46" t="str">
        <f aca="false">IF($E726="","",IF($O726&lt;&gt;"Sim","",COUNTIF($O$3:$O726,"Sim")))</f>
        <v/>
      </c>
      <c r="R726" s="47" t="n">
        <f aca="false">IF($P726="",0,$P726)</f>
        <v>0</v>
      </c>
    </row>
    <row r="727" customFormat="false" ht="18" hidden="false" customHeight="true" outlineLevel="0" collapsed="false">
      <c r="A727" s="39"/>
      <c r="B727" s="41"/>
      <c r="C727" s="40"/>
      <c r="D727" s="40"/>
      <c r="E727" s="40"/>
      <c r="F727" s="42"/>
      <c r="G727" s="39"/>
      <c r="H727" s="40"/>
      <c r="I727" s="40"/>
      <c r="J727" s="40"/>
      <c r="K727" s="41"/>
      <c r="L727" s="39"/>
      <c r="M727" s="48" t="str">
        <f aca="false">IF($E727="","",IFERROR(INDEX(Parâmetros!$C$15:$C$20,MATCH($P727,Parâmetros!$B$15:$B$20,0)),""))</f>
        <v/>
      </c>
      <c r="N727" s="46" t="str">
        <f aca="false">IF($E727="","",IF($P727="","",IF($P727&gt;=8,"Alta",IF($P727&gt;=5,"Média","Baixa"))))</f>
        <v/>
      </c>
      <c r="O727" s="46" t="str">
        <f aca="false">IF($E727="","",IF(AND(Parâmetros!$C$5&gt;0,$P727&lt;&gt;"",$P727&gt;=Parâmetros!$C$5),"Sim","Não"))</f>
        <v/>
      </c>
      <c r="P727" s="45" t="str">
        <f aca="false">IF($E727="","",IF($G727="","",IF($G727="NOK",$F727,0)))</f>
        <v/>
      </c>
      <c r="Q727" s="46" t="str">
        <f aca="false">IF($E727="","",IF($O727&lt;&gt;"Sim","",COUNTIF($O$3:$O727,"Sim")))</f>
        <v/>
      </c>
      <c r="R727" s="47" t="n">
        <f aca="false">IF($P727="",0,$P727)</f>
        <v>0</v>
      </c>
    </row>
    <row r="728" customFormat="false" ht="18" hidden="false" customHeight="true" outlineLevel="0" collapsed="false">
      <c r="A728" s="39"/>
      <c r="B728" s="41"/>
      <c r="C728" s="40"/>
      <c r="D728" s="40"/>
      <c r="E728" s="40"/>
      <c r="F728" s="42"/>
      <c r="G728" s="39"/>
      <c r="H728" s="40"/>
      <c r="I728" s="40"/>
      <c r="J728" s="40"/>
      <c r="K728" s="41"/>
      <c r="L728" s="39"/>
      <c r="M728" s="48" t="str">
        <f aca="false">IF($E728="","",IFERROR(INDEX(Parâmetros!$C$15:$C$20,MATCH($P728,Parâmetros!$B$15:$B$20,0)),""))</f>
        <v/>
      </c>
      <c r="N728" s="46" t="str">
        <f aca="false">IF($E728="","",IF($P728="","",IF($P728&gt;=8,"Alta",IF($P728&gt;=5,"Média","Baixa"))))</f>
        <v/>
      </c>
      <c r="O728" s="46" t="str">
        <f aca="false">IF($E728="","",IF(AND(Parâmetros!$C$5&gt;0,$P728&lt;&gt;"",$P728&gt;=Parâmetros!$C$5),"Sim","Não"))</f>
        <v/>
      </c>
      <c r="P728" s="45" t="str">
        <f aca="false">IF($E728="","",IF($G728="","",IF($G728="NOK",$F728,0)))</f>
        <v/>
      </c>
      <c r="Q728" s="46" t="str">
        <f aca="false">IF($E728="","",IF($O728&lt;&gt;"Sim","",COUNTIF($O$3:$O728,"Sim")))</f>
        <v/>
      </c>
      <c r="R728" s="47" t="n">
        <f aca="false">IF($P728="",0,$P728)</f>
        <v>0</v>
      </c>
    </row>
    <row r="729" customFormat="false" ht="18" hidden="false" customHeight="true" outlineLevel="0" collapsed="false">
      <c r="A729" s="39"/>
      <c r="B729" s="41"/>
      <c r="C729" s="40"/>
      <c r="D729" s="40"/>
      <c r="E729" s="40"/>
      <c r="F729" s="42"/>
      <c r="G729" s="39"/>
      <c r="H729" s="40"/>
      <c r="I729" s="40"/>
      <c r="J729" s="40"/>
      <c r="K729" s="41"/>
      <c r="L729" s="39"/>
      <c r="M729" s="48" t="str">
        <f aca="false">IF($E729="","",IFERROR(INDEX(Parâmetros!$C$15:$C$20,MATCH($P729,Parâmetros!$B$15:$B$20,0)),""))</f>
        <v/>
      </c>
      <c r="N729" s="46" t="str">
        <f aca="false">IF($E729="","",IF($P729="","",IF($P729&gt;=8,"Alta",IF($P729&gt;=5,"Média","Baixa"))))</f>
        <v/>
      </c>
      <c r="O729" s="46" t="str">
        <f aca="false">IF($E729="","",IF(AND(Parâmetros!$C$5&gt;0,$P729&lt;&gt;"",$P729&gt;=Parâmetros!$C$5),"Sim","Não"))</f>
        <v/>
      </c>
      <c r="P729" s="45" t="str">
        <f aca="false">IF($E729="","",IF($G729="","",IF($G729="NOK",$F729,0)))</f>
        <v/>
      </c>
      <c r="Q729" s="46" t="str">
        <f aca="false">IF($E729="","",IF($O729&lt;&gt;"Sim","",COUNTIF($O$3:$O729,"Sim")))</f>
        <v/>
      </c>
      <c r="R729" s="47" t="n">
        <f aca="false">IF($P729="",0,$P729)</f>
        <v>0</v>
      </c>
    </row>
    <row r="730" customFormat="false" ht="18" hidden="false" customHeight="true" outlineLevel="0" collapsed="false">
      <c r="A730" s="39"/>
      <c r="B730" s="41"/>
      <c r="C730" s="40"/>
      <c r="D730" s="40"/>
      <c r="E730" s="40"/>
      <c r="F730" s="42"/>
      <c r="G730" s="39"/>
      <c r="H730" s="40"/>
      <c r="I730" s="40"/>
      <c r="J730" s="40"/>
      <c r="K730" s="41"/>
      <c r="L730" s="39"/>
      <c r="M730" s="48" t="str">
        <f aca="false">IF($E730="","",IFERROR(INDEX(Parâmetros!$C$15:$C$20,MATCH($P730,Parâmetros!$B$15:$B$20,0)),""))</f>
        <v/>
      </c>
      <c r="N730" s="46" t="str">
        <f aca="false">IF($E730="","",IF($P730="","",IF($P730&gt;=8,"Alta",IF($P730&gt;=5,"Média","Baixa"))))</f>
        <v/>
      </c>
      <c r="O730" s="46" t="str">
        <f aca="false">IF($E730="","",IF(AND(Parâmetros!$C$5&gt;0,$P730&lt;&gt;"",$P730&gt;=Parâmetros!$C$5),"Sim","Não"))</f>
        <v/>
      </c>
      <c r="P730" s="45" t="str">
        <f aca="false">IF($E730="","",IF($G730="","",IF($G730="NOK",$F730,0)))</f>
        <v/>
      </c>
      <c r="Q730" s="46" t="str">
        <f aca="false">IF($E730="","",IF($O730&lt;&gt;"Sim","",COUNTIF($O$3:$O730,"Sim")))</f>
        <v/>
      </c>
      <c r="R730" s="47" t="n">
        <f aca="false">IF($P730="",0,$P730)</f>
        <v>0</v>
      </c>
    </row>
    <row r="731" customFormat="false" ht="18" hidden="false" customHeight="true" outlineLevel="0" collapsed="false">
      <c r="A731" s="39"/>
      <c r="B731" s="41"/>
      <c r="C731" s="40"/>
      <c r="D731" s="40"/>
      <c r="E731" s="40"/>
      <c r="F731" s="42"/>
      <c r="G731" s="39"/>
      <c r="H731" s="40"/>
      <c r="I731" s="40"/>
      <c r="J731" s="40"/>
      <c r="K731" s="41"/>
      <c r="L731" s="39"/>
      <c r="M731" s="48" t="str">
        <f aca="false">IF($E731="","",IFERROR(INDEX(Parâmetros!$C$15:$C$20,MATCH($P731,Parâmetros!$B$15:$B$20,0)),""))</f>
        <v/>
      </c>
      <c r="N731" s="46" t="str">
        <f aca="false">IF($E731="","",IF($P731="","",IF($P731&gt;=8,"Alta",IF($P731&gt;=5,"Média","Baixa"))))</f>
        <v/>
      </c>
      <c r="O731" s="46" t="str">
        <f aca="false">IF($E731="","",IF(AND(Parâmetros!$C$5&gt;0,$P731&lt;&gt;"",$P731&gt;=Parâmetros!$C$5),"Sim","Não"))</f>
        <v/>
      </c>
      <c r="P731" s="45" t="str">
        <f aca="false">IF($E731="","",IF($G731="","",IF($G731="NOK",$F731,0)))</f>
        <v/>
      </c>
      <c r="Q731" s="46" t="str">
        <f aca="false">IF($E731="","",IF($O731&lt;&gt;"Sim","",COUNTIF($O$3:$O731,"Sim")))</f>
        <v/>
      </c>
      <c r="R731" s="47" t="n">
        <f aca="false">IF($P731="",0,$P731)</f>
        <v>0</v>
      </c>
    </row>
    <row r="732" customFormat="false" ht="18" hidden="false" customHeight="true" outlineLevel="0" collapsed="false">
      <c r="A732" s="39"/>
      <c r="B732" s="41"/>
      <c r="C732" s="40"/>
      <c r="D732" s="40"/>
      <c r="E732" s="40"/>
      <c r="F732" s="42"/>
      <c r="G732" s="39"/>
      <c r="H732" s="40"/>
      <c r="I732" s="40"/>
      <c r="J732" s="40"/>
      <c r="K732" s="41"/>
      <c r="L732" s="39"/>
      <c r="M732" s="48" t="str">
        <f aca="false">IF($E732="","",IFERROR(INDEX(Parâmetros!$C$15:$C$20,MATCH($P732,Parâmetros!$B$15:$B$20,0)),""))</f>
        <v/>
      </c>
      <c r="N732" s="46" t="str">
        <f aca="false">IF($E732="","",IF($P732="","",IF($P732&gt;=8,"Alta",IF($P732&gt;=5,"Média","Baixa"))))</f>
        <v/>
      </c>
      <c r="O732" s="46" t="str">
        <f aca="false">IF($E732="","",IF(AND(Parâmetros!$C$5&gt;0,$P732&lt;&gt;"",$P732&gt;=Parâmetros!$C$5),"Sim","Não"))</f>
        <v/>
      </c>
      <c r="P732" s="45" t="str">
        <f aca="false">IF($E732="","",IF($G732="","",IF($G732="NOK",$F732,0)))</f>
        <v/>
      </c>
      <c r="Q732" s="46" t="str">
        <f aca="false">IF($E732="","",IF($O732&lt;&gt;"Sim","",COUNTIF($O$3:$O732,"Sim")))</f>
        <v/>
      </c>
      <c r="R732" s="47" t="n">
        <f aca="false">IF($P732="",0,$P732)</f>
        <v>0</v>
      </c>
    </row>
    <row r="733" customFormat="false" ht="18" hidden="false" customHeight="true" outlineLevel="0" collapsed="false">
      <c r="A733" s="39"/>
      <c r="B733" s="41"/>
      <c r="C733" s="40"/>
      <c r="D733" s="40"/>
      <c r="E733" s="40"/>
      <c r="F733" s="42"/>
      <c r="G733" s="39"/>
      <c r="H733" s="40"/>
      <c r="I733" s="40"/>
      <c r="J733" s="40"/>
      <c r="K733" s="41"/>
      <c r="L733" s="39"/>
      <c r="M733" s="48" t="str">
        <f aca="false">IF($E733="","",IFERROR(INDEX(Parâmetros!$C$15:$C$20,MATCH($P733,Parâmetros!$B$15:$B$20,0)),""))</f>
        <v/>
      </c>
      <c r="N733" s="46" t="str">
        <f aca="false">IF($E733="","",IF($P733="","",IF($P733&gt;=8,"Alta",IF($P733&gt;=5,"Média","Baixa"))))</f>
        <v/>
      </c>
      <c r="O733" s="46" t="str">
        <f aca="false">IF($E733="","",IF(AND(Parâmetros!$C$5&gt;0,$P733&lt;&gt;"",$P733&gt;=Parâmetros!$C$5),"Sim","Não"))</f>
        <v/>
      </c>
      <c r="P733" s="45" t="str">
        <f aca="false">IF($E733="","",IF($G733="","",IF($G733="NOK",$F733,0)))</f>
        <v/>
      </c>
      <c r="Q733" s="46" t="str">
        <f aca="false">IF($E733="","",IF($O733&lt;&gt;"Sim","",COUNTIF($O$3:$O733,"Sim")))</f>
        <v/>
      </c>
      <c r="R733" s="47" t="n">
        <f aca="false">IF($P733="",0,$P733)</f>
        <v>0</v>
      </c>
    </row>
    <row r="734" customFormat="false" ht="18" hidden="false" customHeight="true" outlineLevel="0" collapsed="false">
      <c r="A734" s="39"/>
      <c r="B734" s="41"/>
      <c r="C734" s="40"/>
      <c r="D734" s="40"/>
      <c r="E734" s="40"/>
      <c r="F734" s="42"/>
      <c r="G734" s="39"/>
      <c r="H734" s="40"/>
      <c r="I734" s="40"/>
      <c r="J734" s="40"/>
      <c r="K734" s="41"/>
      <c r="L734" s="39"/>
      <c r="M734" s="48" t="str">
        <f aca="false">IF($E734="","",IFERROR(INDEX(Parâmetros!$C$15:$C$20,MATCH($P734,Parâmetros!$B$15:$B$20,0)),""))</f>
        <v/>
      </c>
      <c r="N734" s="46" t="str">
        <f aca="false">IF($E734="","",IF($P734="","",IF($P734&gt;=8,"Alta",IF($P734&gt;=5,"Média","Baixa"))))</f>
        <v/>
      </c>
      <c r="O734" s="46" t="str">
        <f aca="false">IF($E734="","",IF(AND(Parâmetros!$C$5&gt;0,$P734&lt;&gt;"",$P734&gt;=Parâmetros!$C$5),"Sim","Não"))</f>
        <v/>
      </c>
      <c r="P734" s="45" t="str">
        <f aca="false">IF($E734="","",IF($G734="","",IF($G734="NOK",$F734,0)))</f>
        <v/>
      </c>
      <c r="Q734" s="46" t="str">
        <f aca="false">IF($E734="","",IF($O734&lt;&gt;"Sim","",COUNTIF($O$3:$O734,"Sim")))</f>
        <v/>
      </c>
      <c r="R734" s="47" t="n">
        <f aca="false">IF($P734="",0,$P734)</f>
        <v>0</v>
      </c>
    </row>
    <row r="735" customFormat="false" ht="18" hidden="false" customHeight="true" outlineLevel="0" collapsed="false">
      <c r="A735" s="39"/>
      <c r="B735" s="41"/>
      <c r="C735" s="40"/>
      <c r="D735" s="40"/>
      <c r="E735" s="40"/>
      <c r="F735" s="42"/>
      <c r="G735" s="39"/>
      <c r="H735" s="40"/>
      <c r="I735" s="40"/>
      <c r="J735" s="40"/>
      <c r="K735" s="41"/>
      <c r="L735" s="39"/>
      <c r="M735" s="48" t="str">
        <f aca="false">IF($E735="","",IFERROR(INDEX(Parâmetros!$C$15:$C$20,MATCH($P735,Parâmetros!$B$15:$B$20,0)),""))</f>
        <v/>
      </c>
      <c r="N735" s="46" t="str">
        <f aca="false">IF($E735="","",IF($P735="","",IF($P735&gt;=8,"Alta",IF($P735&gt;=5,"Média","Baixa"))))</f>
        <v/>
      </c>
      <c r="O735" s="46" t="str">
        <f aca="false">IF($E735="","",IF(AND(Parâmetros!$C$5&gt;0,$P735&lt;&gt;"",$P735&gt;=Parâmetros!$C$5),"Sim","Não"))</f>
        <v/>
      </c>
      <c r="P735" s="45" t="str">
        <f aca="false">IF($E735="","",IF($G735="","",IF($G735="NOK",$F735,0)))</f>
        <v/>
      </c>
      <c r="Q735" s="46" t="str">
        <f aca="false">IF($E735="","",IF($O735&lt;&gt;"Sim","",COUNTIF($O$3:$O735,"Sim")))</f>
        <v/>
      </c>
      <c r="R735" s="47" t="n">
        <f aca="false">IF($P735="",0,$P735)</f>
        <v>0</v>
      </c>
    </row>
    <row r="736" customFormat="false" ht="18" hidden="false" customHeight="true" outlineLevel="0" collapsed="false">
      <c r="A736" s="39"/>
      <c r="B736" s="41"/>
      <c r="C736" s="40"/>
      <c r="D736" s="40"/>
      <c r="E736" s="40"/>
      <c r="F736" s="42"/>
      <c r="G736" s="39"/>
      <c r="H736" s="40"/>
      <c r="I736" s="40"/>
      <c r="J736" s="40"/>
      <c r="K736" s="41"/>
      <c r="L736" s="39"/>
      <c r="M736" s="48" t="str">
        <f aca="false">IF($E736="","",IFERROR(INDEX(Parâmetros!$C$15:$C$20,MATCH($P736,Parâmetros!$B$15:$B$20,0)),""))</f>
        <v/>
      </c>
      <c r="N736" s="46" t="str">
        <f aca="false">IF($E736="","",IF($P736="","",IF($P736&gt;=8,"Alta",IF($P736&gt;=5,"Média","Baixa"))))</f>
        <v/>
      </c>
      <c r="O736" s="46" t="str">
        <f aca="false">IF($E736="","",IF(AND(Parâmetros!$C$5&gt;0,$P736&lt;&gt;"",$P736&gt;=Parâmetros!$C$5),"Sim","Não"))</f>
        <v/>
      </c>
      <c r="P736" s="45" t="str">
        <f aca="false">IF($E736="","",IF($G736="","",IF($G736="NOK",$F736,0)))</f>
        <v/>
      </c>
      <c r="Q736" s="46" t="str">
        <f aca="false">IF($E736="","",IF($O736&lt;&gt;"Sim","",COUNTIF($O$3:$O736,"Sim")))</f>
        <v/>
      </c>
      <c r="R736" s="47" t="n">
        <f aca="false">IF($P736="",0,$P736)</f>
        <v>0</v>
      </c>
    </row>
    <row r="737" customFormat="false" ht="18" hidden="false" customHeight="true" outlineLevel="0" collapsed="false">
      <c r="A737" s="39"/>
      <c r="B737" s="41"/>
      <c r="C737" s="40"/>
      <c r="D737" s="40"/>
      <c r="E737" s="40"/>
      <c r="F737" s="42"/>
      <c r="G737" s="39"/>
      <c r="H737" s="40"/>
      <c r="I737" s="40"/>
      <c r="J737" s="40"/>
      <c r="K737" s="41"/>
      <c r="L737" s="39"/>
      <c r="M737" s="48" t="str">
        <f aca="false">IF($E737="","",IFERROR(INDEX(Parâmetros!$C$15:$C$20,MATCH($P737,Parâmetros!$B$15:$B$20,0)),""))</f>
        <v/>
      </c>
      <c r="N737" s="46" t="str">
        <f aca="false">IF($E737="","",IF($P737="","",IF($P737&gt;=8,"Alta",IF($P737&gt;=5,"Média","Baixa"))))</f>
        <v/>
      </c>
      <c r="O737" s="46" t="str">
        <f aca="false">IF($E737="","",IF(AND(Parâmetros!$C$5&gt;0,$P737&lt;&gt;"",$P737&gt;=Parâmetros!$C$5),"Sim","Não"))</f>
        <v/>
      </c>
      <c r="P737" s="45" t="str">
        <f aca="false">IF($E737="","",IF($G737="","",IF($G737="NOK",$F737,0)))</f>
        <v/>
      </c>
      <c r="Q737" s="46" t="str">
        <f aca="false">IF($E737="","",IF($O737&lt;&gt;"Sim","",COUNTIF($O$3:$O737,"Sim")))</f>
        <v/>
      </c>
      <c r="R737" s="47" t="n">
        <f aca="false">IF($P737="",0,$P737)</f>
        <v>0</v>
      </c>
    </row>
    <row r="738" customFormat="false" ht="18" hidden="false" customHeight="true" outlineLevel="0" collapsed="false">
      <c r="A738" s="39"/>
      <c r="B738" s="41"/>
      <c r="C738" s="40"/>
      <c r="D738" s="40"/>
      <c r="E738" s="40"/>
      <c r="F738" s="42"/>
      <c r="G738" s="39"/>
      <c r="H738" s="40"/>
      <c r="I738" s="40"/>
      <c r="J738" s="40"/>
      <c r="K738" s="41"/>
      <c r="L738" s="39"/>
      <c r="M738" s="48" t="str">
        <f aca="false">IF($E738="","",IFERROR(INDEX(Parâmetros!$C$15:$C$20,MATCH($P738,Parâmetros!$B$15:$B$20,0)),""))</f>
        <v/>
      </c>
      <c r="N738" s="46" t="str">
        <f aca="false">IF($E738="","",IF($P738="","",IF($P738&gt;=8,"Alta",IF($P738&gt;=5,"Média","Baixa"))))</f>
        <v/>
      </c>
      <c r="O738" s="46" t="str">
        <f aca="false">IF($E738="","",IF(AND(Parâmetros!$C$5&gt;0,$P738&lt;&gt;"",$P738&gt;=Parâmetros!$C$5),"Sim","Não"))</f>
        <v/>
      </c>
      <c r="P738" s="45" t="str">
        <f aca="false">IF($E738="","",IF($G738="","",IF($G738="NOK",$F738,0)))</f>
        <v/>
      </c>
      <c r="Q738" s="46" t="str">
        <f aca="false">IF($E738="","",IF($O738&lt;&gt;"Sim","",COUNTIF($O$3:$O738,"Sim")))</f>
        <v/>
      </c>
      <c r="R738" s="47" t="n">
        <f aca="false">IF($P738="",0,$P738)</f>
        <v>0</v>
      </c>
    </row>
    <row r="739" customFormat="false" ht="18" hidden="false" customHeight="true" outlineLevel="0" collapsed="false">
      <c r="A739" s="39"/>
      <c r="B739" s="41"/>
      <c r="C739" s="40"/>
      <c r="D739" s="40"/>
      <c r="E739" s="40"/>
      <c r="F739" s="42"/>
      <c r="G739" s="39"/>
      <c r="H739" s="40"/>
      <c r="I739" s="40"/>
      <c r="J739" s="40"/>
      <c r="K739" s="41"/>
      <c r="L739" s="39"/>
      <c r="M739" s="48" t="str">
        <f aca="false">IF($E739="","",IFERROR(INDEX(Parâmetros!$C$15:$C$20,MATCH($P739,Parâmetros!$B$15:$B$20,0)),""))</f>
        <v/>
      </c>
      <c r="N739" s="46" t="str">
        <f aca="false">IF($E739="","",IF($P739="","",IF($P739&gt;=8,"Alta",IF($P739&gt;=5,"Média","Baixa"))))</f>
        <v/>
      </c>
      <c r="O739" s="46" t="str">
        <f aca="false">IF($E739="","",IF(AND(Parâmetros!$C$5&gt;0,$P739&lt;&gt;"",$P739&gt;=Parâmetros!$C$5),"Sim","Não"))</f>
        <v/>
      </c>
      <c r="P739" s="45" t="str">
        <f aca="false">IF($E739="","",IF($G739="","",IF($G739="NOK",$F739,0)))</f>
        <v/>
      </c>
      <c r="Q739" s="46" t="str">
        <f aca="false">IF($E739="","",IF($O739&lt;&gt;"Sim","",COUNTIF($O$3:$O739,"Sim")))</f>
        <v/>
      </c>
      <c r="R739" s="47" t="n">
        <f aca="false">IF($P739="",0,$P739)</f>
        <v>0</v>
      </c>
    </row>
    <row r="740" customFormat="false" ht="18" hidden="false" customHeight="true" outlineLevel="0" collapsed="false">
      <c r="A740" s="39"/>
      <c r="B740" s="41"/>
      <c r="C740" s="40"/>
      <c r="D740" s="40"/>
      <c r="E740" s="40"/>
      <c r="F740" s="42"/>
      <c r="G740" s="39"/>
      <c r="H740" s="40"/>
      <c r="I740" s="40"/>
      <c r="J740" s="40"/>
      <c r="K740" s="41"/>
      <c r="L740" s="39"/>
      <c r="M740" s="48" t="str">
        <f aca="false">IF($E740="","",IFERROR(INDEX(Parâmetros!$C$15:$C$20,MATCH($P740,Parâmetros!$B$15:$B$20,0)),""))</f>
        <v/>
      </c>
      <c r="N740" s="46" t="str">
        <f aca="false">IF($E740="","",IF($P740="","",IF($P740&gt;=8,"Alta",IF($P740&gt;=5,"Média","Baixa"))))</f>
        <v/>
      </c>
      <c r="O740" s="46" t="str">
        <f aca="false">IF($E740="","",IF(AND(Parâmetros!$C$5&gt;0,$P740&lt;&gt;"",$P740&gt;=Parâmetros!$C$5),"Sim","Não"))</f>
        <v/>
      </c>
      <c r="P740" s="45" t="str">
        <f aca="false">IF($E740="","",IF($G740="","",IF($G740="NOK",$F740,0)))</f>
        <v/>
      </c>
      <c r="Q740" s="46" t="str">
        <f aca="false">IF($E740="","",IF($O740&lt;&gt;"Sim","",COUNTIF($O$3:$O740,"Sim")))</f>
        <v/>
      </c>
      <c r="R740" s="47" t="n">
        <f aca="false">IF($P740="",0,$P740)</f>
        <v>0</v>
      </c>
    </row>
    <row r="741" customFormat="false" ht="18" hidden="false" customHeight="true" outlineLevel="0" collapsed="false">
      <c r="A741" s="39"/>
      <c r="B741" s="41"/>
      <c r="C741" s="40"/>
      <c r="D741" s="40"/>
      <c r="E741" s="40"/>
      <c r="F741" s="42"/>
      <c r="G741" s="39"/>
      <c r="H741" s="40"/>
      <c r="I741" s="40"/>
      <c r="J741" s="40"/>
      <c r="K741" s="41"/>
      <c r="L741" s="39"/>
      <c r="M741" s="48" t="str">
        <f aca="false">IF($E741="","",IFERROR(INDEX(Parâmetros!$C$15:$C$20,MATCH($P741,Parâmetros!$B$15:$B$20,0)),""))</f>
        <v/>
      </c>
      <c r="N741" s="46" t="str">
        <f aca="false">IF($E741="","",IF($P741="","",IF($P741&gt;=8,"Alta",IF($P741&gt;=5,"Média","Baixa"))))</f>
        <v/>
      </c>
      <c r="O741" s="46" t="str">
        <f aca="false">IF($E741="","",IF(AND(Parâmetros!$C$5&gt;0,$P741&lt;&gt;"",$P741&gt;=Parâmetros!$C$5),"Sim","Não"))</f>
        <v/>
      </c>
      <c r="P741" s="45" t="str">
        <f aca="false">IF($E741="","",IF($G741="","",IF($G741="NOK",$F741,0)))</f>
        <v/>
      </c>
      <c r="Q741" s="46" t="str">
        <f aca="false">IF($E741="","",IF($O741&lt;&gt;"Sim","",COUNTIF($O$3:$O741,"Sim")))</f>
        <v/>
      </c>
      <c r="R741" s="47" t="n">
        <f aca="false">IF($P741="",0,$P741)</f>
        <v>0</v>
      </c>
    </row>
    <row r="742" customFormat="false" ht="18" hidden="false" customHeight="true" outlineLevel="0" collapsed="false">
      <c r="A742" s="39"/>
      <c r="B742" s="41"/>
      <c r="C742" s="40"/>
      <c r="D742" s="40"/>
      <c r="E742" s="40"/>
      <c r="F742" s="42"/>
      <c r="G742" s="39"/>
      <c r="H742" s="40"/>
      <c r="I742" s="40"/>
      <c r="J742" s="40"/>
      <c r="K742" s="41"/>
      <c r="L742" s="39"/>
      <c r="M742" s="48" t="str">
        <f aca="false">IF($E742="","",IFERROR(INDEX(Parâmetros!$C$15:$C$20,MATCH($P742,Parâmetros!$B$15:$B$20,0)),""))</f>
        <v/>
      </c>
      <c r="N742" s="46" t="str">
        <f aca="false">IF($E742="","",IF($P742="","",IF($P742&gt;=8,"Alta",IF($P742&gt;=5,"Média","Baixa"))))</f>
        <v/>
      </c>
      <c r="O742" s="46" t="str">
        <f aca="false">IF($E742="","",IF(AND(Parâmetros!$C$5&gt;0,$P742&lt;&gt;"",$P742&gt;=Parâmetros!$C$5),"Sim","Não"))</f>
        <v/>
      </c>
      <c r="P742" s="45" t="str">
        <f aca="false">IF($E742="","",IF($G742="","",IF($G742="NOK",$F742,0)))</f>
        <v/>
      </c>
      <c r="Q742" s="46" t="str">
        <f aca="false">IF($E742="","",IF($O742&lt;&gt;"Sim","",COUNTIF($O$3:$O742,"Sim")))</f>
        <v/>
      </c>
      <c r="R742" s="47" t="n">
        <f aca="false">IF($P742="",0,$P742)</f>
        <v>0</v>
      </c>
    </row>
    <row r="743" customFormat="false" ht="18" hidden="false" customHeight="true" outlineLevel="0" collapsed="false">
      <c r="A743" s="39"/>
      <c r="B743" s="41"/>
      <c r="C743" s="40"/>
      <c r="D743" s="40"/>
      <c r="E743" s="40"/>
      <c r="F743" s="42"/>
      <c r="G743" s="39"/>
      <c r="H743" s="40"/>
      <c r="I743" s="40"/>
      <c r="J743" s="40"/>
      <c r="K743" s="41"/>
      <c r="L743" s="39"/>
      <c r="M743" s="48" t="str">
        <f aca="false">IF($E743="","",IFERROR(INDEX(Parâmetros!$C$15:$C$20,MATCH($P743,Parâmetros!$B$15:$B$20,0)),""))</f>
        <v/>
      </c>
      <c r="N743" s="46" t="str">
        <f aca="false">IF($E743="","",IF($P743="","",IF($P743&gt;=8,"Alta",IF($P743&gt;=5,"Média","Baixa"))))</f>
        <v/>
      </c>
      <c r="O743" s="46" t="str">
        <f aca="false">IF($E743="","",IF(AND(Parâmetros!$C$5&gt;0,$P743&lt;&gt;"",$P743&gt;=Parâmetros!$C$5),"Sim","Não"))</f>
        <v/>
      </c>
      <c r="P743" s="45" t="str">
        <f aca="false">IF($E743="","",IF($G743="","",IF($G743="NOK",$F743,0)))</f>
        <v/>
      </c>
      <c r="Q743" s="46" t="str">
        <f aca="false">IF($E743="","",IF($O743&lt;&gt;"Sim","",COUNTIF($O$3:$O743,"Sim")))</f>
        <v/>
      </c>
      <c r="R743" s="47" t="n">
        <f aca="false">IF($P743="",0,$P743)</f>
        <v>0</v>
      </c>
    </row>
    <row r="744" customFormat="false" ht="18" hidden="false" customHeight="true" outlineLevel="0" collapsed="false">
      <c r="A744" s="39"/>
      <c r="B744" s="41"/>
      <c r="C744" s="40"/>
      <c r="D744" s="40"/>
      <c r="E744" s="40"/>
      <c r="F744" s="42"/>
      <c r="G744" s="39"/>
      <c r="H744" s="40"/>
      <c r="I744" s="40"/>
      <c r="J744" s="40"/>
      <c r="K744" s="41"/>
      <c r="L744" s="39"/>
      <c r="M744" s="48" t="str">
        <f aca="false">IF($E744="","",IFERROR(INDEX(Parâmetros!$C$15:$C$20,MATCH($P744,Parâmetros!$B$15:$B$20,0)),""))</f>
        <v/>
      </c>
      <c r="N744" s="46" t="str">
        <f aca="false">IF($E744="","",IF($P744="","",IF($P744&gt;=8,"Alta",IF($P744&gt;=5,"Média","Baixa"))))</f>
        <v/>
      </c>
      <c r="O744" s="46" t="str">
        <f aca="false">IF($E744="","",IF(AND(Parâmetros!$C$5&gt;0,$P744&lt;&gt;"",$P744&gt;=Parâmetros!$C$5),"Sim","Não"))</f>
        <v/>
      </c>
      <c r="P744" s="45" t="str">
        <f aca="false">IF($E744="","",IF($G744="","",IF($G744="NOK",$F744,0)))</f>
        <v/>
      </c>
      <c r="Q744" s="46" t="str">
        <f aca="false">IF($E744="","",IF($O744&lt;&gt;"Sim","",COUNTIF($O$3:$O744,"Sim")))</f>
        <v/>
      </c>
      <c r="R744" s="47" t="n">
        <f aca="false">IF($P744="",0,$P744)</f>
        <v>0</v>
      </c>
    </row>
    <row r="745" customFormat="false" ht="18" hidden="false" customHeight="true" outlineLevel="0" collapsed="false">
      <c r="A745" s="39"/>
      <c r="B745" s="41"/>
      <c r="C745" s="40"/>
      <c r="D745" s="40"/>
      <c r="E745" s="40"/>
      <c r="F745" s="42"/>
      <c r="G745" s="39"/>
      <c r="H745" s="40"/>
      <c r="I745" s="40"/>
      <c r="J745" s="40"/>
      <c r="K745" s="41"/>
      <c r="L745" s="39"/>
      <c r="M745" s="48" t="str">
        <f aca="false">IF($E745="","",IFERROR(INDEX(Parâmetros!$C$15:$C$20,MATCH($P745,Parâmetros!$B$15:$B$20,0)),""))</f>
        <v/>
      </c>
      <c r="N745" s="46" t="str">
        <f aca="false">IF($E745="","",IF($P745="","",IF($P745&gt;=8,"Alta",IF($P745&gt;=5,"Média","Baixa"))))</f>
        <v/>
      </c>
      <c r="O745" s="46" t="str">
        <f aca="false">IF($E745="","",IF(AND(Parâmetros!$C$5&gt;0,$P745&lt;&gt;"",$P745&gt;=Parâmetros!$C$5),"Sim","Não"))</f>
        <v/>
      </c>
      <c r="P745" s="45" t="str">
        <f aca="false">IF($E745="","",IF($G745="","",IF($G745="NOK",$F745,0)))</f>
        <v/>
      </c>
      <c r="Q745" s="46" t="str">
        <f aca="false">IF($E745="","",IF($O745&lt;&gt;"Sim","",COUNTIF($O$3:$O745,"Sim")))</f>
        <v/>
      </c>
      <c r="R745" s="47" t="n">
        <f aca="false">IF($P745="",0,$P745)</f>
        <v>0</v>
      </c>
    </row>
    <row r="746" customFormat="false" ht="18" hidden="false" customHeight="true" outlineLevel="0" collapsed="false">
      <c r="A746" s="39"/>
      <c r="B746" s="41"/>
      <c r="C746" s="40"/>
      <c r="D746" s="40"/>
      <c r="E746" s="40"/>
      <c r="F746" s="42"/>
      <c r="G746" s="39"/>
      <c r="H746" s="40"/>
      <c r="I746" s="40"/>
      <c r="J746" s="40"/>
      <c r="K746" s="41"/>
      <c r="L746" s="39"/>
      <c r="M746" s="48" t="str">
        <f aca="false">IF($E746="","",IFERROR(INDEX(Parâmetros!$C$15:$C$20,MATCH($P746,Parâmetros!$B$15:$B$20,0)),""))</f>
        <v/>
      </c>
      <c r="N746" s="46" t="str">
        <f aca="false">IF($E746="","",IF($P746="","",IF($P746&gt;=8,"Alta",IF($P746&gt;=5,"Média","Baixa"))))</f>
        <v/>
      </c>
      <c r="O746" s="46" t="str">
        <f aca="false">IF($E746="","",IF(AND(Parâmetros!$C$5&gt;0,$P746&lt;&gt;"",$P746&gt;=Parâmetros!$C$5),"Sim","Não"))</f>
        <v/>
      </c>
      <c r="P746" s="45" t="str">
        <f aca="false">IF($E746="","",IF($G746="","",IF($G746="NOK",$F746,0)))</f>
        <v/>
      </c>
      <c r="Q746" s="46" t="str">
        <f aca="false">IF($E746="","",IF($O746&lt;&gt;"Sim","",COUNTIF($O$3:$O746,"Sim")))</f>
        <v/>
      </c>
      <c r="R746" s="47" t="n">
        <f aca="false">IF($P746="",0,$P746)</f>
        <v>0</v>
      </c>
    </row>
    <row r="747" customFormat="false" ht="18" hidden="false" customHeight="true" outlineLevel="0" collapsed="false">
      <c r="A747" s="39"/>
      <c r="B747" s="41"/>
      <c r="C747" s="40"/>
      <c r="D747" s="40"/>
      <c r="E747" s="40"/>
      <c r="F747" s="42"/>
      <c r="G747" s="39"/>
      <c r="H747" s="40"/>
      <c r="I747" s="40"/>
      <c r="J747" s="40"/>
      <c r="K747" s="41"/>
      <c r="L747" s="39"/>
      <c r="M747" s="48" t="str">
        <f aca="false">IF($E747="","",IFERROR(INDEX(Parâmetros!$C$15:$C$20,MATCH($P747,Parâmetros!$B$15:$B$20,0)),""))</f>
        <v/>
      </c>
      <c r="N747" s="46" t="str">
        <f aca="false">IF($E747="","",IF($P747="","",IF($P747&gt;=8,"Alta",IF($P747&gt;=5,"Média","Baixa"))))</f>
        <v/>
      </c>
      <c r="O747" s="46" t="str">
        <f aca="false">IF($E747="","",IF(AND(Parâmetros!$C$5&gt;0,$P747&lt;&gt;"",$P747&gt;=Parâmetros!$C$5),"Sim","Não"))</f>
        <v/>
      </c>
      <c r="P747" s="45" t="str">
        <f aca="false">IF($E747="","",IF($G747="","",IF($G747="NOK",$F747,0)))</f>
        <v/>
      </c>
      <c r="Q747" s="46" t="str">
        <f aca="false">IF($E747="","",IF($O747&lt;&gt;"Sim","",COUNTIF($O$3:$O747,"Sim")))</f>
        <v/>
      </c>
      <c r="R747" s="47" t="n">
        <f aca="false">IF($P747="",0,$P747)</f>
        <v>0</v>
      </c>
    </row>
    <row r="748" customFormat="false" ht="18" hidden="false" customHeight="true" outlineLevel="0" collapsed="false">
      <c r="A748" s="39"/>
      <c r="B748" s="41"/>
      <c r="C748" s="40"/>
      <c r="D748" s="40"/>
      <c r="E748" s="40"/>
      <c r="F748" s="42"/>
      <c r="G748" s="39"/>
      <c r="H748" s="40"/>
      <c r="I748" s="40"/>
      <c r="J748" s="40"/>
      <c r="K748" s="41"/>
      <c r="L748" s="39"/>
      <c r="M748" s="48" t="str">
        <f aca="false">IF($E748="","",IFERROR(INDEX(Parâmetros!$C$15:$C$20,MATCH($P748,Parâmetros!$B$15:$B$20,0)),""))</f>
        <v/>
      </c>
      <c r="N748" s="46" t="str">
        <f aca="false">IF($E748="","",IF($P748="","",IF($P748&gt;=8,"Alta",IF($P748&gt;=5,"Média","Baixa"))))</f>
        <v/>
      </c>
      <c r="O748" s="46" t="str">
        <f aca="false">IF($E748="","",IF(AND(Parâmetros!$C$5&gt;0,$P748&lt;&gt;"",$P748&gt;=Parâmetros!$C$5),"Sim","Não"))</f>
        <v/>
      </c>
      <c r="P748" s="45" t="str">
        <f aca="false">IF($E748="","",IF($G748="","",IF($G748="NOK",$F748,0)))</f>
        <v/>
      </c>
      <c r="Q748" s="46" t="str">
        <f aca="false">IF($E748="","",IF($O748&lt;&gt;"Sim","",COUNTIF($O$3:$O748,"Sim")))</f>
        <v/>
      </c>
      <c r="R748" s="47" t="n">
        <f aca="false">IF($P748="",0,$P748)</f>
        <v>0</v>
      </c>
    </row>
    <row r="749" customFormat="false" ht="18" hidden="false" customHeight="true" outlineLevel="0" collapsed="false">
      <c r="A749" s="39"/>
      <c r="B749" s="41"/>
      <c r="C749" s="40"/>
      <c r="D749" s="40"/>
      <c r="E749" s="40"/>
      <c r="F749" s="42"/>
      <c r="G749" s="39"/>
      <c r="H749" s="40"/>
      <c r="I749" s="40"/>
      <c r="J749" s="40"/>
      <c r="K749" s="41"/>
      <c r="L749" s="39"/>
      <c r="M749" s="48" t="str">
        <f aca="false">IF($E749="","",IFERROR(INDEX(Parâmetros!$C$15:$C$20,MATCH($P749,Parâmetros!$B$15:$B$20,0)),""))</f>
        <v/>
      </c>
      <c r="N749" s="46" t="str">
        <f aca="false">IF($E749="","",IF($P749="","",IF($P749&gt;=8,"Alta",IF($P749&gt;=5,"Média","Baixa"))))</f>
        <v/>
      </c>
      <c r="O749" s="46" t="str">
        <f aca="false">IF($E749="","",IF(AND(Parâmetros!$C$5&gt;0,$P749&lt;&gt;"",$P749&gt;=Parâmetros!$C$5),"Sim","Não"))</f>
        <v/>
      </c>
      <c r="P749" s="45" t="str">
        <f aca="false">IF($E749="","",IF($G749="","",IF($G749="NOK",$F749,0)))</f>
        <v/>
      </c>
      <c r="Q749" s="46" t="str">
        <f aca="false">IF($E749="","",IF($O749&lt;&gt;"Sim","",COUNTIF($O$3:$O749,"Sim")))</f>
        <v/>
      </c>
      <c r="R749" s="47" t="n">
        <f aca="false">IF($P749="",0,$P749)</f>
        <v>0</v>
      </c>
    </row>
    <row r="750" customFormat="false" ht="18" hidden="false" customHeight="true" outlineLevel="0" collapsed="false">
      <c r="A750" s="39"/>
      <c r="B750" s="41"/>
      <c r="C750" s="40"/>
      <c r="D750" s="40"/>
      <c r="E750" s="40"/>
      <c r="F750" s="42"/>
      <c r="G750" s="39"/>
      <c r="H750" s="40"/>
      <c r="I750" s="40"/>
      <c r="J750" s="40"/>
      <c r="K750" s="41"/>
      <c r="L750" s="39"/>
      <c r="M750" s="48" t="str">
        <f aca="false">IF($E750="","",IFERROR(INDEX(Parâmetros!$C$15:$C$20,MATCH($P750,Parâmetros!$B$15:$B$20,0)),""))</f>
        <v/>
      </c>
      <c r="N750" s="46" t="str">
        <f aca="false">IF($E750="","",IF($P750="","",IF($P750&gt;=8,"Alta",IF($P750&gt;=5,"Média","Baixa"))))</f>
        <v/>
      </c>
      <c r="O750" s="46" t="str">
        <f aca="false">IF($E750="","",IF(AND(Parâmetros!$C$5&gt;0,$P750&lt;&gt;"",$P750&gt;=Parâmetros!$C$5),"Sim","Não"))</f>
        <v/>
      </c>
      <c r="P750" s="45" t="str">
        <f aca="false">IF($E750="","",IF($G750="","",IF($G750="NOK",$F750,0)))</f>
        <v/>
      </c>
      <c r="Q750" s="46" t="str">
        <f aca="false">IF($E750="","",IF($O750&lt;&gt;"Sim","",COUNTIF($O$3:$O750,"Sim")))</f>
        <v/>
      </c>
      <c r="R750" s="47" t="n">
        <f aca="false">IF($P750="",0,$P750)</f>
        <v>0</v>
      </c>
    </row>
    <row r="751" customFormat="false" ht="18" hidden="false" customHeight="true" outlineLevel="0" collapsed="false">
      <c r="A751" s="39"/>
      <c r="B751" s="41"/>
      <c r="C751" s="40"/>
      <c r="D751" s="40"/>
      <c r="E751" s="40"/>
      <c r="F751" s="42"/>
      <c r="G751" s="39"/>
      <c r="H751" s="40"/>
      <c r="I751" s="40"/>
      <c r="J751" s="40"/>
      <c r="K751" s="41"/>
      <c r="L751" s="39"/>
      <c r="M751" s="48" t="str">
        <f aca="false">IF($E751="","",IFERROR(INDEX(Parâmetros!$C$15:$C$20,MATCH($P751,Parâmetros!$B$15:$B$20,0)),""))</f>
        <v/>
      </c>
      <c r="N751" s="46" t="str">
        <f aca="false">IF($E751="","",IF($P751="","",IF($P751&gt;=8,"Alta",IF($P751&gt;=5,"Média","Baixa"))))</f>
        <v/>
      </c>
      <c r="O751" s="46" t="str">
        <f aca="false">IF($E751="","",IF(AND(Parâmetros!$C$5&gt;0,$P751&lt;&gt;"",$P751&gt;=Parâmetros!$C$5),"Sim","Não"))</f>
        <v/>
      </c>
      <c r="P751" s="45" t="str">
        <f aca="false">IF($E751="","",IF($G751="","",IF($G751="NOK",$F751,0)))</f>
        <v/>
      </c>
      <c r="Q751" s="46" t="str">
        <f aca="false">IF($E751="","",IF($O751&lt;&gt;"Sim","",COUNTIF($O$3:$O751,"Sim")))</f>
        <v/>
      </c>
      <c r="R751" s="47" t="n">
        <f aca="false">IF($P751="",0,$P751)</f>
        <v>0</v>
      </c>
    </row>
    <row r="752" customFormat="false" ht="18" hidden="false" customHeight="true" outlineLevel="0" collapsed="false">
      <c r="A752" s="39"/>
      <c r="B752" s="41"/>
      <c r="C752" s="40"/>
      <c r="D752" s="40"/>
      <c r="E752" s="40"/>
      <c r="F752" s="42"/>
      <c r="G752" s="39"/>
      <c r="H752" s="40"/>
      <c r="I752" s="40"/>
      <c r="J752" s="40"/>
      <c r="K752" s="41"/>
      <c r="L752" s="39"/>
      <c r="M752" s="48" t="str">
        <f aca="false">IF($E752="","",IFERROR(INDEX(Parâmetros!$C$15:$C$20,MATCH($P752,Parâmetros!$B$15:$B$20,0)),""))</f>
        <v/>
      </c>
      <c r="N752" s="46" t="str">
        <f aca="false">IF($E752="","",IF($P752="","",IF($P752&gt;=8,"Alta",IF($P752&gt;=5,"Média","Baixa"))))</f>
        <v/>
      </c>
      <c r="O752" s="46" t="str">
        <f aca="false">IF($E752="","",IF(AND(Parâmetros!$C$5&gt;0,$P752&lt;&gt;"",$P752&gt;=Parâmetros!$C$5),"Sim","Não"))</f>
        <v/>
      </c>
      <c r="P752" s="45" t="str">
        <f aca="false">IF($E752="","",IF($G752="","",IF($G752="NOK",$F752,0)))</f>
        <v/>
      </c>
      <c r="Q752" s="46" t="str">
        <f aca="false">IF($E752="","",IF($O752&lt;&gt;"Sim","",COUNTIF($O$3:$O752,"Sim")))</f>
        <v/>
      </c>
      <c r="R752" s="47" t="n">
        <f aca="false">IF($P752="",0,$P752)</f>
        <v>0</v>
      </c>
    </row>
    <row r="753" customFormat="false" ht="18" hidden="false" customHeight="true" outlineLevel="0" collapsed="false">
      <c r="A753" s="39"/>
      <c r="B753" s="41"/>
      <c r="C753" s="40"/>
      <c r="D753" s="40"/>
      <c r="E753" s="40"/>
      <c r="F753" s="42"/>
      <c r="G753" s="39"/>
      <c r="H753" s="40"/>
      <c r="I753" s="40"/>
      <c r="J753" s="40"/>
      <c r="K753" s="41"/>
      <c r="L753" s="39"/>
      <c r="M753" s="48" t="str">
        <f aca="false">IF($E753="","",IFERROR(INDEX(Parâmetros!$C$15:$C$20,MATCH($P753,Parâmetros!$B$15:$B$20,0)),""))</f>
        <v/>
      </c>
      <c r="N753" s="46" t="str">
        <f aca="false">IF($E753="","",IF($P753="","",IF($P753&gt;=8,"Alta",IF($P753&gt;=5,"Média","Baixa"))))</f>
        <v/>
      </c>
      <c r="O753" s="46" t="str">
        <f aca="false">IF($E753="","",IF(AND(Parâmetros!$C$5&gt;0,$P753&lt;&gt;"",$P753&gt;=Parâmetros!$C$5),"Sim","Não"))</f>
        <v/>
      </c>
      <c r="P753" s="45" t="str">
        <f aca="false">IF($E753="","",IF($G753="","",IF($G753="NOK",$F753,0)))</f>
        <v/>
      </c>
      <c r="Q753" s="46" t="str">
        <f aca="false">IF($E753="","",IF($O753&lt;&gt;"Sim","",COUNTIF($O$3:$O753,"Sim")))</f>
        <v/>
      </c>
      <c r="R753" s="47" t="n">
        <f aca="false">IF($P753="",0,$P753)</f>
        <v>0</v>
      </c>
    </row>
    <row r="754" customFormat="false" ht="18" hidden="false" customHeight="true" outlineLevel="0" collapsed="false">
      <c r="A754" s="39"/>
      <c r="B754" s="41"/>
      <c r="C754" s="40"/>
      <c r="D754" s="40"/>
      <c r="E754" s="40"/>
      <c r="F754" s="42"/>
      <c r="G754" s="39"/>
      <c r="H754" s="40"/>
      <c r="I754" s="40"/>
      <c r="J754" s="40"/>
      <c r="K754" s="41"/>
      <c r="L754" s="39"/>
      <c r="M754" s="48" t="str">
        <f aca="false">IF($E754="","",IFERROR(INDEX(Parâmetros!$C$15:$C$20,MATCH($P754,Parâmetros!$B$15:$B$20,0)),""))</f>
        <v/>
      </c>
      <c r="N754" s="46" t="str">
        <f aca="false">IF($E754="","",IF($P754="","",IF($P754&gt;=8,"Alta",IF($P754&gt;=5,"Média","Baixa"))))</f>
        <v/>
      </c>
      <c r="O754" s="46" t="str">
        <f aca="false">IF($E754="","",IF(AND(Parâmetros!$C$5&gt;0,$P754&lt;&gt;"",$P754&gt;=Parâmetros!$C$5),"Sim","Não"))</f>
        <v/>
      </c>
      <c r="P754" s="45" t="str">
        <f aca="false">IF($E754="","",IF($G754="","",IF($G754="NOK",$F754,0)))</f>
        <v/>
      </c>
      <c r="Q754" s="46" t="str">
        <f aca="false">IF($E754="","",IF($O754&lt;&gt;"Sim","",COUNTIF($O$3:$O754,"Sim")))</f>
        <v/>
      </c>
      <c r="R754" s="47" t="n">
        <f aca="false">IF($P754="",0,$P754)</f>
        <v>0</v>
      </c>
    </row>
    <row r="755" customFormat="false" ht="18" hidden="false" customHeight="true" outlineLevel="0" collapsed="false">
      <c r="A755" s="39"/>
      <c r="B755" s="41"/>
      <c r="C755" s="40"/>
      <c r="D755" s="40"/>
      <c r="E755" s="40"/>
      <c r="F755" s="42"/>
      <c r="G755" s="39"/>
      <c r="H755" s="40"/>
      <c r="I755" s="40"/>
      <c r="J755" s="40"/>
      <c r="K755" s="41"/>
      <c r="L755" s="39"/>
      <c r="M755" s="48" t="str">
        <f aca="false">IF($E755="","",IFERROR(INDEX(Parâmetros!$C$15:$C$20,MATCH($P755,Parâmetros!$B$15:$B$20,0)),""))</f>
        <v/>
      </c>
      <c r="N755" s="46" t="str">
        <f aca="false">IF($E755="","",IF($P755="","",IF($P755&gt;=8,"Alta",IF($P755&gt;=5,"Média","Baixa"))))</f>
        <v/>
      </c>
      <c r="O755" s="46" t="str">
        <f aca="false">IF($E755="","",IF(AND(Parâmetros!$C$5&gt;0,$P755&lt;&gt;"",$P755&gt;=Parâmetros!$C$5),"Sim","Não"))</f>
        <v/>
      </c>
      <c r="P755" s="45" t="str">
        <f aca="false">IF($E755="","",IF($G755="","",IF($G755="NOK",$F755,0)))</f>
        <v/>
      </c>
      <c r="Q755" s="46" t="str">
        <f aca="false">IF($E755="","",IF($O755&lt;&gt;"Sim","",COUNTIF($O$3:$O755,"Sim")))</f>
        <v/>
      </c>
      <c r="R755" s="47" t="n">
        <f aca="false">IF($P755="",0,$P755)</f>
        <v>0</v>
      </c>
    </row>
    <row r="756" customFormat="false" ht="18" hidden="false" customHeight="true" outlineLevel="0" collapsed="false">
      <c r="A756" s="39"/>
      <c r="B756" s="41"/>
      <c r="C756" s="40"/>
      <c r="D756" s="40"/>
      <c r="E756" s="40"/>
      <c r="F756" s="42"/>
      <c r="G756" s="39"/>
      <c r="H756" s="40"/>
      <c r="I756" s="40"/>
      <c r="J756" s="40"/>
      <c r="K756" s="41"/>
      <c r="L756" s="39"/>
      <c r="M756" s="48" t="str">
        <f aca="false">IF($E756="","",IFERROR(INDEX(Parâmetros!$C$15:$C$20,MATCH($P756,Parâmetros!$B$15:$B$20,0)),""))</f>
        <v/>
      </c>
      <c r="N756" s="46" t="str">
        <f aca="false">IF($E756="","",IF($P756="","",IF($P756&gt;=8,"Alta",IF($P756&gt;=5,"Média","Baixa"))))</f>
        <v/>
      </c>
      <c r="O756" s="46" t="str">
        <f aca="false">IF($E756="","",IF(AND(Parâmetros!$C$5&gt;0,$P756&lt;&gt;"",$P756&gt;=Parâmetros!$C$5),"Sim","Não"))</f>
        <v/>
      </c>
      <c r="P756" s="45" t="str">
        <f aca="false">IF($E756="","",IF($G756="","",IF($G756="NOK",$F756,0)))</f>
        <v/>
      </c>
      <c r="Q756" s="46" t="str">
        <f aca="false">IF($E756="","",IF($O756&lt;&gt;"Sim","",COUNTIF($O$3:$O756,"Sim")))</f>
        <v/>
      </c>
      <c r="R756" s="47" t="n">
        <f aca="false">IF($P756="",0,$P756)</f>
        <v>0</v>
      </c>
    </row>
    <row r="757" customFormat="false" ht="18" hidden="false" customHeight="true" outlineLevel="0" collapsed="false">
      <c r="A757" s="39"/>
      <c r="B757" s="41"/>
      <c r="C757" s="40"/>
      <c r="D757" s="40"/>
      <c r="E757" s="40"/>
      <c r="F757" s="42"/>
      <c r="G757" s="39"/>
      <c r="H757" s="40"/>
      <c r="I757" s="40"/>
      <c r="J757" s="40"/>
      <c r="K757" s="41"/>
      <c r="L757" s="39"/>
      <c r="M757" s="48" t="str">
        <f aca="false">IF($E757="","",IFERROR(INDEX(Parâmetros!$C$15:$C$20,MATCH($P757,Parâmetros!$B$15:$B$20,0)),""))</f>
        <v/>
      </c>
      <c r="N757" s="46" t="str">
        <f aca="false">IF($E757="","",IF($P757="","",IF($P757&gt;=8,"Alta",IF($P757&gt;=5,"Média","Baixa"))))</f>
        <v/>
      </c>
      <c r="O757" s="46" t="str">
        <f aca="false">IF($E757="","",IF(AND(Parâmetros!$C$5&gt;0,$P757&lt;&gt;"",$P757&gt;=Parâmetros!$C$5),"Sim","Não"))</f>
        <v/>
      </c>
      <c r="P757" s="45" t="str">
        <f aca="false">IF($E757="","",IF($G757="","",IF($G757="NOK",$F757,0)))</f>
        <v/>
      </c>
      <c r="Q757" s="46" t="str">
        <f aca="false">IF($E757="","",IF($O757&lt;&gt;"Sim","",COUNTIF($O$3:$O757,"Sim")))</f>
        <v/>
      </c>
      <c r="R757" s="47" t="n">
        <f aca="false">IF($P757="",0,$P757)</f>
        <v>0</v>
      </c>
    </row>
    <row r="758" customFormat="false" ht="18" hidden="false" customHeight="true" outlineLevel="0" collapsed="false">
      <c r="A758" s="39"/>
      <c r="B758" s="41"/>
      <c r="C758" s="40"/>
      <c r="D758" s="40"/>
      <c r="E758" s="40"/>
      <c r="F758" s="42"/>
      <c r="G758" s="39"/>
      <c r="H758" s="40"/>
      <c r="I758" s="40"/>
      <c r="J758" s="40"/>
      <c r="K758" s="41"/>
      <c r="L758" s="39"/>
      <c r="M758" s="48" t="str">
        <f aca="false">IF($E758="","",IFERROR(INDEX(Parâmetros!$C$15:$C$20,MATCH($P758,Parâmetros!$B$15:$B$20,0)),""))</f>
        <v/>
      </c>
      <c r="N758" s="46" t="str">
        <f aca="false">IF($E758="","",IF($P758="","",IF($P758&gt;=8,"Alta",IF($P758&gt;=5,"Média","Baixa"))))</f>
        <v/>
      </c>
      <c r="O758" s="46" t="str">
        <f aca="false">IF($E758="","",IF(AND(Parâmetros!$C$5&gt;0,$P758&lt;&gt;"",$P758&gt;=Parâmetros!$C$5),"Sim","Não"))</f>
        <v/>
      </c>
      <c r="P758" s="45" t="str">
        <f aca="false">IF($E758="","",IF($G758="","",IF($G758="NOK",$F758,0)))</f>
        <v/>
      </c>
      <c r="Q758" s="46" t="str">
        <f aca="false">IF($E758="","",IF($O758&lt;&gt;"Sim","",COUNTIF($O$3:$O758,"Sim")))</f>
        <v/>
      </c>
      <c r="R758" s="47" t="n">
        <f aca="false">IF($P758="",0,$P758)</f>
        <v>0</v>
      </c>
    </row>
    <row r="759" customFormat="false" ht="18" hidden="false" customHeight="true" outlineLevel="0" collapsed="false">
      <c r="A759" s="39"/>
      <c r="B759" s="41"/>
      <c r="C759" s="40"/>
      <c r="D759" s="40"/>
      <c r="E759" s="40"/>
      <c r="F759" s="42"/>
      <c r="G759" s="39"/>
      <c r="H759" s="40"/>
      <c r="I759" s="40"/>
      <c r="J759" s="40"/>
      <c r="K759" s="41"/>
      <c r="L759" s="39"/>
      <c r="M759" s="48" t="str">
        <f aca="false">IF($E759="","",IFERROR(INDEX(Parâmetros!$C$15:$C$20,MATCH($P759,Parâmetros!$B$15:$B$20,0)),""))</f>
        <v/>
      </c>
      <c r="N759" s="46" t="str">
        <f aca="false">IF($E759="","",IF($P759="","",IF($P759&gt;=8,"Alta",IF($P759&gt;=5,"Média","Baixa"))))</f>
        <v/>
      </c>
      <c r="O759" s="46" t="str">
        <f aca="false">IF($E759="","",IF(AND(Parâmetros!$C$5&gt;0,$P759&lt;&gt;"",$P759&gt;=Parâmetros!$C$5),"Sim","Não"))</f>
        <v/>
      </c>
      <c r="P759" s="45" t="str">
        <f aca="false">IF($E759="","",IF($G759="","",IF($G759="NOK",$F759,0)))</f>
        <v/>
      </c>
      <c r="Q759" s="46" t="str">
        <f aca="false">IF($E759="","",IF($O759&lt;&gt;"Sim","",COUNTIF($O$3:$O759,"Sim")))</f>
        <v/>
      </c>
      <c r="R759" s="47" t="n">
        <f aca="false">IF($P759="",0,$P759)</f>
        <v>0</v>
      </c>
    </row>
    <row r="760" customFormat="false" ht="18" hidden="false" customHeight="true" outlineLevel="0" collapsed="false">
      <c r="A760" s="39"/>
      <c r="B760" s="41"/>
      <c r="C760" s="40"/>
      <c r="D760" s="40"/>
      <c r="E760" s="40"/>
      <c r="F760" s="42"/>
      <c r="G760" s="39"/>
      <c r="H760" s="40"/>
      <c r="I760" s="40"/>
      <c r="J760" s="40"/>
      <c r="K760" s="41"/>
      <c r="L760" s="39"/>
      <c r="M760" s="48" t="str">
        <f aca="false">IF($E760="","",IFERROR(INDEX(Parâmetros!$C$15:$C$20,MATCH($P760,Parâmetros!$B$15:$B$20,0)),""))</f>
        <v/>
      </c>
      <c r="N760" s="46" t="str">
        <f aca="false">IF($E760="","",IF($P760="","",IF($P760&gt;=8,"Alta",IF($P760&gt;=5,"Média","Baixa"))))</f>
        <v/>
      </c>
      <c r="O760" s="46" t="str">
        <f aca="false">IF($E760="","",IF(AND(Parâmetros!$C$5&gt;0,$P760&lt;&gt;"",$P760&gt;=Parâmetros!$C$5),"Sim","Não"))</f>
        <v/>
      </c>
      <c r="P760" s="45" t="str">
        <f aca="false">IF($E760="","",IF($G760="","",IF($G760="NOK",$F760,0)))</f>
        <v/>
      </c>
      <c r="Q760" s="46" t="str">
        <f aca="false">IF($E760="","",IF($O760&lt;&gt;"Sim","",COUNTIF($O$3:$O760,"Sim")))</f>
        <v/>
      </c>
      <c r="R760" s="47" t="n">
        <f aca="false">IF($P760="",0,$P760)</f>
        <v>0</v>
      </c>
    </row>
    <row r="761" customFormat="false" ht="18" hidden="false" customHeight="true" outlineLevel="0" collapsed="false">
      <c r="A761" s="39"/>
      <c r="B761" s="41"/>
      <c r="C761" s="40"/>
      <c r="D761" s="40"/>
      <c r="E761" s="40"/>
      <c r="F761" s="42"/>
      <c r="G761" s="39"/>
      <c r="H761" s="40"/>
      <c r="I761" s="40"/>
      <c r="J761" s="40"/>
      <c r="K761" s="41"/>
      <c r="L761" s="39"/>
      <c r="M761" s="48" t="str">
        <f aca="false">IF($E761="","",IFERROR(INDEX(Parâmetros!$C$15:$C$20,MATCH($P761,Parâmetros!$B$15:$B$20,0)),""))</f>
        <v/>
      </c>
      <c r="N761" s="46" t="str">
        <f aca="false">IF($E761="","",IF($P761="","",IF($P761&gt;=8,"Alta",IF($P761&gt;=5,"Média","Baixa"))))</f>
        <v/>
      </c>
      <c r="O761" s="46" t="str">
        <f aca="false">IF($E761="","",IF(AND(Parâmetros!$C$5&gt;0,$P761&lt;&gt;"",$P761&gt;=Parâmetros!$C$5),"Sim","Não"))</f>
        <v/>
      </c>
      <c r="P761" s="45" t="str">
        <f aca="false">IF($E761="","",IF($G761="","",IF($G761="NOK",$F761,0)))</f>
        <v/>
      </c>
      <c r="Q761" s="46" t="str">
        <f aca="false">IF($E761="","",IF($O761&lt;&gt;"Sim","",COUNTIF($O$3:$O761,"Sim")))</f>
        <v/>
      </c>
      <c r="R761" s="47" t="n">
        <f aca="false">IF($P761="",0,$P761)</f>
        <v>0</v>
      </c>
    </row>
    <row r="762" customFormat="false" ht="18" hidden="false" customHeight="true" outlineLevel="0" collapsed="false">
      <c r="A762" s="39"/>
      <c r="B762" s="41"/>
      <c r="C762" s="40"/>
      <c r="D762" s="40"/>
      <c r="E762" s="40"/>
      <c r="F762" s="42"/>
      <c r="G762" s="39"/>
      <c r="H762" s="40"/>
      <c r="I762" s="40"/>
      <c r="J762" s="40"/>
      <c r="K762" s="41"/>
      <c r="L762" s="39"/>
      <c r="M762" s="48" t="str">
        <f aca="false">IF($E762="","",IFERROR(INDEX(Parâmetros!$C$15:$C$20,MATCH($P762,Parâmetros!$B$15:$B$20,0)),""))</f>
        <v/>
      </c>
      <c r="N762" s="46" t="str">
        <f aca="false">IF($E762="","",IF($P762="","",IF($P762&gt;=8,"Alta",IF($P762&gt;=5,"Média","Baixa"))))</f>
        <v/>
      </c>
      <c r="O762" s="46" t="str">
        <f aca="false">IF($E762="","",IF(AND(Parâmetros!$C$5&gt;0,$P762&lt;&gt;"",$P762&gt;=Parâmetros!$C$5),"Sim","Não"))</f>
        <v/>
      </c>
      <c r="P762" s="45" t="str">
        <f aca="false">IF($E762="","",IF($G762="","",IF($G762="NOK",$F762,0)))</f>
        <v/>
      </c>
      <c r="Q762" s="46" t="str">
        <f aca="false">IF($E762="","",IF($O762&lt;&gt;"Sim","",COUNTIF($O$3:$O762,"Sim")))</f>
        <v/>
      </c>
      <c r="R762" s="47" t="n">
        <f aca="false">IF($P762="",0,$P762)</f>
        <v>0</v>
      </c>
    </row>
    <row r="763" customFormat="false" ht="18" hidden="false" customHeight="true" outlineLevel="0" collapsed="false">
      <c r="A763" s="39"/>
      <c r="B763" s="41"/>
      <c r="C763" s="40"/>
      <c r="D763" s="40"/>
      <c r="E763" s="40"/>
      <c r="F763" s="42"/>
      <c r="G763" s="39"/>
      <c r="H763" s="40"/>
      <c r="I763" s="40"/>
      <c r="J763" s="40"/>
      <c r="K763" s="41"/>
      <c r="L763" s="39"/>
      <c r="M763" s="48" t="str">
        <f aca="false">IF($E763="","",IFERROR(INDEX(Parâmetros!$C$15:$C$20,MATCH($P763,Parâmetros!$B$15:$B$20,0)),""))</f>
        <v/>
      </c>
      <c r="N763" s="46" t="str">
        <f aca="false">IF($E763="","",IF($P763="","",IF($P763&gt;=8,"Alta",IF($P763&gt;=5,"Média","Baixa"))))</f>
        <v/>
      </c>
      <c r="O763" s="46" t="str">
        <f aca="false">IF($E763="","",IF(AND(Parâmetros!$C$5&gt;0,$P763&lt;&gt;"",$P763&gt;=Parâmetros!$C$5),"Sim","Não"))</f>
        <v/>
      </c>
      <c r="P763" s="45" t="str">
        <f aca="false">IF($E763="","",IF($G763="","",IF($G763="NOK",$F763,0)))</f>
        <v/>
      </c>
      <c r="Q763" s="46" t="str">
        <f aca="false">IF($E763="","",IF($O763&lt;&gt;"Sim","",COUNTIF($O$3:$O763,"Sim")))</f>
        <v/>
      </c>
      <c r="R763" s="47" t="n">
        <f aca="false">IF($P763="",0,$P763)</f>
        <v>0</v>
      </c>
    </row>
    <row r="764" customFormat="false" ht="18" hidden="false" customHeight="true" outlineLevel="0" collapsed="false">
      <c r="A764" s="39"/>
      <c r="B764" s="41"/>
      <c r="C764" s="40"/>
      <c r="D764" s="40"/>
      <c r="E764" s="40"/>
      <c r="F764" s="42"/>
      <c r="G764" s="39"/>
      <c r="H764" s="40"/>
      <c r="I764" s="40"/>
      <c r="J764" s="40"/>
      <c r="K764" s="41"/>
      <c r="L764" s="39"/>
      <c r="M764" s="48" t="str">
        <f aca="false">IF($E764="","",IFERROR(INDEX(Parâmetros!$C$15:$C$20,MATCH($P764,Parâmetros!$B$15:$B$20,0)),""))</f>
        <v/>
      </c>
      <c r="N764" s="46" t="str">
        <f aca="false">IF($E764="","",IF($P764="","",IF($P764&gt;=8,"Alta",IF($P764&gt;=5,"Média","Baixa"))))</f>
        <v/>
      </c>
      <c r="O764" s="46" t="str">
        <f aca="false">IF($E764="","",IF(AND(Parâmetros!$C$5&gt;0,$P764&lt;&gt;"",$P764&gt;=Parâmetros!$C$5),"Sim","Não"))</f>
        <v/>
      </c>
      <c r="P764" s="45" t="str">
        <f aca="false">IF($E764="","",IF($G764="","",IF($G764="NOK",$F764,0)))</f>
        <v/>
      </c>
      <c r="Q764" s="46" t="str">
        <f aca="false">IF($E764="","",IF($O764&lt;&gt;"Sim","",COUNTIF($O$3:$O764,"Sim")))</f>
        <v/>
      </c>
      <c r="R764" s="47" t="n">
        <f aca="false">IF($P764="",0,$P764)</f>
        <v>0</v>
      </c>
    </row>
    <row r="765" customFormat="false" ht="18" hidden="false" customHeight="true" outlineLevel="0" collapsed="false">
      <c r="A765" s="39"/>
      <c r="B765" s="41"/>
      <c r="C765" s="40"/>
      <c r="D765" s="40"/>
      <c r="E765" s="40"/>
      <c r="F765" s="42"/>
      <c r="G765" s="39"/>
      <c r="H765" s="40"/>
      <c r="I765" s="40"/>
      <c r="J765" s="40"/>
      <c r="K765" s="41"/>
      <c r="L765" s="39"/>
      <c r="M765" s="48" t="str">
        <f aca="false">IF($E765="","",IFERROR(INDEX(Parâmetros!$C$15:$C$20,MATCH($P765,Parâmetros!$B$15:$B$20,0)),""))</f>
        <v/>
      </c>
      <c r="N765" s="46" t="str">
        <f aca="false">IF($E765="","",IF($P765="","",IF($P765&gt;=8,"Alta",IF($P765&gt;=5,"Média","Baixa"))))</f>
        <v/>
      </c>
      <c r="O765" s="46" t="str">
        <f aca="false">IF($E765="","",IF(AND(Parâmetros!$C$5&gt;0,$P765&lt;&gt;"",$P765&gt;=Parâmetros!$C$5),"Sim","Não"))</f>
        <v/>
      </c>
      <c r="P765" s="45" t="str">
        <f aca="false">IF($E765="","",IF($G765="","",IF($G765="NOK",$F765,0)))</f>
        <v/>
      </c>
      <c r="Q765" s="46" t="str">
        <f aca="false">IF($E765="","",IF($O765&lt;&gt;"Sim","",COUNTIF($O$3:$O765,"Sim")))</f>
        <v/>
      </c>
      <c r="R765" s="47" t="n">
        <f aca="false">IF($P765="",0,$P765)</f>
        <v>0</v>
      </c>
    </row>
    <row r="766" customFormat="false" ht="18" hidden="false" customHeight="true" outlineLevel="0" collapsed="false">
      <c r="A766" s="39"/>
      <c r="B766" s="41"/>
      <c r="C766" s="40"/>
      <c r="D766" s="40"/>
      <c r="E766" s="40"/>
      <c r="F766" s="42"/>
      <c r="G766" s="39"/>
      <c r="H766" s="40"/>
      <c r="I766" s="40"/>
      <c r="J766" s="40"/>
      <c r="K766" s="41"/>
      <c r="L766" s="39"/>
      <c r="M766" s="48" t="str">
        <f aca="false">IF($E766="","",IFERROR(INDEX(Parâmetros!$C$15:$C$20,MATCH($P766,Parâmetros!$B$15:$B$20,0)),""))</f>
        <v/>
      </c>
      <c r="N766" s="46" t="str">
        <f aca="false">IF($E766="","",IF($P766="","",IF($P766&gt;=8,"Alta",IF($P766&gt;=5,"Média","Baixa"))))</f>
        <v/>
      </c>
      <c r="O766" s="46" t="str">
        <f aca="false">IF($E766="","",IF(AND(Parâmetros!$C$5&gt;0,$P766&lt;&gt;"",$P766&gt;=Parâmetros!$C$5),"Sim","Não"))</f>
        <v/>
      </c>
      <c r="P766" s="45" t="str">
        <f aca="false">IF($E766="","",IF($G766="","",IF($G766="NOK",$F766,0)))</f>
        <v/>
      </c>
      <c r="Q766" s="46" t="str">
        <f aca="false">IF($E766="","",IF($O766&lt;&gt;"Sim","",COUNTIF($O$3:$O766,"Sim")))</f>
        <v/>
      </c>
      <c r="R766" s="47" t="n">
        <f aca="false">IF($P766="",0,$P766)</f>
        <v>0</v>
      </c>
    </row>
    <row r="767" customFormat="false" ht="18" hidden="false" customHeight="true" outlineLevel="0" collapsed="false">
      <c r="A767" s="39"/>
      <c r="B767" s="41"/>
      <c r="C767" s="40"/>
      <c r="D767" s="40"/>
      <c r="E767" s="40"/>
      <c r="F767" s="42"/>
      <c r="G767" s="39"/>
      <c r="H767" s="40"/>
      <c r="I767" s="40"/>
      <c r="J767" s="40"/>
      <c r="K767" s="41"/>
      <c r="L767" s="39"/>
      <c r="M767" s="48" t="str">
        <f aca="false">IF($E767="","",IFERROR(INDEX(Parâmetros!$C$15:$C$20,MATCH($P767,Parâmetros!$B$15:$B$20,0)),""))</f>
        <v/>
      </c>
      <c r="N767" s="46" t="str">
        <f aca="false">IF($E767="","",IF($P767="","",IF($P767&gt;=8,"Alta",IF($P767&gt;=5,"Média","Baixa"))))</f>
        <v/>
      </c>
      <c r="O767" s="46" t="str">
        <f aca="false">IF($E767="","",IF(AND(Parâmetros!$C$5&gt;0,$P767&lt;&gt;"",$P767&gt;=Parâmetros!$C$5),"Sim","Não"))</f>
        <v/>
      </c>
      <c r="P767" s="45" t="str">
        <f aca="false">IF($E767="","",IF($G767="","",IF($G767="NOK",$F767,0)))</f>
        <v/>
      </c>
      <c r="Q767" s="46" t="str">
        <f aca="false">IF($E767="","",IF($O767&lt;&gt;"Sim","",COUNTIF($O$3:$O767,"Sim")))</f>
        <v/>
      </c>
      <c r="R767" s="47" t="n">
        <f aca="false">IF($P767="",0,$P767)</f>
        <v>0</v>
      </c>
    </row>
    <row r="768" customFormat="false" ht="18" hidden="false" customHeight="true" outlineLevel="0" collapsed="false">
      <c r="A768" s="39"/>
      <c r="B768" s="41"/>
      <c r="C768" s="40"/>
      <c r="D768" s="40"/>
      <c r="E768" s="40"/>
      <c r="F768" s="42"/>
      <c r="G768" s="39"/>
      <c r="H768" s="40"/>
      <c r="I768" s="40"/>
      <c r="J768" s="40"/>
      <c r="K768" s="41"/>
      <c r="L768" s="39"/>
      <c r="M768" s="48" t="str">
        <f aca="false">IF($E768="","",IFERROR(INDEX(Parâmetros!$C$15:$C$20,MATCH($P768,Parâmetros!$B$15:$B$20,0)),""))</f>
        <v/>
      </c>
      <c r="N768" s="46" t="str">
        <f aca="false">IF($E768="","",IF($P768="","",IF($P768&gt;=8,"Alta",IF($P768&gt;=5,"Média","Baixa"))))</f>
        <v/>
      </c>
      <c r="O768" s="46" t="str">
        <f aca="false">IF($E768="","",IF(AND(Parâmetros!$C$5&gt;0,$P768&lt;&gt;"",$P768&gt;=Parâmetros!$C$5),"Sim","Não"))</f>
        <v/>
      </c>
      <c r="P768" s="45" t="str">
        <f aca="false">IF($E768="","",IF($G768="","",IF($G768="NOK",$F768,0)))</f>
        <v/>
      </c>
      <c r="Q768" s="46" t="str">
        <f aca="false">IF($E768="","",IF($O768&lt;&gt;"Sim","",COUNTIF($O$3:$O768,"Sim")))</f>
        <v/>
      </c>
      <c r="R768" s="47" t="n">
        <f aca="false">IF($P768="",0,$P768)</f>
        <v>0</v>
      </c>
    </row>
    <row r="769" customFormat="false" ht="18" hidden="false" customHeight="true" outlineLevel="0" collapsed="false">
      <c r="A769" s="39"/>
      <c r="B769" s="41"/>
      <c r="C769" s="40"/>
      <c r="D769" s="40"/>
      <c r="E769" s="40"/>
      <c r="F769" s="42"/>
      <c r="G769" s="39"/>
      <c r="H769" s="40"/>
      <c r="I769" s="40"/>
      <c r="J769" s="40"/>
      <c r="K769" s="41"/>
      <c r="L769" s="39"/>
      <c r="M769" s="48" t="str">
        <f aca="false">IF($E769="","",IFERROR(INDEX(Parâmetros!$C$15:$C$20,MATCH($P769,Parâmetros!$B$15:$B$20,0)),""))</f>
        <v/>
      </c>
      <c r="N769" s="46" t="str">
        <f aca="false">IF($E769="","",IF($P769="","",IF($P769&gt;=8,"Alta",IF($P769&gt;=5,"Média","Baixa"))))</f>
        <v/>
      </c>
      <c r="O769" s="46" t="str">
        <f aca="false">IF($E769="","",IF(AND(Parâmetros!$C$5&gt;0,$P769&lt;&gt;"",$P769&gt;=Parâmetros!$C$5),"Sim","Não"))</f>
        <v/>
      </c>
      <c r="P769" s="45" t="str">
        <f aca="false">IF($E769="","",IF($G769="","",IF($G769="NOK",$F769,0)))</f>
        <v/>
      </c>
      <c r="Q769" s="46" t="str">
        <f aca="false">IF($E769="","",IF($O769&lt;&gt;"Sim","",COUNTIF($O$3:$O769,"Sim")))</f>
        <v/>
      </c>
      <c r="R769" s="47" t="n">
        <f aca="false">IF($P769="",0,$P769)</f>
        <v>0</v>
      </c>
    </row>
    <row r="770" customFormat="false" ht="18" hidden="false" customHeight="true" outlineLevel="0" collapsed="false">
      <c r="A770" s="39"/>
      <c r="B770" s="41"/>
      <c r="C770" s="40"/>
      <c r="D770" s="40"/>
      <c r="E770" s="40"/>
      <c r="F770" s="42"/>
      <c r="G770" s="39"/>
      <c r="H770" s="40"/>
      <c r="I770" s="40"/>
      <c r="J770" s="40"/>
      <c r="K770" s="41"/>
      <c r="L770" s="39"/>
      <c r="M770" s="48" t="str">
        <f aca="false">IF($E770="","",IFERROR(INDEX(Parâmetros!$C$15:$C$20,MATCH($P770,Parâmetros!$B$15:$B$20,0)),""))</f>
        <v/>
      </c>
      <c r="N770" s="46" t="str">
        <f aca="false">IF($E770="","",IF($P770="","",IF($P770&gt;=8,"Alta",IF($P770&gt;=5,"Média","Baixa"))))</f>
        <v/>
      </c>
      <c r="O770" s="46" t="str">
        <f aca="false">IF($E770="","",IF(AND(Parâmetros!$C$5&gt;0,$P770&lt;&gt;"",$P770&gt;=Parâmetros!$C$5),"Sim","Não"))</f>
        <v/>
      </c>
      <c r="P770" s="45" t="str">
        <f aca="false">IF($E770="","",IF($G770="","",IF($G770="NOK",$F770,0)))</f>
        <v/>
      </c>
      <c r="Q770" s="46" t="str">
        <f aca="false">IF($E770="","",IF($O770&lt;&gt;"Sim","",COUNTIF($O$3:$O770,"Sim")))</f>
        <v/>
      </c>
      <c r="R770" s="47" t="n">
        <f aca="false">IF($P770="",0,$P770)</f>
        <v>0</v>
      </c>
    </row>
    <row r="771" customFormat="false" ht="18" hidden="false" customHeight="true" outlineLevel="0" collapsed="false">
      <c r="A771" s="39"/>
      <c r="B771" s="41"/>
      <c r="C771" s="40"/>
      <c r="D771" s="40"/>
      <c r="E771" s="40"/>
      <c r="F771" s="42"/>
      <c r="G771" s="39"/>
      <c r="H771" s="40"/>
      <c r="I771" s="40"/>
      <c r="J771" s="40"/>
      <c r="K771" s="41"/>
      <c r="L771" s="39"/>
      <c r="M771" s="48" t="str">
        <f aca="false">IF($E771="","",IFERROR(INDEX(Parâmetros!$C$15:$C$20,MATCH($P771,Parâmetros!$B$15:$B$20,0)),""))</f>
        <v/>
      </c>
      <c r="N771" s="46" t="str">
        <f aca="false">IF($E771="","",IF($P771="","",IF($P771&gt;=8,"Alta",IF($P771&gt;=5,"Média","Baixa"))))</f>
        <v/>
      </c>
      <c r="O771" s="46" t="str">
        <f aca="false">IF($E771="","",IF(AND(Parâmetros!$C$5&gt;0,$P771&lt;&gt;"",$P771&gt;=Parâmetros!$C$5),"Sim","Não"))</f>
        <v/>
      </c>
      <c r="P771" s="45" t="str">
        <f aca="false">IF($E771="","",IF($G771="","",IF($G771="NOK",$F771,0)))</f>
        <v/>
      </c>
      <c r="Q771" s="46" t="str">
        <f aca="false">IF($E771="","",IF($O771&lt;&gt;"Sim","",COUNTIF($O$3:$O771,"Sim")))</f>
        <v/>
      </c>
      <c r="R771" s="47" t="n">
        <f aca="false">IF($P771="",0,$P771)</f>
        <v>0</v>
      </c>
    </row>
    <row r="772" customFormat="false" ht="18" hidden="false" customHeight="true" outlineLevel="0" collapsed="false">
      <c r="A772" s="39"/>
      <c r="B772" s="41"/>
      <c r="C772" s="40"/>
      <c r="D772" s="40"/>
      <c r="E772" s="40"/>
      <c r="F772" s="42"/>
      <c r="G772" s="39"/>
      <c r="H772" s="40"/>
      <c r="I772" s="40"/>
      <c r="J772" s="40"/>
      <c r="K772" s="41"/>
      <c r="L772" s="39"/>
      <c r="M772" s="48" t="str">
        <f aca="false">IF($E772="","",IFERROR(INDEX(Parâmetros!$C$15:$C$20,MATCH($P772,Parâmetros!$B$15:$B$20,0)),""))</f>
        <v/>
      </c>
      <c r="N772" s="46" t="str">
        <f aca="false">IF($E772="","",IF($P772="","",IF($P772&gt;=8,"Alta",IF($P772&gt;=5,"Média","Baixa"))))</f>
        <v/>
      </c>
      <c r="O772" s="46" t="str">
        <f aca="false">IF($E772="","",IF(AND(Parâmetros!$C$5&gt;0,$P772&lt;&gt;"",$P772&gt;=Parâmetros!$C$5),"Sim","Não"))</f>
        <v/>
      </c>
      <c r="P772" s="45" t="str">
        <f aca="false">IF($E772="","",IF($G772="","",IF($G772="NOK",$F772,0)))</f>
        <v/>
      </c>
      <c r="Q772" s="46" t="str">
        <f aca="false">IF($E772="","",IF($O772&lt;&gt;"Sim","",COUNTIF($O$3:$O772,"Sim")))</f>
        <v/>
      </c>
      <c r="R772" s="47" t="n">
        <f aca="false">IF($P772="",0,$P772)</f>
        <v>0</v>
      </c>
    </row>
    <row r="773" customFormat="false" ht="18" hidden="false" customHeight="true" outlineLevel="0" collapsed="false">
      <c r="A773" s="39"/>
      <c r="B773" s="41"/>
      <c r="C773" s="40"/>
      <c r="D773" s="40"/>
      <c r="E773" s="40"/>
      <c r="F773" s="42"/>
      <c r="G773" s="39"/>
      <c r="H773" s="40"/>
      <c r="I773" s="40"/>
      <c r="J773" s="40"/>
      <c r="K773" s="41"/>
      <c r="L773" s="39"/>
      <c r="M773" s="48" t="str">
        <f aca="false">IF($E773="","",IFERROR(INDEX(Parâmetros!$C$15:$C$20,MATCH($P773,Parâmetros!$B$15:$B$20,0)),""))</f>
        <v/>
      </c>
      <c r="N773" s="46" t="str">
        <f aca="false">IF($E773="","",IF($P773="","",IF($P773&gt;=8,"Alta",IF($P773&gt;=5,"Média","Baixa"))))</f>
        <v/>
      </c>
      <c r="O773" s="46" t="str">
        <f aca="false">IF($E773="","",IF(AND(Parâmetros!$C$5&gt;0,$P773&lt;&gt;"",$P773&gt;=Parâmetros!$C$5),"Sim","Não"))</f>
        <v/>
      </c>
      <c r="P773" s="45" t="str">
        <f aca="false">IF($E773="","",IF($G773="","",IF($G773="NOK",$F773,0)))</f>
        <v/>
      </c>
      <c r="Q773" s="46" t="str">
        <f aca="false">IF($E773="","",IF($O773&lt;&gt;"Sim","",COUNTIF($O$3:$O773,"Sim")))</f>
        <v/>
      </c>
      <c r="R773" s="47" t="n">
        <f aca="false">IF($P773="",0,$P773)</f>
        <v>0</v>
      </c>
    </row>
    <row r="774" customFormat="false" ht="18" hidden="false" customHeight="true" outlineLevel="0" collapsed="false">
      <c r="A774" s="39"/>
      <c r="B774" s="41"/>
      <c r="C774" s="40"/>
      <c r="D774" s="40"/>
      <c r="E774" s="40"/>
      <c r="F774" s="42"/>
      <c r="G774" s="39"/>
      <c r="H774" s="40"/>
      <c r="I774" s="40"/>
      <c r="J774" s="40"/>
      <c r="K774" s="41"/>
      <c r="L774" s="39"/>
      <c r="M774" s="48" t="str">
        <f aca="false">IF($E774="","",IFERROR(INDEX(Parâmetros!$C$15:$C$20,MATCH($P774,Parâmetros!$B$15:$B$20,0)),""))</f>
        <v/>
      </c>
      <c r="N774" s="46" t="str">
        <f aca="false">IF($E774="","",IF($P774="","",IF($P774&gt;=8,"Alta",IF($P774&gt;=5,"Média","Baixa"))))</f>
        <v/>
      </c>
      <c r="O774" s="46" t="str">
        <f aca="false">IF($E774="","",IF(AND(Parâmetros!$C$5&gt;0,$P774&lt;&gt;"",$P774&gt;=Parâmetros!$C$5),"Sim","Não"))</f>
        <v/>
      </c>
      <c r="P774" s="45" t="str">
        <f aca="false">IF($E774="","",IF($G774="","",IF($G774="NOK",$F774,0)))</f>
        <v/>
      </c>
      <c r="Q774" s="46" t="str">
        <f aca="false">IF($E774="","",IF($O774&lt;&gt;"Sim","",COUNTIF($O$3:$O774,"Sim")))</f>
        <v/>
      </c>
      <c r="R774" s="47" t="n">
        <f aca="false">IF($P774="",0,$P774)</f>
        <v>0</v>
      </c>
    </row>
    <row r="775" customFormat="false" ht="18" hidden="false" customHeight="true" outlineLevel="0" collapsed="false">
      <c r="A775" s="39"/>
      <c r="B775" s="41"/>
      <c r="C775" s="40"/>
      <c r="D775" s="40"/>
      <c r="E775" s="40"/>
      <c r="F775" s="42"/>
      <c r="G775" s="39"/>
      <c r="H775" s="40"/>
      <c r="I775" s="40"/>
      <c r="J775" s="40"/>
      <c r="K775" s="41"/>
      <c r="L775" s="39"/>
      <c r="M775" s="48" t="str">
        <f aca="false">IF($E775="","",IFERROR(INDEX(Parâmetros!$C$15:$C$20,MATCH($P775,Parâmetros!$B$15:$B$20,0)),""))</f>
        <v/>
      </c>
      <c r="N775" s="46" t="str">
        <f aca="false">IF($E775="","",IF($P775="","",IF($P775&gt;=8,"Alta",IF($P775&gt;=5,"Média","Baixa"))))</f>
        <v/>
      </c>
      <c r="O775" s="46" t="str">
        <f aca="false">IF($E775="","",IF(AND(Parâmetros!$C$5&gt;0,$P775&lt;&gt;"",$P775&gt;=Parâmetros!$C$5),"Sim","Não"))</f>
        <v/>
      </c>
      <c r="P775" s="45" t="str">
        <f aca="false">IF($E775="","",IF($G775="","",IF($G775="NOK",$F775,0)))</f>
        <v/>
      </c>
      <c r="Q775" s="46" t="str">
        <f aca="false">IF($E775="","",IF($O775&lt;&gt;"Sim","",COUNTIF($O$3:$O775,"Sim")))</f>
        <v/>
      </c>
      <c r="R775" s="47" t="n">
        <f aca="false">IF($P775="",0,$P775)</f>
        <v>0</v>
      </c>
    </row>
    <row r="776" customFormat="false" ht="18" hidden="false" customHeight="true" outlineLevel="0" collapsed="false">
      <c r="A776" s="39"/>
      <c r="B776" s="41"/>
      <c r="C776" s="40"/>
      <c r="D776" s="40"/>
      <c r="E776" s="40"/>
      <c r="F776" s="42"/>
      <c r="G776" s="39"/>
      <c r="H776" s="40"/>
      <c r="I776" s="40"/>
      <c r="J776" s="40"/>
      <c r="K776" s="41"/>
      <c r="L776" s="39"/>
      <c r="M776" s="48" t="str">
        <f aca="false">IF($E776="","",IFERROR(INDEX(Parâmetros!$C$15:$C$20,MATCH($P776,Parâmetros!$B$15:$B$20,0)),""))</f>
        <v/>
      </c>
      <c r="N776" s="46" t="str">
        <f aca="false">IF($E776="","",IF($P776="","",IF($P776&gt;=8,"Alta",IF($P776&gt;=5,"Média","Baixa"))))</f>
        <v/>
      </c>
      <c r="O776" s="46" t="str">
        <f aca="false">IF($E776="","",IF(AND(Parâmetros!$C$5&gt;0,$P776&lt;&gt;"",$P776&gt;=Parâmetros!$C$5),"Sim","Não"))</f>
        <v/>
      </c>
      <c r="P776" s="45" t="str">
        <f aca="false">IF($E776="","",IF($G776="","",IF($G776="NOK",$F776,0)))</f>
        <v/>
      </c>
      <c r="Q776" s="46" t="str">
        <f aca="false">IF($E776="","",IF($O776&lt;&gt;"Sim","",COUNTIF($O$3:$O776,"Sim")))</f>
        <v/>
      </c>
      <c r="R776" s="47" t="n">
        <f aca="false">IF($P776="",0,$P776)</f>
        <v>0</v>
      </c>
    </row>
    <row r="777" customFormat="false" ht="18" hidden="false" customHeight="true" outlineLevel="0" collapsed="false">
      <c r="A777" s="39"/>
      <c r="B777" s="41"/>
      <c r="C777" s="40"/>
      <c r="D777" s="40"/>
      <c r="E777" s="40"/>
      <c r="F777" s="42"/>
      <c r="G777" s="39"/>
      <c r="H777" s="40"/>
      <c r="I777" s="40"/>
      <c r="J777" s="40"/>
      <c r="K777" s="41"/>
      <c r="L777" s="39"/>
      <c r="M777" s="48" t="str">
        <f aca="false">IF($E777="","",IFERROR(INDEX(Parâmetros!$C$15:$C$20,MATCH($P777,Parâmetros!$B$15:$B$20,0)),""))</f>
        <v/>
      </c>
      <c r="N777" s="46" t="str">
        <f aca="false">IF($E777="","",IF($P777="","",IF($P777&gt;=8,"Alta",IF($P777&gt;=5,"Média","Baixa"))))</f>
        <v/>
      </c>
      <c r="O777" s="46" t="str">
        <f aca="false">IF($E777="","",IF(AND(Parâmetros!$C$5&gt;0,$P777&lt;&gt;"",$P777&gt;=Parâmetros!$C$5),"Sim","Não"))</f>
        <v/>
      </c>
      <c r="P777" s="45" t="str">
        <f aca="false">IF($E777="","",IF($G777="","",IF($G777="NOK",$F777,0)))</f>
        <v/>
      </c>
      <c r="Q777" s="46" t="str">
        <f aca="false">IF($E777="","",IF($O777&lt;&gt;"Sim","",COUNTIF($O$3:$O777,"Sim")))</f>
        <v/>
      </c>
      <c r="R777" s="47" t="n">
        <f aca="false">IF($P777="",0,$P777)</f>
        <v>0</v>
      </c>
    </row>
    <row r="778" customFormat="false" ht="18" hidden="false" customHeight="true" outlineLevel="0" collapsed="false">
      <c r="A778" s="39"/>
      <c r="B778" s="41"/>
      <c r="C778" s="40"/>
      <c r="D778" s="40"/>
      <c r="E778" s="40"/>
      <c r="F778" s="42"/>
      <c r="G778" s="39"/>
      <c r="H778" s="40"/>
      <c r="I778" s="40"/>
      <c r="J778" s="40"/>
      <c r="K778" s="41"/>
      <c r="L778" s="39"/>
      <c r="M778" s="48" t="str">
        <f aca="false">IF($E778="","",IFERROR(INDEX(Parâmetros!$C$15:$C$20,MATCH($P778,Parâmetros!$B$15:$B$20,0)),""))</f>
        <v/>
      </c>
      <c r="N778" s="46" t="str">
        <f aca="false">IF($E778="","",IF($P778="","",IF($P778&gt;=8,"Alta",IF($P778&gt;=5,"Média","Baixa"))))</f>
        <v/>
      </c>
      <c r="O778" s="46" t="str">
        <f aca="false">IF($E778="","",IF(AND(Parâmetros!$C$5&gt;0,$P778&lt;&gt;"",$P778&gt;=Parâmetros!$C$5),"Sim","Não"))</f>
        <v/>
      </c>
      <c r="P778" s="45" t="str">
        <f aca="false">IF($E778="","",IF($G778="","",IF($G778="NOK",$F778,0)))</f>
        <v/>
      </c>
      <c r="Q778" s="46" t="str">
        <f aca="false">IF($E778="","",IF($O778&lt;&gt;"Sim","",COUNTIF($O$3:$O778,"Sim")))</f>
        <v/>
      </c>
      <c r="R778" s="47" t="n">
        <f aca="false">IF($P778="",0,$P778)</f>
        <v>0</v>
      </c>
    </row>
    <row r="779" customFormat="false" ht="18" hidden="false" customHeight="true" outlineLevel="0" collapsed="false">
      <c r="A779" s="39"/>
      <c r="B779" s="41"/>
      <c r="C779" s="40"/>
      <c r="D779" s="40"/>
      <c r="E779" s="40"/>
      <c r="F779" s="42"/>
      <c r="G779" s="39"/>
      <c r="H779" s="40"/>
      <c r="I779" s="40"/>
      <c r="J779" s="40"/>
      <c r="K779" s="41"/>
      <c r="L779" s="39"/>
      <c r="M779" s="48" t="str">
        <f aca="false">IF($E779="","",IFERROR(INDEX(Parâmetros!$C$15:$C$20,MATCH($P779,Parâmetros!$B$15:$B$20,0)),""))</f>
        <v/>
      </c>
      <c r="N779" s="46" t="str">
        <f aca="false">IF($E779="","",IF($P779="","",IF($P779&gt;=8,"Alta",IF($P779&gt;=5,"Média","Baixa"))))</f>
        <v/>
      </c>
      <c r="O779" s="46" t="str">
        <f aca="false">IF($E779="","",IF(AND(Parâmetros!$C$5&gt;0,$P779&lt;&gt;"",$P779&gt;=Parâmetros!$C$5),"Sim","Não"))</f>
        <v/>
      </c>
      <c r="P779" s="45" t="str">
        <f aca="false">IF($E779="","",IF($G779="","",IF($G779="NOK",$F779,0)))</f>
        <v/>
      </c>
      <c r="Q779" s="46" t="str">
        <f aca="false">IF($E779="","",IF($O779&lt;&gt;"Sim","",COUNTIF($O$3:$O779,"Sim")))</f>
        <v/>
      </c>
      <c r="R779" s="47" t="n">
        <f aca="false">IF($P779="",0,$P779)</f>
        <v>0</v>
      </c>
    </row>
    <row r="780" customFormat="false" ht="18" hidden="false" customHeight="true" outlineLevel="0" collapsed="false">
      <c r="A780" s="39"/>
      <c r="B780" s="41"/>
      <c r="C780" s="40"/>
      <c r="D780" s="40"/>
      <c r="E780" s="40"/>
      <c r="F780" s="42"/>
      <c r="G780" s="39"/>
      <c r="H780" s="40"/>
      <c r="I780" s="40"/>
      <c r="J780" s="40"/>
      <c r="K780" s="41"/>
      <c r="L780" s="39"/>
      <c r="M780" s="48" t="str">
        <f aca="false">IF($E780="","",IFERROR(INDEX(Parâmetros!$C$15:$C$20,MATCH($P780,Parâmetros!$B$15:$B$20,0)),""))</f>
        <v/>
      </c>
      <c r="N780" s="46" t="str">
        <f aca="false">IF($E780="","",IF($P780="","",IF($P780&gt;=8,"Alta",IF($P780&gt;=5,"Média","Baixa"))))</f>
        <v/>
      </c>
      <c r="O780" s="46" t="str">
        <f aca="false">IF($E780="","",IF(AND(Parâmetros!$C$5&gt;0,$P780&lt;&gt;"",$P780&gt;=Parâmetros!$C$5),"Sim","Não"))</f>
        <v/>
      </c>
      <c r="P780" s="45" t="str">
        <f aca="false">IF($E780="","",IF($G780="","",IF($G780="NOK",$F780,0)))</f>
        <v/>
      </c>
      <c r="Q780" s="46" t="str">
        <f aca="false">IF($E780="","",IF($O780&lt;&gt;"Sim","",COUNTIF($O$3:$O780,"Sim")))</f>
        <v/>
      </c>
      <c r="R780" s="47" t="n">
        <f aca="false">IF($P780="",0,$P780)</f>
        <v>0</v>
      </c>
    </row>
    <row r="781" customFormat="false" ht="18" hidden="false" customHeight="true" outlineLevel="0" collapsed="false">
      <c r="A781" s="39"/>
      <c r="B781" s="41"/>
      <c r="C781" s="40"/>
      <c r="D781" s="40"/>
      <c r="E781" s="40"/>
      <c r="F781" s="42"/>
      <c r="G781" s="39"/>
      <c r="H781" s="40"/>
      <c r="I781" s="40"/>
      <c r="J781" s="40"/>
      <c r="K781" s="41"/>
      <c r="L781" s="39"/>
      <c r="M781" s="48" t="str">
        <f aca="false">IF($E781="","",IFERROR(INDEX(Parâmetros!$C$15:$C$20,MATCH($P781,Parâmetros!$B$15:$B$20,0)),""))</f>
        <v/>
      </c>
      <c r="N781" s="46" t="str">
        <f aca="false">IF($E781="","",IF($P781="","",IF($P781&gt;=8,"Alta",IF($P781&gt;=5,"Média","Baixa"))))</f>
        <v/>
      </c>
      <c r="O781" s="46" t="str">
        <f aca="false">IF($E781="","",IF(AND(Parâmetros!$C$5&gt;0,$P781&lt;&gt;"",$P781&gt;=Parâmetros!$C$5),"Sim","Não"))</f>
        <v/>
      </c>
      <c r="P781" s="45" t="str">
        <f aca="false">IF($E781="","",IF($G781="","",IF($G781="NOK",$F781,0)))</f>
        <v/>
      </c>
      <c r="Q781" s="46" t="str">
        <f aca="false">IF($E781="","",IF($O781&lt;&gt;"Sim","",COUNTIF($O$3:$O781,"Sim")))</f>
        <v/>
      </c>
      <c r="R781" s="47" t="n">
        <f aca="false">IF($P781="",0,$P781)</f>
        <v>0</v>
      </c>
    </row>
    <row r="782" customFormat="false" ht="18" hidden="false" customHeight="true" outlineLevel="0" collapsed="false">
      <c r="A782" s="39"/>
      <c r="B782" s="41"/>
      <c r="C782" s="40"/>
      <c r="D782" s="40"/>
      <c r="E782" s="40"/>
      <c r="F782" s="42"/>
      <c r="G782" s="39"/>
      <c r="H782" s="40"/>
      <c r="I782" s="40"/>
      <c r="J782" s="40"/>
      <c r="K782" s="41"/>
      <c r="L782" s="39"/>
      <c r="M782" s="48" t="str">
        <f aca="false">IF($E782="","",IFERROR(INDEX(Parâmetros!$C$15:$C$20,MATCH($P782,Parâmetros!$B$15:$B$20,0)),""))</f>
        <v/>
      </c>
      <c r="N782" s="46" t="str">
        <f aca="false">IF($E782="","",IF($P782="","",IF($P782&gt;=8,"Alta",IF($P782&gt;=5,"Média","Baixa"))))</f>
        <v/>
      </c>
      <c r="O782" s="46" t="str">
        <f aca="false">IF($E782="","",IF(AND(Parâmetros!$C$5&gt;0,$P782&lt;&gt;"",$P782&gt;=Parâmetros!$C$5),"Sim","Não"))</f>
        <v/>
      </c>
      <c r="P782" s="45" t="str">
        <f aca="false">IF($E782="","",IF($G782="","",IF($G782="NOK",$F782,0)))</f>
        <v/>
      </c>
      <c r="Q782" s="46" t="str">
        <f aca="false">IF($E782="","",IF($O782&lt;&gt;"Sim","",COUNTIF($O$3:$O782,"Sim")))</f>
        <v/>
      </c>
      <c r="R782" s="47" t="n">
        <f aca="false">IF($P782="",0,$P782)</f>
        <v>0</v>
      </c>
    </row>
    <row r="783" customFormat="false" ht="18" hidden="false" customHeight="true" outlineLevel="0" collapsed="false">
      <c r="A783" s="39"/>
      <c r="B783" s="41"/>
      <c r="C783" s="40"/>
      <c r="D783" s="40"/>
      <c r="E783" s="40"/>
      <c r="F783" s="42"/>
      <c r="G783" s="39"/>
      <c r="H783" s="40"/>
      <c r="I783" s="40"/>
      <c r="J783" s="40"/>
      <c r="K783" s="41"/>
      <c r="L783" s="39"/>
      <c r="M783" s="48" t="str">
        <f aca="false">IF($E783="","",IFERROR(INDEX(Parâmetros!$C$15:$C$20,MATCH($P783,Parâmetros!$B$15:$B$20,0)),""))</f>
        <v/>
      </c>
      <c r="N783" s="46" t="str">
        <f aca="false">IF($E783="","",IF($P783="","",IF($P783&gt;=8,"Alta",IF($P783&gt;=5,"Média","Baixa"))))</f>
        <v/>
      </c>
      <c r="O783" s="46" t="str">
        <f aca="false">IF($E783="","",IF(AND(Parâmetros!$C$5&gt;0,$P783&lt;&gt;"",$P783&gt;=Parâmetros!$C$5),"Sim","Não"))</f>
        <v/>
      </c>
      <c r="P783" s="45" t="str">
        <f aca="false">IF($E783="","",IF($G783="","",IF($G783="NOK",$F783,0)))</f>
        <v/>
      </c>
      <c r="Q783" s="46" t="str">
        <f aca="false">IF($E783="","",IF($O783&lt;&gt;"Sim","",COUNTIF($O$3:$O783,"Sim")))</f>
        <v/>
      </c>
      <c r="R783" s="47" t="n">
        <f aca="false">IF($P783="",0,$P783)</f>
        <v>0</v>
      </c>
    </row>
    <row r="784" customFormat="false" ht="18" hidden="false" customHeight="true" outlineLevel="0" collapsed="false">
      <c r="A784" s="39"/>
      <c r="B784" s="41"/>
      <c r="C784" s="40"/>
      <c r="D784" s="40"/>
      <c r="E784" s="40"/>
      <c r="F784" s="42"/>
      <c r="G784" s="39"/>
      <c r="H784" s="40"/>
      <c r="I784" s="40"/>
      <c r="J784" s="40"/>
      <c r="K784" s="41"/>
      <c r="L784" s="39"/>
      <c r="M784" s="48" t="str">
        <f aca="false">IF($E784="","",IFERROR(INDEX(Parâmetros!$C$15:$C$20,MATCH($P784,Parâmetros!$B$15:$B$20,0)),""))</f>
        <v/>
      </c>
      <c r="N784" s="46" t="str">
        <f aca="false">IF($E784="","",IF($P784="","",IF($P784&gt;=8,"Alta",IF($P784&gt;=5,"Média","Baixa"))))</f>
        <v/>
      </c>
      <c r="O784" s="46" t="str">
        <f aca="false">IF($E784="","",IF(AND(Parâmetros!$C$5&gt;0,$P784&lt;&gt;"",$P784&gt;=Parâmetros!$C$5),"Sim","Não"))</f>
        <v/>
      </c>
      <c r="P784" s="45" t="str">
        <f aca="false">IF($E784="","",IF($G784="","",IF($G784="NOK",$F784,0)))</f>
        <v/>
      </c>
      <c r="Q784" s="46" t="str">
        <f aca="false">IF($E784="","",IF($O784&lt;&gt;"Sim","",COUNTIF($O$3:$O784,"Sim")))</f>
        <v/>
      </c>
      <c r="R784" s="47" t="n">
        <f aca="false">IF($P784="",0,$P784)</f>
        <v>0</v>
      </c>
    </row>
    <row r="785" customFormat="false" ht="18" hidden="false" customHeight="true" outlineLevel="0" collapsed="false">
      <c r="A785" s="39"/>
      <c r="B785" s="41"/>
      <c r="C785" s="40"/>
      <c r="D785" s="40"/>
      <c r="E785" s="40"/>
      <c r="F785" s="42"/>
      <c r="G785" s="39"/>
      <c r="H785" s="40"/>
      <c r="I785" s="40"/>
      <c r="J785" s="40"/>
      <c r="K785" s="41"/>
      <c r="L785" s="39"/>
      <c r="M785" s="48" t="str">
        <f aca="false">IF($E785="","",IFERROR(INDEX(Parâmetros!$C$15:$C$20,MATCH($P785,Parâmetros!$B$15:$B$20,0)),""))</f>
        <v/>
      </c>
      <c r="N785" s="46" t="str">
        <f aca="false">IF($E785="","",IF($P785="","",IF($P785&gt;=8,"Alta",IF($P785&gt;=5,"Média","Baixa"))))</f>
        <v/>
      </c>
      <c r="O785" s="46" t="str">
        <f aca="false">IF($E785="","",IF(AND(Parâmetros!$C$5&gt;0,$P785&lt;&gt;"",$P785&gt;=Parâmetros!$C$5),"Sim","Não"))</f>
        <v/>
      </c>
      <c r="P785" s="45" t="str">
        <f aca="false">IF($E785="","",IF($G785="","",IF($G785="NOK",$F785,0)))</f>
        <v/>
      </c>
      <c r="Q785" s="46" t="str">
        <f aca="false">IF($E785="","",IF($O785&lt;&gt;"Sim","",COUNTIF($O$3:$O785,"Sim")))</f>
        <v/>
      </c>
      <c r="R785" s="47" t="n">
        <f aca="false">IF($P785="",0,$P785)</f>
        <v>0</v>
      </c>
    </row>
    <row r="786" customFormat="false" ht="18" hidden="false" customHeight="true" outlineLevel="0" collapsed="false">
      <c r="A786" s="39"/>
      <c r="B786" s="41"/>
      <c r="C786" s="40"/>
      <c r="D786" s="40"/>
      <c r="E786" s="40"/>
      <c r="F786" s="42"/>
      <c r="G786" s="39"/>
      <c r="H786" s="40"/>
      <c r="I786" s="40"/>
      <c r="J786" s="40"/>
      <c r="K786" s="41"/>
      <c r="L786" s="39"/>
      <c r="M786" s="48" t="str">
        <f aca="false">IF($E786="","",IFERROR(INDEX(Parâmetros!$C$15:$C$20,MATCH($P786,Parâmetros!$B$15:$B$20,0)),""))</f>
        <v/>
      </c>
      <c r="N786" s="46" t="str">
        <f aca="false">IF($E786="","",IF($P786="","",IF($P786&gt;=8,"Alta",IF($P786&gt;=5,"Média","Baixa"))))</f>
        <v/>
      </c>
      <c r="O786" s="46" t="str">
        <f aca="false">IF($E786="","",IF(AND(Parâmetros!$C$5&gt;0,$P786&lt;&gt;"",$P786&gt;=Parâmetros!$C$5),"Sim","Não"))</f>
        <v/>
      </c>
      <c r="P786" s="45" t="str">
        <f aca="false">IF($E786="","",IF($G786="","",IF($G786="NOK",$F786,0)))</f>
        <v/>
      </c>
      <c r="Q786" s="46" t="str">
        <f aca="false">IF($E786="","",IF($O786&lt;&gt;"Sim","",COUNTIF($O$3:$O786,"Sim")))</f>
        <v/>
      </c>
      <c r="R786" s="47" t="n">
        <f aca="false">IF($P786="",0,$P786)</f>
        <v>0</v>
      </c>
    </row>
    <row r="787" customFormat="false" ht="18" hidden="false" customHeight="true" outlineLevel="0" collapsed="false">
      <c r="A787" s="39"/>
      <c r="B787" s="41"/>
      <c r="C787" s="40"/>
      <c r="D787" s="40"/>
      <c r="E787" s="40"/>
      <c r="F787" s="42"/>
      <c r="G787" s="39"/>
      <c r="H787" s="40"/>
      <c r="I787" s="40"/>
      <c r="J787" s="40"/>
      <c r="K787" s="41"/>
      <c r="L787" s="39"/>
      <c r="M787" s="48" t="str">
        <f aca="false">IF($E787="","",IFERROR(INDEX(Parâmetros!$C$15:$C$20,MATCH($P787,Parâmetros!$B$15:$B$20,0)),""))</f>
        <v/>
      </c>
      <c r="N787" s="46" t="str">
        <f aca="false">IF($E787="","",IF($P787="","",IF($P787&gt;=8,"Alta",IF($P787&gt;=5,"Média","Baixa"))))</f>
        <v/>
      </c>
      <c r="O787" s="46" t="str">
        <f aca="false">IF($E787="","",IF(AND(Parâmetros!$C$5&gt;0,$P787&lt;&gt;"",$P787&gt;=Parâmetros!$C$5),"Sim","Não"))</f>
        <v/>
      </c>
      <c r="P787" s="45" t="str">
        <f aca="false">IF($E787="","",IF($G787="","",IF($G787="NOK",$F787,0)))</f>
        <v/>
      </c>
      <c r="Q787" s="46" t="str">
        <f aca="false">IF($E787="","",IF($O787&lt;&gt;"Sim","",COUNTIF($O$3:$O787,"Sim")))</f>
        <v/>
      </c>
      <c r="R787" s="47" t="n">
        <f aca="false">IF($P787="",0,$P787)</f>
        <v>0</v>
      </c>
    </row>
    <row r="788" customFormat="false" ht="18" hidden="false" customHeight="true" outlineLevel="0" collapsed="false">
      <c r="A788" s="39"/>
      <c r="B788" s="41"/>
      <c r="C788" s="40"/>
      <c r="D788" s="40"/>
      <c r="E788" s="40"/>
      <c r="F788" s="42"/>
      <c r="G788" s="39"/>
      <c r="H788" s="40"/>
      <c r="I788" s="40"/>
      <c r="J788" s="40"/>
      <c r="K788" s="41"/>
      <c r="L788" s="39"/>
      <c r="M788" s="48" t="str">
        <f aca="false">IF($E788="","",IFERROR(INDEX(Parâmetros!$C$15:$C$20,MATCH($P788,Parâmetros!$B$15:$B$20,0)),""))</f>
        <v/>
      </c>
      <c r="N788" s="46" t="str">
        <f aca="false">IF($E788="","",IF($P788="","",IF($P788&gt;=8,"Alta",IF($P788&gt;=5,"Média","Baixa"))))</f>
        <v/>
      </c>
      <c r="O788" s="46" t="str">
        <f aca="false">IF($E788="","",IF(AND(Parâmetros!$C$5&gt;0,$P788&lt;&gt;"",$P788&gt;=Parâmetros!$C$5),"Sim","Não"))</f>
        <v/>
      </c>
      <c r="P788" s="45" t="str">
        <f aca="false">IF($E788="","",IF($G788="","",IF($G788="NOK",$F788,0)))</f>
        <v/>
      </c>
      <c r="Q788" s="46" t="str">
        <f aca="false">IF($E788="","",IF($O788&lt;&gt;"Sim","",COUNTIF($O$3:$O788,"Sim")))</f>
        <v/>
      </c>
      <c r="R788" s="47" t="n">
        <f aca="false">IF($P788="",0,$P788)</f>
        <v>0</v>
      </c>
    </row>
    <row r="789" customFormat="false" ht="18" hidden="false" customHeight="true" outlineLevel="0" collapsed="false">
      <c r="A789" s="39"/>
      <c r="B789" s="41"/>
      <c r="C789" s="40"/>
      <c r="D789" s="40"/>
      <c r="E789" s="40"/>
      <c r="F789" s="42"/>
      <c r="G789" s="39"/>
      <c r="H789" s="40"/>
      <c r="I789" s="40"/>
      <c r="J789" s="40"/>
      <c r="K789" s="41"/>
      <c r="L789" s="39"/>
      <c r="M789" s="48" t="str">
        <f aca="false">IF($E789="","",IFERROR(INDEX(Parâmetros!$C$15:$C$20,MATCH($P789,Parâmetros!$B$15:$B$20,0)),""))</f>
        <v/>
      </c>
      <c r="N789" s="46" t="str">
        <f aca="false">IF($E789="","",IF($P789="","",IF($P789&gt;=8,"Alta",IF($P789&gt;=5,"Média","Baixa"))))</f>
        <v/>
      </c>
      <c r="O789" s="46" t="str">
        <f aca="false">IF($E789="","",IF(AND(Parâmetros!$C$5&gt;0,$P789&lt;&gt;"",$P789&gt;=Parâmetros!$C$5),"Sim","Não"))</f>
        <v/>
      </c>
      <c r="P789" s="45" t="str">
        <f aca="false">IF($E789="","",IF($G789="","",IF($G789="NOK",$F789,0)))</f>
        <v/>
      </c>
      <c r="Q789" s="46" t="str">
        <f aca="false">IF($E789="","",IF($O789&lt;&gt;"Sim","",COUNTIF($O$3:$O789,"Sim")))</f>
        <v/>
      </c>
      <c r="R789" s="47" t="n">
        <f aca="false">IF($P789="",0,$P789)</f>
        <v>0</v>
      </c>
    </row>
    <row r="790" customFormat="false" ht="18" hidden="false" customHeight="true" outlineLevel="0" collapsed="false">
      <c r="A790" s="39"/>
      <c r="B790" s="41"/>
      <c r="C790" s="40"/>
      <c r="D790" s="40"/>
      <c r="E790" s="40"/>
      <c r="F790" s="42"/>
      <c r="G790" s="39"/>
      <c r="H790" s="40"/>
      <c r="I790" s="40"/>
      <c r="J790" s="40"/>
      <c r="K790" s="41"/>
      <c r="L790" s="39"/>
      <c r="M790" s="48" t="str">
        <f aca="false">IF($E790="","",IFERROR(INDEX(Parâmetros!$C$15:$C$20,MATCH($P790,Parâmetros!$B$15:$B$20,0)),""))</f>
        <v/>
      </c>
      <c r="N790" s="46" t="str">
        <f aca="false">IF($E790="","",IF($P790="","",IF($P790&gt;=8,"Alta",IF($P790&gt;=5,"Média","Baixa"))))</f>
        <v/>
      </c>
      <c r="O790" s="46" t="str">
        <f aca="false">IF($E790="","",IF(AND(Parâmetros!$C$5&gt;0,$P790&lt;&gt;"",$P790&gt;=Parâmetros!$C$5),"Sim","Não"))</f>
        <v/>
      </c>
      <c r="P790" s="45" t="str">
        <f aca="false">IF($E790="","",IF($G790="","",IF($G790="NOK",$F790,0)))</f>
        <v/>
      </c>
      <c r="Q790" s="46" t="str">
        <f aca="false">IF($E790="","",IF($O790&lt;&gt;"Sim","",COUNTIF($O$3:$O790,"Sim")))</f>
        <v/>
      </c>
      <c r="R790" s="47" t="n">
        <f aca="false">IF($P790="",0,$P790)</f>
        <v>0</v>
      </c>
    </row>
    <row r="791" customFormat="false" ht="18" hidden="false" customHeight="true" outlineLevel="0" collapsed="false">
      <c r="A791" s="39"/>
      <c r="B791" s="41"/>
      <c r="C791" s="40"/>
      <c r="D791" s="40"/>
      <c r="E791" s="40"/>
      <c r="F791" s="42"/>
      <c r="G791" s="39"/>
      <c r="H791" s="40"/>
      <c r="I791" s="40"/>
      <c r="J791" s="40"/>
      <c r="K791" s="41"/>
      <c r="L791" s="39"/>
      <c r="M791" s="48" t="str">
        <f aca="false">IF($E791="","",IFERROR(INDEX(Parâmetros!$C$15:$C$20,MATCH($P791,Parâmetros!$B$15:$B$20,0)),""))</f>
        <v/>
      </c>
      <c r="N791" s="46" t="str">
        <f aca="false">IF($E791="","",IF($P791="","",IF($P791&gt;=8,"Alta",IF($P791&gt;=5,"Média","Baixa"))))</f>
        <v/>
      </c>
      <c r="O791" s="46" t="str">
        <f aca="false">IF($E791="","",IF(AND(Parâmetros!$C$5&gt;0,$P791&lt;&gt;"",$P791&gt;=Parâmetros!$C$5),"Sim","Não"))</f>
        <v/>
      </c>
      <c r="P791" s="45" t="str">
        <f aca="false">IF($E791="","",IF($G791="","",IF($G791="NOK",$F791,0)))</f>
        <v/>
      </c>
      <c r="Q791" s="46" t="str">
        <f aca="false">IF($E791="","",IF($O791&lt;&gt;"Sim","",COUNTIF($O$3:$O791,"Sim")))</f>
        <v/>
      </c>
      <c r="R791" s="47" t="n">
        <f aca="false">IF($P791="",0,$P791)</f>
        <v>0</v>
      </c>
    </row>
    <row r="792" customFormat="false" ht="18" hidden="false" customHeight="true" outlineLevel="0" collapsed="false">
      <c r="A792" s="39"/>
      <c r="B792" s="41"/>
      <c r="C792" s="40"/>
      <c r="D792" s="40"/>
      <c r="E792" s="40"/>
      <c r="F792" s="42"/>
      <c r="G792" s="39"/>
      <c r="H792" s="40"/>
      <c r="I792" s="40"/>
      <c r="J792" s="40"/>
      <c r="K792" s="41"/>
      <c r="L792" s="39"/>
      <c r="M792" s="48" t="str">
        <f aca="false">IF($E792="","",IFERROR(INDEX(Parâmetros!$C$15:$C$20,MATCH($P792,Parâmetros!$B$15:$B$20,0)),""))</f>
        <v/>
      </c>
      <c r="N792" s="46" t="str">
        <f aca="false">IF($E792="","",IF($P792="","",IF($P792&gt;=8,"Alta",IF($P792&gt;=5,"Média","Baixa"))))</f>
        <v/>
      </c>
      <c r="O792" s="46" t="str">
        <f aca="false">IF($E792="","",IF(AND(Parâmetros!$C$5&gt;0,$P792&lt;&gt;"",$P792&gt;=Parâmetros!$C$5),"Sim","Não"))</f>
        <v/>
      </c>
      <c r="P792" s="45" t="str">
        <f aca="false">IF($E792="","",IF($G792="","",IF($G792="NOK",$F792,0)))</f>
        <v/>
      </c>
      <c r="Q792" s="46" t="str">
        <f aca="false">IF($E792="","",IF($O792&lt;&gt;"Sim","",COUNTIF($O$3:$O792,"Sim")))</f>
        <v/>
      </c>
      <c r="R792" s="47" t="n">
        <f aca="false">IF($P792="",0,$P792)</f>
        <v>0</v>
      </c>
    </row>
    <row r="793" customFormat="false" ht="18" hidden="false" customHeight="true" outlineLevel="0" collapsed="false">
      <c r="A793" s="39"/>
      <c r="B793" s="41"/>
      <c r="C793" s="40"/>
      <c r="D793" s="40"/>
      <c r="E793" s="40"/>
      <c r="F793" s="42"/>
      <c r="G793" s="39"/>
      <c r="H793" s="40"/>
      <c r="I793" s="40"/>
      <c r="J793" s="40"/>
      <c r="K793" s="41"/>
      <c r="L793" s="39"/>
      <c r="M793" s="48" t="str">
        <f aca="false">IF($E793="","",IFERROR(INDEX(Parâmetros!$C$15:$C$20,MATCH($P793,Parâmetros!$B$15:$B$20,0)),""))</f>
        <v/>
      </c>
      <c r="N793" s="46" t="str">
        <f aca="false">IF($E793="","",IF($P793="","",IF($P793&gt;=8,"Alta",IF($P793&gt;=5,"Média","Baixa"))))</f>
        <v/>
      </c>
      <c r="O793" s="46" t="str">
        <f aca="false">IF($E793="","",IF(AND(Parâmetros!$C$5&gt;0,$P793&lt;&gt;"",$P793&gt;=Parâmetros!$C$5),"Sim","Não"))</f>
        <v/>
      </c>
      <c r="P793" s="45" t="str">
        <f aca="false">IF($E793="","",IF($G793="","",IF($G793="NOK",$F793,0)))</f>
        <v/>
      </c>
      <c r="Q793" s="46" t="str">
        <f aca="false">IF($E793="","",IF($O793&lt;&gt;"Sim","",COUNTIF($O$3:$O793,"Sim")))</f>
        <v/>
      </c>
      <c r="R793" s="47" t="n">
        <f aca="false">IF($P793="",0,$P793)</f>
        <v>0</v>
      </c>
    </row>
    <row r="794" customFormat="false" ht="18" hidden="false" customHeight="true" outlineLevel="0" collapsed="false">
      <c r="A794" s="39"/>
      <c r="B794" s="41"/>
      <c r="C794" s="40"/>
      <c r="D794" s="40"/>
      <c r="E794" s="40"/>
      <c r="F794" s="42"/>
      <c r="G794" s="39"/>
      <c r="H794" s="40"/>
      <c r="I794" s="40"/>
      <c r="J794" s="40"/>
      <c r="K794" s="41"/>
      <c r="L794" s="39"/>
      <c r="M794" s="48" t="str">
        <f aca="false">IF($E794="","",IFERROR(INDEX(Parâmetros!$C$15:$C$20,MATCH($P794,Parâmetros!$B$15:$B$20,0)),""))</f>
        <v/>
      </c>
      <c r="N794" s="46" t="str">
        <f aca="false">IF($E794="","",IF($P794="","",IF($P794&gt;=8,"Alta",IF($P794&gt;=5,"Média","Baixa"))))</f>
        <v/>
      </c>
      <c r="O794" s="46" t="str">
        <f aca="false">IF($E794="","",IF(AND(Parâmetros!$C$5&gt;0,$P794&lt;&gt;"",$P794&gt;=Parâmetros!$C$5),"Sim","Não"))</f>
        <v/>
      </c>
      <c r="P794" s="45" t="str">
        <f aca="false">IF($E794="","",IF($G794="","",IF($G794="NOK",$F794,0)))</f>
        <v/>
      </c>
      <c r="Q794" s="46" t="str">
        <f aca="false">IF($E794="","",IF($O794&lt;&gt;"Sim","",COUNTIF($O$3:$O794,"Sim")))</f>
        <v/>
      </c>
      <c r="R794" s="47" t="n">
        <f aca="false">IF($P794="",0,$P794)</f>
        <v>0</v>
      </c>
    </row>
    <row r="795" customFormat="false" ht="18" hidden="false" customHeight="true" outlineLevel="0" collapsed="false">
      <c r="A795" s="39"/>
      <c r="B795" s="41"/>
      <c r="C795" s="40"/>
      <c r="D795" s="40"/>
      <c r="E795" s="40"/>
      <c r="F795" s="42"/>
      <c r="G795" s="39"/>
      <c r="H795" s="40"/>
      <c r="I795" s="40"/>
      <c r="J795" s="40"/>
      <c r="K795" s="41"/>
      <c r="L795" s="39"/>
      <c r="M795" s="48" t="str">
        <f aca="false">IF($E795="","",IFERROR(INDEX(Parâmetros!$C$15:$C$20,MATCH($P795,Parâmetros!$B$15:$B$20,0)),""))</f>
        <v/>
      </c>
      <c r="N795" s="46" t="str">
        <f aca="false">IF($E795="","",IF($P795="","",IF($P795&gt;=8,"Alta",IF($P795&gt;=5,"Média","Baixa"))))</f>
        <v/>
      </c>
      <c r="O795" s="46" t="str">
        <f aca="false">IF($E795="","",IF(AND(Parâmetros!$C$5&gt;0,$P795&lt;&gt;"",$P795&gt;=Parâmetros!$C$5),"Sim","Não"))</f>
        <v/>
      </c>
      <c r="P795" s="45" t="str">
        <f aca="false">IF($E795="","",IF($G795="","",IF($G795="NOK",$F795,0)))</f>
        <v/>
      </c>
      <c r="Q795" s="46" t="str">
        <f aca="false">IF($E795="","",IF($O795&lt;&gt;"Sim","",COUNTIF($O$3:$O795,"Sim")))</f>
        <v/>
      </c>
      <c r="R795" s="47" t="n">
        <f aca="false">IF($P795="",0,$P795)</f>
        <v>0</v>
      </c>
    </row>
    <row r="796" customFormat="false" ht="18" hidden="false" customHeight="true" outlineLevel="0" collapsed="false">
      <c r="A796" s="39"/>
      <c r="B796" s="41"/>
      <c r="C796" s="40"/>
      <c r="D796" s="40"/>
      <c r="E796" s="40"/>
      <c r="F796" s="42"/>
      <c r="G796" s="39"/>
      <c r="H796" s="40"/>
      <c r="I796" s="40"/>
      <c r="J796" s="40"/>
      <c r="K796" s="41"/>
      <c r="L796" s="39"/>
      <c r="M796" s="48" t="str">
        <f aca="false">IF($E796="","",IFERROR(INDEX(Parâmetros!$C$15:$C$20,MATCH($P796,Parâmetros!$B$15:$B$20,0)),""))</f>
        <v/>
      </c>
      <c r="N796" s="46" t="str">
        <f aca="false">IF($E796="","",IF($P796="","",IF($P796&gt;=8,"Alta",IF($P796&gt;=5,"Média","Baixa"))))</f>
        <v/>
      </c>
      <c r="O796" s="46" t="str">
        <f aca="false">IF($E796="","",IF(AND(Parâmetros!$C$5&gt;0,$P796&lt;&gt;"",$P796&gt;=Parâmetros!$C$5),"Sim","Não"))</f>
        <v/>
      </c>
      <c r="P796" s="45" t="str">
        <f aca="false">IF($E796="","",IF($G796="","",IF($G796="NOK",$F796,0)))</f>
        <v/>
      </c>
      <c r="Q796" s="46" t="str">
        <f aca="false">IF($E796="","",IF($O796&lt;&gt;"Sim","",COUNTIF($O$3:$O796,"Sim")))</f>
        <v/>
      </c>
      <c r="R796" s="47" t="n">
        <f aca="false">IF($P796="",0,$P796)</f>
        <v>0</v>
      </c>
    </row>
    <row r="797" customFormat="false" ht="18" hidden="false" customHeight="true" outlineLevel="0" collapsed="false">
      <c r="A797" s="39"/>
      <c r="B797" s="41"/>
      <c r="C797" s="40"/>
      <c r="D797" s="40"/>
      <c r="E797" s="40"/>
      <c r="F797" s="42"/>
      <c r="G797" s="39"/>
      <c r="H797" s="40"/>
      <c r="I797" s="40"/>
      <c r="J797" s="40"/>
      <c r="K797" s="41"/>
      <c r="L797" s="39"/>
      <c r="M797" s="48" t="str">
        <f aca="false">IF($E797="","",IFERROR(INDEX(Parâmetros!$C$15:$C$20,MATCH($P797,Parâmetros!$B$15:$B$20,0)),""))</f>
        <v/>
      </c>
      <c r="N797" s="46" t="str">
        <f aca="false">IF($E797="","",IF($P797="","",IF($P797&gt;=8,"Alta",IF($P797&gt;=5,"Média","Baixa"))))</f>
        <v/>
      </c>
      <c r="O797" s="46" t="str">
        <f aca="false">IF($E797="","",IF(AND(Parâmetros!$C$5&gt;0,$P797&lt;&gt;"",$P797&gt;=Parâmetros!$C$5),"Sim","Não"))</f>
        <v/>
      </c>
      <c r="P797" s="45" t="str">
        <f aca="false">IF($E797="","",IF($G797="","",IF($G797="NOK",$F797,0)))</f>
        <v/>
      </c>
      <c r="Q797" s="46" t="str">
        <f aca="false">IF($E797="","",IF($O797&lt;&gt;"Sim","",COUNTIF($O$3:$O797,"Sim")))</f>
        <v/>
      </c>
      <c r="R797" s="47" t="n">
        <f aca="false">IF($P797="",0,$P797)</f>
        <v>0</v>
      </c>
    </row>
    <row r="798" customFormat="false" ht="18" hidden="false" customHeight="true" outlineLevel="0" collapsed="false">
      <c r="A798" s="39"/>
      <c r="B798" s="41"/>
      <c r="C798" s="40"/>
      <c r="D798" s="40"/>
      <c r="E798" s="40"/>
      <c r="F798" s="42"/>
      <c r="G798" s="39"/>
      <c r="H798" s="40"/>
      <c r="I798" s="40"/>
      <c r="J798" s="40"/>
      <c r="K798" s="41"/>
      <c r="L798" s="39"/>
      <c r="M798" s="48" t="str">
        <f aca="false">IF($E798="","",IFERROR(INDEX(Parâmetros!$C$15:$C$20,MATCH($P798,Parâmetros!$B$15:$B$20,0)),""))</f>
        <v/>
      </c>
      <c r="N798" s="46" t="str">
        <f aca="false">IF($E798="","",IF($P798="","",IF($P798&gt;=8,"Alta",IF($P798&gt;=5,"Média","Baixa"))))</f>
        <v/>
      </c>
      <c r="O798" s="46" t="str">
        <f aca="false">IF($E798="","",IF(AND(Parâmetros!$C$5&gt;0,$P798&lt;&gt;"",$P798&gt;=Parâmetros!$C$5),"Sim","Não"))</f>
        <v/>
      </c>
      <c r="P798" s="45" t="str">
        <f aca="false">IF($E798="","",IF($G798="","",IF($G798="NOK",$F798,0)))</f>
        <v/>
      </c>
      <c r="Q798" s="46" t="str">
        <f aca="false">IF($E798="","",IF($O798&lt;&gt;"Sim","",COUNTIF($O$3:$O798,"Sim")))</f>
        <v/>
      </c>
      <c r="R798" s="47" t="n">
        <f aca="false">IF($P798="",0,$P798)</f>
        <v>0</v>
      </c>
    </row>
    <row r="799" customFormat="false" ht="18" hidden="false" customHeight="true" outlineLevel="0" collapsed="false">
      <c r="A799" s="39"/>
      <c r="B799" s="41"/>
      <c r="C799" s="40"/>
      <c r="D799" s="40"/>
      <c r="E799" s="40"/>
      <c r="F799" s="42"/>
      <c r="G799" s="39"/>
      <c r="H799" s="40"/>
      <c r="I799" s="40"/>
      <c r="J799" s="40"/>
      <c r="K799" s="41"/>
      <c r="L799" s="39"/>
      <c r="M799" s="48" t="str">
        <f aca="false">IF($E799="","",IFERROR(INDEX(Parâmetros!$C$15:$C$20,MATCH($P799,Parâmetros!$B$15:$B$20,0)),""))</f>
        <v/>
      </c>
      <c r="N799" s="46" t="str">
        <f aca="false">IF($E799="","",IF($P799="","",IF($P799&gt;=8,"Alta",IF($P799&gt;=5,"Média","Baixa"))))</f>
        <v/>
      </c>
      <c r="O799" s="46" t="str">
        <f aca="false">IF($E799="","",IF(AND(Parâmetros!$C$5&gt;0,$P799&lt;&gt;"",$P799&gt;=Parâmetros!$C$5),"Sim","Não"))</f>
        <v/>
      </c>
      <c r="P799" s="45" t="str">
        <f aca="false">IF($E799="","",IF($G799="","",IF($G799="NOK",$F799,0)))</f>
        <v/>
      </c>
      <c r="Q799" s="46" t="str">
        <f aca="false">IF($E799="","",IF($O799&lt;&gt;"Sim","",COUNTIF($O$3:$O799,"Sim")))</f>
        <v/>
      </c>
      <c r="R799" s="47" t="n">
        <f aca="false">IF($P799="",0,$P799)</f>
        <v>0</v>
      </c>
    </row>
    <row r="800" customFormat="false" ht="18" hidden="false" customHeight="true" outlineLevel="0" collapsed="false">
      <c r="A800" s="39"/>
      <c r="B800" s="41"/>
      <c r="C800" s="40"/>
      <c r="D800" s="40"/>
      <c r="E800" s="40"/>
      <c r="F800" s="42"/>
      <c r="G800" s="39"/>
      <c r="H800" s="40"/>
      <c r="I800" s="40"/>
      <c r="J800" s="40"/>
      <c r="K800" s="41"/>
      <c r="L800" s="39"/>
      <c r="M800" s="48" t="str">
        <f aca="false">IF($E800="","",IFERROR(INDEX(Parâmetros!$C$15:$C$20,MATCH($P800,Parâmetros!$B$15:$B$20,0)),""))</f>
        <v/>
      </c>
      <c r="N800" s="46" t="str">
        <f aca="false">IF($E800="","",IF($P800="","",IF($P800&gt;=8,"Alta",IF($P800&gt;=5,"Média","Baixa"))))</f>
        <v/>
      </c>
      <c r="O800" s="46" t="str">
        <f aca="false">IF($E800="","",IF(AND(Parâmetros!$C$5&gt;0,$P800&lt;&gt;"",$P800&gt;=Parâmetros!$C$5),"Sim","Não"))</f>
        <v/>
      </c>
      <c r="P800" s="45" t="str">
        <f aca="false">IF($E800="","",IF($G800="","",IF($G800="NOK",$F800,0)))</f>
        <v/>
      </c>
      <c r="Q800" s="46" t="str">
        <f aca="false">IF($E800="","",IF($O800&lt;&gt;"Sim","",COUNTIF($O$3:$O800,"Sim")))</f>
        <v/>
      </c>
      <c r="R800" s="47" t="n">
        <f aca="false">IF($P800="",0,$P800)</f>
        <v>0</v>
      </c>
    </row>
    <row r="801" customFormat="false" ht="18" hidden="false" customHeight="true" outlineLevel="0" collapsed="false">
      <c r="A801" s="39"/>
      <c r="B801" s="41"/>
      <c r="C801" s="40"/>
      <c r="D801" s="40"/>
      <c r="E801" s="40"/>
      <c r="F801" s="42"/>
      <c r="G801" s="39"/>
      <c r="H801" s="40"/>
      <c r="I801" s="40"/>
      <c r="J801" s="40"/>
      <c r="K801" s="41"/>
      <c r="L801" s="39"/>
      <c r="M801" s="48" t="str">
        <f aca="false">IF($E801="","",IFERROR(INDEX(Parâmetros!$C$15:$C$20,MATCH($P801,Parâmetros!$B$15:$B$20,0)),""))</f>
        <v/>
      </c>
      <c r="N801" s="46" t="str">
        <f aca="false">IF($E801="","",IF($P801="","",IF($P801&gt;=8,"Alta",IF($P801&gt;=5,"Média","Baixa"))))</f>
        <v/>
      </c>
      <c r="O801" s="46" t="str">
        <f aca="false">IF($E801="","",IF(AND(Parâmetros!$C$5&gt;0,$P801&lt;&gt;"",$P801&gt;=Parâmetros!$C$5),"Sim","Não"))</f>
        <v/>
      </c>
      <c r="P801" s="45" t="str">
        <f aca="false">IF($E801="","",IF($G801="","",IF($G801="NOK",$F801,0)))</f>
        <v/>
      </c>
      <c r="Q801" s="46" t="str">
        <f aca="false">IF($E801="","",IF($O801&lt;&gt;"Sim","",COUNTIF($O$3:$O801,"Sim")))</f>
        <v/>
      </c>
      <c r="R801" s="47" t="n">
        <f aca="false">IF($P801="",0,$P801)</f>
        <v>0</v>
      </c>
    </row>
    <row r="802" customFormat="false" ht="18" hidden="false" customHeight="true" outlineLevel="0" collapsed="false">
      <c r="A802" s="39"/>
      <c r="B802" s="41"/>
      <c r="C802" s="40"/>
      <c r="D802" s="40"/>
      <c r="E802" s="40"/>
      <c r="F802" s="42"/>
      <c r="G802" s="39"/>
      <c r="H802" s="40"/>
      <c r="I802" s="40"/>
      <c r="J802" s="40"/>
      <c r="K802" s="41"/>
      <c r="L802" s="39"/>
      <c r="M802" s="48" t="str">
        <f aca="false">IF($E802="","",IFERROR(INDEX(Parâmetros!$C$15:$C$20,MATCH($P802,Parâmetros!$B$15:$B$20,0)),""))</f>
        <v/>
      </c>
      <c r="N802" s="46" t="str">
        <f aca="false">IF($E802="","",IF($P802="","",IF($P802&gt;=8,"Alta",IF($P802&gt;=5,"Média","Baixa"))))</f>
        <v/>
      </c>
      <c r="O802" s="46" t="str">
        <f aca="false">IF($E802="","",IF(AND(Parâmetros!$C$5&gt;0,$P802&lt;&gt;"",$P802&gt;=Parâmetros!$C$5),"Sim","Não"))</f>
        <v/>
      </c>
      <c r="P802" s="45" t="str">
        <f aca="false">IF($E802="","",IF($G802="","",IF($G802="NOK",$F802,0)))</f>
        <v/>
      </c>
      <c r="Q802" s="46" t="str">
        <f aca="false">IF($E802="","",IF($O802&lt;&gt;"Sim","",COUNTIF($O$3:$O802,"Sim")))</f>
        <v/>
      </c>
      <c r="R802" s="47" t="n">
        <f aca="false">IF($P802="",0,$P802)</f>
        <v>0</v>
      </c>
    </row>
    <row r="803" customFormat="false" ht="18" hidden="false" customHeight="true" outlineLevel="0" collapsed="false">
      <c r="A803" s="39"/>
      <c r="B803" s="41"/>
      <c r="C803" s="40"/>
      <c r="D803" s="40"/>
      <c r="E803" s="40"/>
      <c r="F803" s="42"/>
      <c r="G803" s="39"/>
      <c r="H803" s="40"/>
      <c r="I803" s="40"/>
      <c r="J803" s="40"/>
      <c r="K803" s="41"/>
      <c r="L803" s="39"/>
      <c r="M803" s="48" t="str">
        <f aca="false">IF($E803="","",IFERROR(INDEX(Parâmetros!$C$15:$C$20,MATCH($P803,Parâmetros!$B$15:$B$20,0)),""))</f>
        <v/>
      </c>
      <c r="N803" s="46" t="str">
        <f aca="false">IF($E803="","",IF($P803="","",IF($P803&gt;=8,"Alta",IF($P803&gt;=5,"Média","Baixa"))))</f>
        <v/>
      </c>
      <c r="O803" s="46" t="str">
        <f aca="false">IF($E803="","",IF(AND(Parâmetros!$C$5&gt;0,$P803&lt;&gt;"",$P803&gt;=Parâmetros!$C$5),"Sim","Não"))</f>
        <v/>
      </c>
      <c r="P803" s="45" t="str">
        <f aca="false">IF($E803="","",IF($G803="","",IF($G803="NOK",$F803,0)))</f>
        <v/>
      </c>
      <c r="Q803" s="46" t="str">
        <f aca="false">IF($E803="","",IF($O803&lt;&gt;"Sim","",COUNTIF($O$3:$O803,"Sim")))</f>
        <v/>
      </c>
      <c r="R803" s="47" t="n">
        <f aca="false">IF($P803="",0,$P803)</f>
        <v>0</v>
      </c>
    </row>
    <row r="804" customFormat="false" ht="18" hidden="false" customHeight="true" outlineLevel="0" collapsed="false">
      <c r="A804" s="39"/>
      <c r="B804" s="41"/>
      <c r="C804" s="40"/>
      <c r="D804" s="40"/>
      <c r="E804" s="40"/>
      <c r="F804" s="42"/>
      <c r="G804" s="39"/>
      <c r="H804" s="40"/>
      <c r="I804" s="40"/>
      <c r="J804" s="40"/>
      <c r="K804" s="41"/>
      <c r="L804" s="39"/>
      <c r="M804" s="48" t="str">
        <f aca="false">IF($E804="","",IFERROR(INDEX(Parâmetros!$C$15:$C$20,MATCH($P804,Parâmetros!$B$15:$B$20,0)),""))</f>
        <v/>
      </c>
      <c r="N804" s="46" t="str">
        <f aca="false">IF($E804="","",IF($P804="","",IF($P804&gt;=8,"Alta",IF($P804&gt;=5,"Média","Baixa"))))</f>
        <v/>
      </c>
      <c r="O804" s="46" t="str">
        <f aca="false">IF($E804="","",IF(AND(Parâmetros!$C$5&gt;0,$P804&lt;&gt;"",$P804&gt;=Parâmetros!$C$5),"Sim","Não"))</f>
        <v/>
      </c>
      <c r="P804" s="45" t="str">
        <f aca="false">IF($E804="","",IF($G804="","",IF($G804="NOK",$F804,0)))</f>
        <v/>
      </c>
      <c r="Q804" s="46" t="str">
        <f aca="false">IF($E804="","",IF($O804&lt;&gt;"Sim","",COUNTIF($O$3:$O804,"Sim")))</f>
        <v/>
      </c>
      <c r="R804" s="47" t="n">
        <f aca="false">IF($P804="",0,$P804)</f>
        <v>0</v>
      </c>
    </row>
    <row r="805" customFormat="false" ht="18" hidden="false" customHeight="true" outlineLevel="0" collapsed="false">
      <c r="A805" s="39"/>
      <c r="B805" s="41"/>
      <c r="C805" s="40"/>
      <c r="D805" s="40"/>
      <c r="E805" s="40"/>
      <c r="F805" s="42"/>
      <c r="G805" s="39"/>
      <c r="H805" s="40"/>
      <c r="I805" s="40"/>
      <c r="J805" s="40"/>
      <c r="K805" s="41"/>
      <c r="L805" s="39"/>
      <c r="M805" s="48" t="str">
        <f aca="false">IF($E805="","",IFERROR(INDEX(Parâmetros!$C$15:$C$20,MATCH($P805,Parâmetros!$B$15:$B$20,0)),""))</f>
        <v/>
      </c>
      <c r="N805" s="46" t="str">
        <f aca="false">IF($E805="","",IF($P805="","",IF($P805&gt;=8,"Alta",IF($P805&gt;=5,"Média","Baixa"))))</f>
        <v/>
      </c>
      <c r="O805" s="46" t="str">
        <f aca="false">IF($E805="","",IF(AND(Parâmetros!$C$5&gt;0,$P805&lt;&gt;"",$P805&gt;=Parâmetros!$C$5),"Sim","Não"))</f>
        <v/>
      </c>
      <c r="P805" s="45" t="str">
        <f aca="false">IF($E805="","",IF($G805="","",IF($G805="NOK",$F805,0)))</f>
        <v/>
      </c>
      <c r="Q805" s="46" t="str">
        <f aca="false">IF($E805="","",IF($O805&lt;&gt;"Sim","",COUNTIF($O$3:$O805,"Sim")))</f>
        <v/>
      </c>
      <c r="R805" s="47" t="n">
        <f aca="false">IF($P805="",0,$P805)</f>
        <v>0</v>
      </c>
    </row>
    <row r="806" customFormat="false" ht="18" hidden="false" customHeight="true" outlineLevel="0" collapsed="false">
      <c r="A806" s="39"/>
      <c r="B806" s="41"/>
      <c r="C806" s="40"/>
      <c r="D806" s="40"/>
      <c r="E806" s="40"/>
      <c r="F806" s="42"/>
      <c r="G806" s="39"/>
      <c r="H806" s="40"/>
      <c r="I806" s="40"/>
      <c r="J806" s="40"/>
      <c r="K806" s="41"/>
      <c r="L806" s="39"/>
      <c r="M806" s="48" t="str">
        <f aca="false">IF($E806="","",IFERROR(INDEX(Parâmetros!$C$15:$C$20,MATCH($P806,Parâmetros!$B$15:$B$20,0)),""))</f>
        <v/>
      </c>
      <c r="N806" s="46" t="str">
        <f aca="false">IF($E806="","",IF($P806="","",IF($P806&gt;=8,"Alta",IF($P806&gt;=5,"Média","Baixa"))))</f>
        <v/>
      </c>
      <c r="O806" s="46" t="str">
        <f aca="false">IF($E806="","",IF(AND(Parâmetros!$C$5&gt;0,$P806&lt;&gt;"",$P806&gt;=Parâmetros!$C$5),"Sim","Não"))</f>
        <v/>
      </c>
      <c r="P806" s="45" t="str">
        <f aca="false">IF($E806="","",IF($G806="","",IF($G806="NOK",$F806,0)))</f>
        <v/>
      </c>
      <c r="Q806" s="46" t="str">
        <f aca="false">IF($E806="","",IF($O806&lt;&gt;"Sim","",COUNTIF($O$3:$O806,"Sim")))</f>
        <v/>
      </c>
      <c r="R806" s="47" t="n">
        <f aca="false">IF($P806="",0,$P806)</f>
        <v>0</v>
      </c>
    </row>
    <row r="807" customFormat="false" ht="18" hidden="false" customHeight="true" outlineLevel="0" collapsed="false">
      <c r="A807" s="39"/>
      <c r="B807" s="41"/>
      <c r="C807" s="40"/>
      <c r="D807" s="40"/>
      <c r="E807" s="40"/>
      <c r="F807" s="42"/>
      <c r="G807" s="39"/>
      <c r="H807" s="40"/>
      <c r="I807" s="40"/>
      <c r="J807" s="40"/>
      <c r="K807" s="41"/>
      <c r="L807" s="39"/>
      <c r="M807" s="48" t="str">
        <f aca="false">IF($E807="","",IFERROR(INDEX(Parâmetros!$C$15:$C$20,MATCH($P807,Parâmetros!$B$15:$B$20,0)),""))</f>
        <v/>
      </c>
      <c r="N807" s="46" t="str">
        <f aca="false">IF($E807="","",IF($P807="","",IF($P807&gt;=8,"Alta",IF($P807&gt;=5,"Média","Baixa"))))</f>
        <v/>
      </c>
      <c r="O807" s="46" t="str">
        <f aca="false">IF($E807="","",IF(AND(Parâmetros!$C$5&gt;0,$P807&lt;&gt;"",$P807&gt;=Parâmetros!$C$5),"Sim","Não"))</f>
        <v/>
      </c>
      <c r="P807" s="45" t="str">
        <f aca="false">IF($E807="","",IF($G807="","",IF($G807="NOK",$F807,0)))</f>
        <v/>
      </c>
      <c r="Q807" s="46" t="str">
        <f aca="false">IF($E807="","",IF($O807&lt;&gt;"Sim","",COUNTIF($O$3:$O807,"Sim")))</f>
        <v/>
      </c>
      <c r="R807" s="47" t="n">
        <f aca="false">IF($P807="",0,$P807)</f>
        <v>0</v>
      </c>
    </row>
    <row r="808" customFormat="false" ht="18" hidden="false" customHeight="true" outlineLevel="0" collapsed="false">
      <c r="A808" s="39"/>
      <c r="B808" s="41"/>
      <c r="C808" s="40"/>
      <c r="D808" s="40"/>
      <c r="E808" s="40"/>
      <c r="F808" s="42"/>
      <c r="G808" s="39"/>
      <c r="H808" s="40"/>
      <c r="I808" s="40"/>
      <c r="J808" s="40"/>
      <c r="K808" s="41"/>
      <c r="L808" s="39"/>
      <c r="M808" s="48" t="str">
        <f aca="false">IF($E808="","",IFERROR(INDEX(Parâmetros!$C$15:$C$20,MATCH($P808,Parâmetros!$B$15:$B$20,0)),""))</f>
        <v/>
      </c>
      <c r="N808" s="46" t="str">
        <f aca="false">IF($E808="","",IF($P808="","",IF($P808&gt;=8,"Alta",IF($P808&gt;=5,"Média","Baixa"))))</f>
        <v/>
      </c>
      <c r="O808" s="46" t="str">
        <f aca="false">IF($E808="","",IF(AND(Parâmetros!$C$5&gt;0,$P808&lt;&gt;"",$P808&gt;=Parâmetros!$C$5),"Sim","Não"))</f>
        <v/>
      </c>
      <c r="P808" s="45" t="str">
        <f aca="false">IF($E808="","",IF($G808="","",IF($G808="NOK",$F808,0)))</f>
        <v/>
      </c>
      <c r="Q808" s="46" t="str">
        <f aca="false">IF($E808="","",IF($O808&lt;&gt;"Sim","",COUNTIF($O$3:$O808,"Sim")))</f>
        <v/>
      </c>
      <c r="R808" s="47" t="n">
        <f aca="false">IF($P808="",0,$P808)</f>
        <v>0</v>
      </c>
    </row>
    <row r="809" customFormat="false" ht="18" hidden="false" customHeight="true" outlineLevel="0" collapsed="false">
      <c r="A809" s="39"/>
      <c r="B809" s="41"/>
      <c r="C809" s="40"/>
      <c r="D809" s="40"/>
      <c r="E809" s="40"/>
      <c r="F809" s="42"/>
      <c r="G809" s="39"/>
      <c r="H809" s="40"/>
      <c r="I809" s="40"/>
      <c r="J809" s="40"/>
      <c r="K809" s="41"/>
      <c r="L809" s="39"/>
      <c r="M809" s="48" t="str">
        <f aca="false">IF($E809="","",IFERROR(INDEX(Parâmetros!$C$15:$C$20,MATCH($P809,Parâmetros!$B$15:$B$20,0)),""))</f>
        <v/>
      </c>
      <c r="N809" s="46" t="str">
        <f aca="false">IF($E809="","",IF($P809="","",IF($P809&gt;=8,"Alta",IF($P809&gt;=5,"Média","Baixa"))))</f>
        <v/>
      </c>
      <c r="O809" s="46" t="str">
        <f aca="false">IF($E809="","",IF(AND(Parâmetros!$C$5&gt;0,$P809&lt;&gt;"",$P809&gt;=Parâmetros!$C$5),"Sim","Não"))</f>
        <v/>
      </c>
      <c r="P809" s="45" t="str">
        <f aca="false">IF($E809="","",IF($G809="","",IF($G809="NOK",$F809,0)))</f>
        <v/>
      </c>
      <c r="Q809" s="46" t="str">
        <f aca="false">IF($E809="","",IF($O809&lt;&gt;"Sim","",COUNTIF($O$3:$O809,"Sim")))</f>
        <v/>
      </c>
      <c r="R809" s="47" t="n">
        <f aca="false">IF($P809="",0,$P809)</f>
        <v>0</v>
      </c>
    </row>
    <row r="810" customFormat="false" ht="18" hidden="false" customHeight="true" outlineLevel="0" collapsed="false">
      <c r="A810" s="39"/>
      <c r="B810" s="41"/>
      <c r="C810" s="40"/>
      <c r="D810" s="40"/>
      <c r="E810" s="40"/>
      <c r="F810" s="42"/>
      <c r="G810" s="39"/>
      <c r="H810" s="40"/>
      <c r="I810" s="40"/>
      <c r="J810" s="40"/>
      <c r="K810" s="41"/>
      <c r="L810" s="39"/>
      <c r="M810" s="48" t="str">
        <f aca="false">IF($E810="","",IFERROR(INDEX(Parâmetros!$C$15:$C$20,MATCH($P810,Parâmetros!$B$15:$B$20,0)),""))</f>
        <v/>
      </c>
      <c r="N810" s="46" t="str">
        <f aca="false">IF($E810="","",IF($P810="","",IF($P810&gt;=8,"Alta",IF($P810&gt;=5,"Média","Baixa"))))</f>
        <v/>
      </c>
      <c r="O810" s="46" t="str">
        <f aca="false">IF($E810="","",IF(AND(Parâmetros!$C$5&gt;0,$P810&lt;&gt;"",$P810&gt;=Parâmetros!$C$5),"Sim","Não"))</f>
        <v/>
      </c>
      <c r="P810" s="45" t="str">
        <f aca="false">IF($E810="","",IF($G810="","",IF($G810="NOK",$F810,0)))</f>
        <v/>
      </c>
      <c r="Q810" s="46" t="str">
        <f aca="false">IF($E810="","",IF($O810&lt;&gt;"Sim","",COUNTIF($O$3:$O810,"Sim")))</f>
        <v/>
      </c>
      <c r="R810" s="47" t="n">
        <f aca="false">IF($P810="",0,$P810)</f>
        <v>0</v>
      </c>
    </row>
    <row r="811" customFormat="false" ht="18" hidden="false" customHeight="true" outlineLevel="0" collapsed="false">
      <c r="A811" s="39"/>
      <c r="B811" s="41"/>
      <c r="C811" s="40"/>
      <c r="D811" s="40"/>
      <c r="E811" s="40"/>
      <c r="F811" s="42"/>
      <c r="G811" s="39"/>
      <c r="H811" s="40"/>
      <c r="I811" s="40"/>
      <c r="J811" s="40"/>
      <c r="K811" s="41"/>
      <c r="L811" s="39"/>
      <c r="M811" s="48" t="str">
        <f aca="false">IF($E811="","",IFERROR(INDEX(Parâmetros!$C$15:$C$20,MATCH($P811,Parâmetros!$B$15:$B$20,0)),""))</f>
        <v/>
      </c>
      <c r="N811" s="46" t="str">
        <f aca="false">IF($E811="","",IF($P811="","",IF($P811&gt;=8,"Alta",IF($P811&gt;=5,"Média","Baixa"))))</f>
        <v/>
      </c>
      <c r="O811" s="46" t="str">
        <f aca="false">IF($E811="","",IF(AND(Parâmetros!$C$5&gt;0,$P811&lt;&gt;"",$P811&gt;=Parâmetros!$C$5),"Sim","Não"))</f>
        <v/>
      </c>
      <c r="P811" s="45" t="str">
        <f aca="false">IF($E811="","",IF($G811="","",IF($G811="NOK",$F811,0)))</f>
        <v/>
      </c>
      <c r="Q811" s="46" t="str">
        <f aca="false">IF($E811="","",IF($O811&lt;&gt;"Sim","",COUNTIF($O$3:$O811,"Sim")))</f>
        <v/>
      </c>
      <c r="R811" s="47" t="n">
        <f aca="false">IF($P811="",0,$P811)</f>
        <v>0</v>
      </c>
    </row>
    <row r="812" customFormat="false" ht="18" hidden="false" customHeight="true" outlineLevel="0" collapsed="false">
      <c r="A812" s="39"/>
      <c r="B812" s="41"/>
      <c r="C812" s="40"/>
      <c r="D812" s="40"/>
      <c r="E812" s="40"/>
      <c r="F812" s="42"/>
      <c r="G812" s="39"/>
      <c r="H812" s="40"/>
      <c r="I812" s="40"/>
      <c r="J812" s="40"/>
      <c r="K812" s="41"/>
      <c r="L812" s="39"/>
      <c r="M812" s="48" t="str">
        <f aca="false">IF($E812="","",IFERROR(INDEX(Parâmetros!$C$15:$C$20,MATCH($P812,Parâmetros!$B$15:$B$20,0)),""))</f>
        <v/>
      </c>
      <c r="N812" s="46" t="str">
        <f aca="false">IF($E812="","",IF($P812="","",IF($P812&gt;=8,"Alta",IF($P812&gt;=5,"Média","Baixa"))))</f>
        <v/>
      </c>
      <c r="O812" s="46" t="str">
        <f aca="false">IF($E812="","",IF(AND(Parâmetros!$C$5&gt;0,$P812&lt;&gt;"",$P812&gt;=Parâmetros!$C$5),"Sim","Não"))</f>
        <v/>
      </c>
      <c r="P812" s="45" t="str">
        <f aca="false">IF($E812="","",IF($G812="","",IF($G812="NOK",$F812,0)))</f>
        <v/>
      </c>
      <c r="Q812" s="46" t="str">
        <f aca="false">IF($E812="","",IF($O812&lt;&gt;"Sim","",COUNTIF($O$3:$O812,"Sim")))</f>
        <v/>
      </c>
      <c r="R812" s="47" t="n">
        <f aca="false">IF($P812="",0,$P812)</f>
        <v>0</v>
      </c>
    </row>
    <row r="813" customFormat="false" ht="18" hidden="false" customHeight="true" outlineLevel="0" collapsed="false">
      <c r="A813" s="39"/>
      <c r="B813" s="41"/>
      <c r="C813" s="40"/>
      <c r="D813" s="40"/>
      <c r="E813" s="40"/>
      <c r="F813" s="42"/>
      <c r="G813" s="39"/>
      <c r="H813" s="40"/>
      <c r="I813" s="40"/>
      <c r="J813" s="40"/>
      <c r="K813" s="41"/>
      <c r="L813" s="39"/>
      <c r="M813" s="48" t="str">
        <f aca="false">IF($E813="","",IFERROR(INDEX(Parâmetros!$C$15:$C$20,MATCH($P813,Parâmetros!$B$15:$B$20,0)),""))</f>
        <v/>
      </c>
      <c r="N813" s="46" t="str">
        <f aca="false">IF($E813="","",IF($P813="","",IF($P813&gt;=8,"Alta",IF($P813&gt;=5,"Média","Baixa"))))</f>
        <v/>
      </c>
      <c r="O813" s="46" t="str">
        <f aca="false">IF($E813="","",IF(AND(Parâmetros!$C$5&gt;0,$P813&lt;&gt;"",$P813&gt;=Parâmetros!$C$5),"Sim","Não"))</f>
        <v/>
      </c>
      <c r="P813" s="45" t="str">
        <f aca="false">IF($E813="","",IF($G813="","",IF($G813="NOK",$F813,0)))</f>
        <v/>
      </c>
      <c r="Q813" s="46" t="str">
        <f aca="false">IF($E813="","",IF($O813&lt;&gt;"Sim","",COUNTIF($O$3:$O813,"Sim")))</f>
        <v/>
      </c>
      <c r="R813" s="47" t="n">
        <f aca="false">IF($P813="",0,$P813)</f>
        <v>0</v>
      </c>
    </row>
    <row r="814" customFormat="false" ht="18" hidden="false" customHeight="true" outlineLevel="0" collapsed="false">
      <c r="A814" s="39"/>
      <c r="B814" s="41"/>
      <c r="C814" s="40"/>
      <c r="D814" s="40"/>
      <c r="E814" s="40"/>
      <c r="F814" s="42"/>
      <c r="G814" s="39"/>
      <c r="H814" s="40"/>
      <c r="I814" s="40"/>
      <c r="J814" s="40"/>
      <c r="K814" s="41"/>
      <c r="L814" s="39"/>
      <c r="M814" s="48" t="str">
        <f aca="false">IF($E814="","",IFERROR(INDEX(Parâmetros!$C$15:$C$20,MATCH($P814,Parâmetros!$B$15:$B$20,0)),""))</f>
        <v/>
      </c>
      <c r="N814" s="46" t="str">
        <f aca="false">IF($E814="","",IF($P814="","",IF($P814&gt;=8,"Alta",IF($P814&gt;=5,"Média","Baixa"))))</f>
        <v/>
      </c>
      <c r="O814" s="46" t="str">
        <f aca="false">IF($E814="","",IF(AND(Parâmetros!$C$5&gt;0,$P814&lt;&gt;"",$P814&gt;=Parâmetros!$C$5),"Sim","Não"))</f>
        <v/>
      </c>
      <c r="P814" s="45" t="str">
        <f aca="false">IF($E814="","",IF($G814="","",IF($G814="NOK",$F814,0)))</f>
        <v/>
      </c>
      <c r="Q814" s="46" t="str">
        <f aca="false">IF($E814="","",IF($O814&lt;&gt;"Sim","",COUNTIF($O$3:$O814,"Sim")))</f>
        <v/>
      </c>
      <c r="R814" s="47" t="n">
        <f aca="false">IF($P814="",0,$P814)</f>
        <v>0</v>
      </c>
    </row>
    <row r="815" customFormat="false" ht="18" hidden="false" customHeight="true" outlineLevel="0" collapsed="false">
      <c r="A815" s="39"/>
      <c r="B815" s="41"/>
      <c r="C815" s="40"/>
      <c r="D815" s="40"/>
      <c r="E815" s="40"/>
      <c r="F815" s="42"/>
      <c r="G815" s="39"/>
      <c r="H815" s="40"/>
      <c r="I815" s="40"/>
      <c r="J815" s="40"/>
      <c r="K815" s="41"/>
      <c r="L815" s="39"/>
      <c r="M815" s="48" t="str">
        <f aca="false">IF($E815="","",IFERROR(INDEX(Parâmetros!$C$15:$C$20,MATCH($P815,Parâmetros!$B$15:$B$20,0)),""))</f>
        <v/>
      </c>
      <c r="N815" s="46" t="str">
        <f aca="false">IF($E815="","",IF($P815="","",IF($P815&gt;=8,"Alta",IF($P815&gt;=5,"Média","Baixa"))))</f>
        <v/>
      </c>
      <c r="O815" s="46" t="str">
        <f aca="false">IF($E815="","",IF(AND(Parâmetros!$C$5&gt;0,$P815&lt;&gt;"",$P815&gt;=Parâmetros!$C$5),"Sim","Não"))</f>
        <v/>
      </c>
      <c r="P815" s="45" t="str">
        <f aca="false">IF($E815="","",IF($G815="","",IF($G815="NOK",$F815,0)))</f>
        <v/>
      </c>
      <c r="Q815" s="46" t="str">
        <f aca="false">IF($E815="","",IF($O815&lt;&gt;"Sim","",COUNTIF($O$3:$O815,"Sim")))</f>
        <v/>
      </c>
      <c r="R815" s="47" t="n">
        <f aca="false">IF($P815="",0,$P815)</f>
        <v>0</v>
      </c>
    </row>
    <row r="816" customFormat="false" ht="18" hidden="false" customHeight="true" outlineLevel="0" collapsed="false">
      <c r="A816" s="39"/>
      <c r="B816" s="41"/>
      <c r="C816" s="40"/>
      <c r="D816" s="40"/>
      <c r="E816" s="40"/>
      <c r="F816" s="42"/>
      <c r="G816" s="39"/>
      <c r="H816" s="40"/>
      <c r="I816" s="40"/>
      <c r="J816" s="40"/>
      <c r="K816" s="41"/>
      <c r="L816" s="39"/>
      <c r="M816" s="48" t="str">
        <f aca="false">IF($E816="","",IFERROR(INDEX(Parâmetros!$C$15:$C$20,MATCH($P816,Parâmetros!$B$15:$B$20,0)),""))</f>
        <v/>
      </c>
      <c r="N816" s="46" t="str">
        <f aca="false">IF($E816="","",IF($P816="","",IF($P816&gt;=8,"Alta",IF($P816&gt;=5,"Média","Baixa"))))</f>
        <v/>
      </c>
      <c r="O816" s="46" t="str">
        <f aca="false">IF($E816="","",IF(AND(Parâmetros!$C$5&gt;0,$P816&lt;&gt;"",$P816&gt;=Parâmetros!$C$5),"Sim","Não"))</f>
        <v/>
      </c>
      <c r="P816" s="45" t="str">
        <f aca="false">IF($E816="","",IF($G816="","",IF($G816="NOK",$F816,0)))</f>
        <v/>
      </c>
      <c r="Q816" s="46" t="str">
        <f aca="false">IF($E816="","",IF($O816&lt;&gt;"Sim","",COUNTIF($O$3:$O816,"Sim")))</f>
        <v/>
      </c>
      <c r="R816" s="47" t="n">
        <f aca="false">IF($P816="",0,$P816)</f>
        <v>0</v>
      </c>
    </row>
    <row r="817" customFormat="false" ht="18" hidden="false" customHeight="true" outlineLevel="0" collapsed="false">
      <c r="A817" s="39"/>
      <c r="B817" s="41"/>
      <c r="C817" s="40"/>
      <c r="D817" s="40"/>
      <c r="E817" s="40"/>
      <c r="F817" s="42"/>
      <c r="G817" s="39"/>
      <c r="H817" s="40"/>
      <c r="I817" s="40"/>
      <c r="J817" s="40"/>
      <c r="K817" s="41"/>
      <c r="L817" s="39"/>
      <c r="M817" s="48" t="str">
        <f aca="false">IF($E817="","",IFERROR(INDEX(Parâmetros!$C$15:$C$20,MATCH($P817,Parâmetros!$B$15:$B$20,0)),""))</f>
        <v/>
      </c>
      <c r="N817" s="46" t="str">
        <f aca="false">IF($E817="","",IF($P817="","",IF($P817&gt;=8,"Alta",IF($P817&gt;=5,"Média","Baixa"))))</f>
        <v/>
      </c>
      <c r="O817" s="46" t="str">
        <f aca="false">IF($E817="","",IF(AND(Parâmetros!$C$5&gt;0,$P817&lt;&gt;"",$P817&gt;=Parâmetros!$C$5),"Sim","Não"))</f>
        <v/>
      </c>
      <c r="P817" s="45" t="str">
        <f aca="false">IF($E817="","",IF($G817="","",IF($G817="NOK",$F817,0)))</f>
        <v/>
      </c>
      <c r="Q817" s="46" t="str">
        <f aca="false">IF($E817="","",IF($O817&lt;&gt;"Sim","",COUNTIF($O$3:$O817,"Sim")))</f>
        <v/>
      </c>
      <c r="R817" s="47" t="n">
        <f aca="false">IF($P817="",0,$P817)</f>
        <v>0</v>
      </c>
    </row>
    <row r="818" customFormat="false" ht="18" hidden="false" customHeight="true" outlineLevel="0" collapsed="false">
      <c r="A818" s="39"/>
      <c r="B818" s="41"/>
      <c r="C818" s="40"/>
      <c r="D818" s="40"/>
      <c r="E818" s="40"/>
      <c r="F818" s="42"/>
      <c r="G818" s="39"/>
      <c r="H818" s="40"/>
      <c r="I818" s="40"/>
      <c r="J818" s="40"/>
      <c r="K818" s="41"/>
      <c r="L818" s="39"/>
      <c r="M818" s="48" t="str">
        <f aca="false">IF($E818="","",IFERROR(INDEX(Parâmetros!$C$15:$C$20,MATCH($P818,Parâmetros!$B$15:$B$20,0)),""))</f>
        <v/>
      </c>
      <c r="N818" s="46" t="str">
        <f aca="false">IF($E818="","",IF($P818="","",IF($P818&gt;=8,"Alta",IF($P818&gt;=5,"Média","Baixa"))))</f>
        <v/>
      </c>
      <c r="O818" s="46" t="str">
        <f aca="false">IF($E818="","",IF(AND(Parâmetros!$C$5&gt;0,$P818&lt;&gt;"",$P818&gt;=Parâmetros!$C$5),"Sim","Não"))</f>
        <v/>
      </c>
      <c r="P818" s="45" t="str">
        <f aca="false">IF($E818="","",IF($G818="","",IF($G818="NOK",$F818,0)))</f>
        <v/>
      </c>
      <c r="Q818" s="46" t="str">
        <f aca="false">IF($E818="","",IF($O818&lt;&gt;"Sim","",COUNTIF($O$3:$O818,"Sim")))</f>
        <v/>
      </c>
      <c r="R818" s="47" t="n">
        <f aca="false">IF($P818="",0,$P818)</f>
        <v>0</v>
      </c>
    </row>
    <row r="819" customFormat="false" ht="18" hidden="false" customHeight="true" outlineLevel="0" collapsed="false">
      <c r="A819" s="39"/>
      <c r="B819" s="41"/>
      <c r="C819" s="40"/>
      <c r="D819" s="40"/>
      <c r="E819" s="40"/>
      <c r="F819" s="42"/>
      <c r="G819" s="39"/>
      <c r="H819" s="40"/>
      <c r="I819" s="40"/>
      <c r="J819" s="40"/>
      <c r="K819" s="41"/>
      <c r="L819" s="39"/>
      <c r="M819" s="48" t="str">
        <f aca="false">IF($E819="","",IFERROR(INDEX(Parâmetros!$C$15:$C$20,MATCH($P819,Parâmetros!$B$15:$B$20,0)),""))</f>
        <v/>
      </c>
      <c r="N819" s="46" t="str">
        <f aca="false">IF($E819="","",IF($P819="","",IF($P819&gt;=8,"Alta",IF($P819&gt;=5,"Média","Baixa"))))</f>
        <v/>
      </c>
      <c r="O819" s="46" t="str">
        <f aca="false">IF($E819="","",IF(AND(Parâmetros!$C$5&gt;0,$P819&lt;&gt;"",$P819&gt;=Parâmetros!$C$5),"Sim","Não"))</f>
        <v/>
      </c>
      <c r="P819" s="45" t="str">
        <f aca="false">IF($E819="","",IF($G819="","",IF($G819="NOK",$F819,0)))</f>
        <v/>
      </c>
      <c r="Q819" s="46" t="str">
        <f aca="false">IF($E819="","",IF($O819&lt;&gt;"Sim","",COUNTIF($O$3:$O819,"Sim")))</f>
        <v/>
      </c>
      <c r="R819" s="47" t="n">
        <f aca="false">IF($P819="",0,$P819)</f>
        <v>0</v>
      </c>
    </row>
    <row r="820" customFormat="false" ht="18" hidden="false" customHeight="true" outlineLevel="0" collapsed="false">
      <c r="A820" s="39"/>
      <c r="B820" s="41"/>
      <c r="C820" s="40"/>
      <c r="D820" s="40"/>
      <c r="E820" s="40"/>
      <c r="F820" s="42"/>
      <c r="G820" s="39"/>
      <c r="H820" s="40"/>
      <c r="I820" s="40"/>
      <c r="J820" s="40"/>
      <c r="K820" s="41"/>
      <c r="L820" s="39"/>
      <c r="M820" s="48" t="str">
        <f aca="false">IF($E820="","",IFERROR(INDEX(Parâmetros!$C$15:$C$20,MATCH($P820,Parâmetros!$B$15:$B$20,0)),""))</f>
        <v/>
      </c>
      <c r="N820" s="46" t="str">
        <f aca="false">IF($E820="","",IF($P820="","",IF($P820&gt;=8,"Alta",IF($P820&gt;=5,"Média","Baixa"))))</f>
        <v/>
      </c>
      <c r="O820" s="46" t="str">
        <f aca="false">IF($E820="","",IF(AND(Parâmetros!$C$5&gt;0,$P820&lt;&gt;"",$P820&gt;=Parâmetros!$C$5),"Sim","Não"))</f>
        <v/>
      </c>
      <c r="P820" s="45" t="str">
        <f aca="false">IF($E820="","",IF($G820="","",IF($G820="NOK",$F820,0)))</f>
        <v/>
      </c>
      <c r="Q820" s="46" t="str">
        <f aca="false">IF($E820="","",IF($O820&lt;&gt;"Sim","",COUNTIF($O$3:$O820,"Sim")))</f>
        <v/>
      </c>
      <c r="R820" s="47" t="n">
        <f aca="false">IF($P820="",0,$P820)</f>
        <v>0</v>
      </c>
    </row>
    <row r="821" customFormat="false" ht="18" hidden="false" customHeight="true" outlineLevel="0" collapsed="false">
      <c r="A821" s="39"/>
      <c r="B821" s="41"/>
      <c r="C821" s="40"/>
      <c r="D821" s="40"/>
      <c r="E821" s="40"/>
      <c r="F821" s="42"/>
      <c r="G821" s="39"/>
      <c r="H821" s="40"/>
      <c r="I821" s="40"/>
      <c r="J821" s="40"/>
      <c r="K821" s="41"/>
      <c r="L821" s="39"/>
      <c r="M821" s="48" t="str">
        <f aca="false">IF($E821="","",IFERROR(INDEX(Parâmetros!$C$15:$C$20,MATCH($P821,Parâmetros!$B$15:$B$20,0)),""))</f>
        <v/>
      </c>
      <c r="N821" s="46" t="str">
        <f aca="false">IF($E821="","",IF($P821="","",IF($P821&gt;=8,"Alta",IF($P821&gt;=5,"Média","Baixa"))))</f>
        <v/>
      </c>
      <c r="O821" s="46" t="str">
        <f aca="false">IF($E821="","",IF(AND(Parâmetros!$C$5&gt;0,$P821&lt;&gt;"",$P821&gt;=Parâmetros!$C$5),"Sim","Não"))</f>
        <v/>
      </c>
      <c r="P821" s="45" t="str">
        <f aca="false">IF($E821="","",IF($G821="","",IF($G821="NOK",$F821,0)))</f>
        <v/>
      </c>
      <c r="Q821" s="46" t="str">
        <f aca="false">IF($E821="","",IF($O821&lt;&gt;"Sim","",COUNTIF($O$3:$O821,"Sim")))</f>
        <v/>
      </c>
      <c r="R821" s="47" t="n">
        <f aca="false">IF($P821="",0,$P821)</f>
        <v>0</v>
      </c>
    </row>
    <row r="822" customFormat="false" ht="18" hidden="false" customHeight="true" outlineLevel="0" collapsed="false">
      <c r="A822" s="39"/>
      <c r="B822" s="41"/>
      <c r="C822" s="40"/>
      <c r="D822" s="40"/>
      <c r="E822" s="40"/>
      <c r="F822" s="42"/>
      <c r="G822" s="39"/>
      <c r="H822" s="40"/>
      <c r="I822" s="40"/>
      <c r="J822" s="40"/>
      <c r="K822" s="41"/>
      <c r="L822" s="39"/>
      <c r="M822" s="48" t="str">
        <f aca="false">IF($E822="","",IFERROR(INDEX(Parâmetros!$C$15:$C$20,MATCH($P822,Parâmetros!$B$15:$B$20,0)),""))</f>
        <v/>
      </c>
      <c r="N822" s="46" t="str">
        <f aca="false">IF($E822="","",IF($P822="","",IF($P822&gt;=8,"Alta",IF($P822&gt;=5,"Média","Baixa"))))</f>
        <v/>
      </c>
      <c r="O822" s="46" t="str">
        <f aca="false">IF($E822="","",IF(AND(Parâmetros!$C$5&gt;0,$P822&lt;&gt;"",$P822&gt;=Parâmetros!$C$5),"Sim","Não"))</f>
        <v/>
      </c>
      <c r="P822" s="45" t="str">
        <f aca="false">IF($E822="","",IF($G822="","",IF($G822="NOK",$F822,0)))</f>
        <v/>
      </c>
      <c r="Q822" s="46" t="str">
        <f aca="false">IF($E822="","",IF($O822&lt;&gt;"Sim","",COUNTIF($O$3:$O822,"Sim")))</f>
        <v/>
      </c>
      <c r="R822" s="47" t="n">
        <f aca="false">IF($P822="",0,$P822)</f>
        <v>0</v>
      </c>
    </row>
    <row r="823" customFormat="false" ht="18" hidden="false" customHeight="true" outlineLevel="0" collapsed="false">
      <c r="A823" s="39"/>
      <c r="B823" s="41"/>
      <c r="C823" s="40"/>
      <c r="D823" s="40"/>
      <c r="E823" s="40"/>
      <c r="F823" s="42"/>
      <c r="G823" s="39"/>
      <c r="H823" s="40"/>
      <c r="I823" s="40"/>
      <c r="J823" s="40"/>
      <c r="K823" s="41"/>
      <c r="L823" s="39"/>
      <c r="M823" s="48" t="str">
        <f aca="false">IF($E823="","",IFERROR(INDEX(Parâmetros!$C$15:$C$20,MATCH($P823,Parâmetros!$B$15:$B$20,0)),""))</f>
        <v/>
      </c>
      <c r="N823" s="46" t="str">
        <f aca="false">IF($E823="","",IF($P823="","",IF($P823&gt;=8,"Alta",IF($P823&gt;=5,"Média","Baixa"))))</f>
        <v/>
      </c>
      <c r="O823" s="46" t="str">
        <f aca="false">IF($E823="","",IF(AND(Parâmetros!$C$5&gt;0,$P823&lt;&gt;"",$P823&gt;=Parâmetros!$C$5),"Sim","Não"))</f>
        <v/>
      </c>
      <c r="P823" s="45" t="str">
        <f aca="false">IF($E823="","",IF($G823="","",IF($G823="NOK",$F823,0)))</f>
        <v/>
      </c>
      <c r="Q823" s="46" t="str">
        <f aca="false">IF($E823="","",IF($O823&lt;&gt;"Sim","",COUNTIF($O$3:$O823,"Sim")))</f>
        <v/>
      </c>
      <c r="R823" s="47" t="n">
        <f aca="false">IF($P823="",0,$P823)</f>
        <v>0</v>
      </c>
    </row>
    <row r="824" customFormat="false" ht="18" hidden="false" customHeight="true" outlineLevel="0" collapsed="false">
      <c r="A824" s="39"/>
      <c r="B824" s="41"/>
      <c r="C824" s="40"/>
      <c r="D824" s="40"/>
      <c r="E824" s="40"/>
      <c r="F824" s="42"/>
      <c r="G824" s="39"/>
      <c r="H824" s="40"/>
      <c r="I824" s="40"/>
      <c r="J824" s="40"/>
      <c r="K824" s="41"/>
      <c r="L824" s="39"/>
      <c r="M824" s="48" t="str">
        <f aca="false">IF($E824="","",IFERROR(INDEX(Parâmetros!$C$15:$C$20,MATCH($P824,Parâmetros!$B$15:$B$20,0)),""))</f>
        <v/>
      </c>
      <c r="N824" s="46" t="str">
        <f aca="false">IF($E824="","",IF($P824="","",IF($P824&gt;=8,"Alta",IF($P824&gt;=5,"Média","Baixa"))))</f>
        <v/>
      </c>
      <c r="O824" s="46" t="str">
        <f aca="false">IF($E824="","",IF(AND(Parâmetros!$C$5&gt;0,$P824&lt;&gt;"",$P824&gt;=Parâmetros!$C$5),"Sim","Não"))</f>
        <v/>
      </c>
      <c r="P824" s="45" t="str">
        <f aca="false">IF($E824="","",IF($G824="","",IF($G824="NOK",$F824,0)))</f>
        <v/>
      </c>
      <c r="Q824" s="46" t="str">
        <f aca="false">IF($E824="","",IF($O824&lt;&gt;"Sim","",COUNTIF($O$3:$O824,"Sim")))</f>
        <v/>
      </c>
      <c r="R824" s="47" t="n">
        <f aca="false">IF($P824="",0,$P824)</f>
        <v>0</v>
      </c>
    </row>
    <row r="825" customFormat="false" ht="18" hidden="false" customHeight="true" outlineLevel="0" collapsed="false">
      <c r="A825" s="39"/>
      <c r="B825" s="41"/>
      <c r="C825" s="40"/>
      <c r="D825" s="40"/>
      <c r="E825" s="40"/>
      <c r="F825" s="42"/>
      <c r="G825" s="39"/>
      <c r="H825" s="40"/>
      <c r="I825" s="40"/>
      <c r="J825" s="40"/>
      <c r="K825" s="41"/>
      <c r="L825" s="39"/>
      <c r="M825" s="48" t="str">
        <f aca="false">IF($E825="","",IFERROR(INDEX(Parâmetros!$C$15:$C$20,MATCH($P825,Parâmetros!$B$15:$B$20,0)),""))</f>
        <v/>
      </c>
      <c r="N825" s="46" t="str">
        <f aca="false">IF($E825="","",IF($P825="","",IF($P825&gt;=8,"Alta",IF($P825&gt;=5,"Média","Baixa"))))</f>
        <v/>
      </c>
      <c r="O825" s="46" t="str">
        <f aca="false">IF($E825="","",IF(AND(Parâmetros!$C$5&gt;0,$P825&lt;&gt;"",$P825&gt;=Parâmetros!$C$5),"Sim","Não"))</f>
        <v/>
      </c>
      <c r="P825" s="45" t="str">
        <f aca="false">IF($E825="","",IF($G825="","",IF($G825="NOK",$F825,0)))</f>
        <v/>
      </c>
      <c r="Q825" s="46" t="str">
        <f aca="false">IF($E825="","",IF($O825&lt;&gt;"Sim","",COUNTIF($O$3:$O825,"Sim")))</f>
        <v/>
      </c>
      <c r="R825" s="47" t="n">
        <f aca="false">IF($P825="",0,$P825)</f>
        <v>0</v>
      </c>
    </row>
    <row r="826" customFormat="false" ht="18" hidden="false" customHeight="true" outlineLevel="0" collapsed="false">
      <c r="A826" s="39"/>
      <c r="B826" s="41"/>
      <c r="C826" s="40"/>
      <c r="D826" s="40"/>
      <c r="E826" s="40"/>
      <c r="F826" s="42"/>
      <c r="G826" s="39"/>
      <c r="H826" s="40"/>
      <c r="I826" s="40"/>
      <c r="J826" s="40"/>
      <c r="K826" s="41"/>
      <c r="L826" s="39"/>
      <c r="M826" s="48" t="str">
        <f aca="false">IF($E826="","",IFERROR(INDEX(Parâmetros!$C$15:$C$20,MATCH($P826,Parâmetros!$B$15:$B$20,0)),""))</f>
        <v/>
      </c>
      <c r="N826" s="46" t="str">
        <f aca="false">IF($E826="","",IF($P826="","",IF($P826&gt;=8,"Alta",IF($P826&gt;=5,"Média","Baixa"))))</f>
        <v/>
      </c>
      <c r="O826" s="46" t="str">
        <f aca="false">IF($E826="","",IF(AND(Parâmetros!$C$5&gt;0,$P826&lt;&gt;"",$P826&gt;=Parâmetros!$C$5),"Sim","Não"))</f>
        <v/>
      </c>
      <c r="P826" s="45" t="str">
        <f aca="false">IF($E826="","",IF($G826="","",IF($G826="NOK",$F826,0)))</f>
        <v/>
      </c>
      <c r="Q826" s="46" t="str">
        <f aca="false">IF($E826="","",IF($O826&lt;&gt;"Sim","",COUNTIF($O$3:$O826,"Sim")))</f>
        <v/>
      </c>
      <c r="R826" s="47" t="n">
        <f aca="false">IF($P826="",0,$P826)</f>
        <v>0</v>
      </c>
    </row>
    <row r="827" customFormat="false" ht="18" hidden="false" customHeight="true" outlineLevel="0" collapsed="false">
      <c r="A827" s="39"/>
      <c r="B827" s="41"/>
      <c r="C827" s="40"/>
      <c r="D827" s="40"/>
      <c r="E827" s="40"/>
      <c r="F827" s="42"/>
      <c r="G827" s="39"/>
      <c r="H827" s="40"/>
      <c r="I827" s="40"/>
      <c r="J827" s="40"/>
      <c r="K827" s="41"/>
      <c r="L827" s="39"/>
      <c r="M827" s="48" t="str">
        <f aca="false">IF($E827="","",IFERROR(INDEX(Parâmetros!$C$15:$C$20,MATCH($P827,Parâmetros!$B$15:$B$20,0)),""))</f>
        <v/>
      </c>
      <c r="N827" s="46" t="str">
        <f aca="false">IF($E827="","",IF($P827="","",IF($P827&gt;=8,"Alta",IF($P827&gt;=5,"Média","Baixa"))))</f>
        <v/>
      </c>
      <c r="O827" s="46" t="str">
        <f aca="false">IF($E827="","",IF(AND(Parâmetros!$C$5&gt;0,$P827&lt;&gt;"",$P827&gt;=Parâmetros!$C$5),"Sim","Não"))</f>
        <v/>
      </c>
      <c r="P827" s="45" t="str">
        <f aca="false">IF($E827="","",IF($G827="","",IF($G827="NOK",$F827,0)))</f>
        <v/>
      </c>
      <c r="Q827" s="46" t="str">
        <f aca="false">IF($E827="","",IF($O827&lt;&gt;"Sim","",COUNTIF($O$3:$O827,"Sim")))</f>
        <v/>
      </c>
      <c r="R827" s="47" t="n">
        <f aca="false">IF($P827="",0,$P827)</f>
        <v>0</v>
      </c>
    </row>
    <row r="828" customFormat="false" ht="18" hidden="false" customHeight="true" outlineLevel="0" collapsed="false">
      <c r="A828" s="39"/>
      <c r="B828" s="41"/>
      <c r="C828" s="40"/>
      <c r="D828" s="40"/>
      <c r="E828" s="40"/>
      <c r="F828" s="42"/>
      <c r="G828" s="39"/>
      <c r="H828" s="40"/>
      <c r="I828" s="40"/>
      <c r="J828" s="40"/>
      <c r="K828" s="41"/>
      <c r="L828" s="39"/>
      <c r="M828" s="48" t="str">
        <f aca="false">IF($E828="","",IFERROR(INDEX(Parâmetros!$C$15:$C$20,MATCH($P828,Parâmetros!$B$15:$B$20,0)),""))</f>
        <v/>
      </c>
      <c r="N828" s="46" t="str">
        <f aca="false">IF($E828="","",IF($P828="","",IF($P828&gt;=8,"Alta",IF($P828&gt;=5,"Média","Baixa"))))</f>
        <v/>
      </c>
      <c r="O828" s="46" t="str">
        <f aca="false">IF($E828="","",IF(AND(Parâmetros!$C$5&gt;0,$P828&lt;&gt;"",$P828&gt;=Parâmetros!$C$5),"Sim","Não"))</f>
        <v/>
      </c>
      <c r="P828" s="45" t="str">
        <f aca="false">IF($E828="","",IF($G828="","",IF($G828="NOK",$F828,0)))</f>
        <v/>
      </c>
      <c r="Q828" s="46" t="str">
        <f aca="false">IF($E828="","",IF($O828&lt;&gt;"Sim","",COUNTIF($O$3:$O828,"Sim")))</f>
        <v/>
      </c>
      <c r="R828" s="47" t="n">
        <f aca="false">IF($P828="",0,$P828)</f>
        <v>0</v>
      </c>
    </row>
    <row r="829" customFormat="false" ht="18" hidden="false" customHeight="true" outlineLevel="0" collapsed="false">
      <c r="A829" s="39"/>
      <c r="B829" s="41"/>
      <c r="C829" s="40"/>
      <c r="D829" s="40"/>
      <c r="E829" s="40"/>
      <c r="F829" s="42"/>
      <c r="G829" s="39"/>
      <c r="H829" s="40"/>
      <c r="I829" s="40"/>
      <c r="J829" s="40"/>
      <c r="K829" s="41"/>
      <c r="L829" s="39"/>
      <c r="M829" s="48" t="str">
        <f aca="false">IF($E829="","",IFERROR(INDEX(Parâmetros!$C$15:$C$20,MATCH($P829,Parâmetros!$B$15:$B$20,0)),""))</f>
        <v/>
      </c>
      <c r="N829" s="46" t="str">
        <f aca="false">IF($E829="","",IF($P829="","",IF($P829&gt;=8,"Alta",IF($P829&gt;=5,"Média","Baixa"))))</f>
        <v/>
      </c>
      <c r="O829" s="46" t="str">
        <f aca="false">IF($E829="","",IF(AND(Parâmetros!$C$5&gt;0,$P829&lt;&gt;"",$P829&gt;=Parâmetros!$C$5),"Sim","Não"))</f>
        <v/>
      </c>
      <c r="P829" s="45" t="str">
        <f aca="false">IF($E829="","",IF($G829="","",IF($G829="NOK",$F829,0)))</f>
        <v/>
      </c>
      <c r="Q829" s="46" t="str">
        <f aca="false">IF($E829="","",IF($O829&lt;&gt;"Sim","",COUNTIF($O$3:$O829,"Sim")))</f>
        <v/>
      </c>
      <c r="R829" s="47" t="n">
        <f aca="false">IF($P829="",0,$P829)</f>
        <v>0</v>
      </c>
    </row>
    <row r="830" customFormat="false" ht="18" hidden="false" customHeight="true" outlineLevel="0" collapsed="false">
      <c r="A830" s="39"/>
      <c r="B830" s="41"/>
      <c r="C830" s="40"/>
      <c r="D830" s="40"/>
      <c r="E830" s="40"/>
      <c r="F830" s="42"/>
      <c r="G830" s="39"/>
      <c r="H830" s="40"/>
      <c r="I830" s="40"/>
      <c r="J830" s="40"/>
      <c r="K830" s="41"/>
      <c r="L830" s="39"/>
      <c r="M830" s="48" t="str">
        <f aca="false">IF($E830="","",IFERROR(INDEX(Parâmetros!$C$15:$C$20,MATCH($P830,Parâmetros!$B$15:$B$20,0)),""))</f>
        <v/>
      </c>
      <c r="N830" s="46" t="str">
        <f aca="false">IF($E830="","",IF($P830="","",IF($P830&gt;=8,"Alta",IF($P830&gt;=5,"Média","Baixa"))))</f>
        <v/>
      </c>
      <c r="O830" s="46" t="str">
        <f aca="false">IF($E830="","",IF(AND(Parâmetros!$C$5&gt;0,$P830&lt;&gt;"",$P830&gt;=Parâmetros!$C$5),"Sim","Não"))</f>
        <v/>
      </c>
      <c r="P830" s="45" t="str">
        <f aca="false">IF($E830="","",IF($G830="","",IF($G830="NOK",$F830,0)))</f>
        <v/>
      </c>
      <c r="Q830" s="46" t="str">
        <f aca="false">IF($E830="","",IF($O830&lt;&gt;"Sim","",COUNTIF($O$3:$O830,"Sim")))</f>
        <v/>
      </c>
      <c r="R830" s="47" t="n">
        <f aca="false">IF($P830="",0,$P830)</f>
        <v>0</v>
      </c>
    </row>
    <row r="831" customFormat="false" ht="18" hidden="false" customHeight="true" outlineLevel="0" collapsed="false">
      <c r="A831" s="39"/>
      <c r="B831" s="41"/>
      <c r="C831" s="40"/>
      <c r="D831" s="40"/>
      <c r="E831" s="40"/>
      <c r="F831" s="42"/>
      <c r="G831" s="39"/>
      <c r="H831" s="40"/>
      <c r="I831" s="40"/>
      <c r="J831" s="40"/>
      <c r="K831" s="41"/>
      <c r="L831" s="39"/>
      <c r="M831" s="48" t="str">
        <f aca="false">IF($E831="","",IFERROR(INDEX(Parâmetros!$C$15:$C$20,MATCH($P831,Parâmetros!$B$15:$B$20,0)),""))</f>
        <v/>
      </c>
      <c r="N831" s="46" t="str">
        <f aca="false">IF($E831="","",IF($P831="","",IF($P831&gt;=8,"Alta",IF($P831&gt;=5,"Média","Baixa"))))</f>
        <v/>
      </c>
      <c r="O831" s="46" t="str">
        <f aca="false">IF($E831="","",IF(AND(Parâmetros!$C$5&gt;0,$P831&lt;&gt;"",$P831&gt;=Parâmetros!$C$5),"Sim","Não"))</f>
        <v/>
      </c>
      <c r="P831" s="45" t="str">
        <f aca="false">IF($E831="","",IF($G831="","",IF($G831="NOK",$F831,0)))</f>
        <v/>
      </c>
      <c r="Q831" s="46" t="str">
        <f aca="false">IF($E831="","",IF($O831&lt;&gt;"Sim","",COUNTIF($O$3:$O831,"Sim")))</f>
        <v/>
      </c>
      <c r="R831" s="47" t="n">
        <f aca="false">IF($P831="",0,$P831)</f>
        <v>0</v>
      </c>
    </row>
    <row r="832" customFormat="false" ht="18" hidden="false" customHeight="true" outlineLevel="0" collapsed="false">
      <c r="A832" s="39"/>
      <c r="B832" s="41"/>
      <c r="C832" s="40"/>
      <c r="D832" s="40"/>
      <c r="E832" s="40"/>
      <c r="F832" s="42"/>
      <c r="G832" s="39"/>
      <c r="H832" s="40"/>
      <c r="I832" s="40"/>
      <c r="J832" s="40"/>
      <c r="K832" s="41"/>
      <c r="L832" s="39"/>
      <c r="M832" s="48" t="str">
        <f aca="false">IF($E832="","",IFERROR(INDEX(Parâmetros!$C$15:$C$20,MATCH($P832,Parâmetros!$B$15:$B$20,0)),""))</f>
        <v/>
      </c>
      <c r="N832" s="46" t="str">
        <f aca="false">IF($E832="","",IF($P832="","",IF($P832&gt;=8,"Alta",IF($P832&gt;=5,"Média","Baixa"))))</f>
        <v/>
      </c>
      <c r="O832" s="46" t="str">
        <f aca="false">IF($E832="","",IF(AND(Parâmetros!$C$5&gt;0,$P832&lt;&gt;"",$P832&gt;=Parâmetros!$C$5),"Sim","Não"))</f>
        <v/>
      </c>
      <c r="P832" s="45" t="str">
        <f aca="false">IF($E832="","",IF($G832="","",IF($G832="NOK",$F832,0)))</f>
        <v/>
      </c>
      <c r="Q832" s="46" t="str">
        <f aca="false">IF($E832="","",IF($O832&lt;&gt;"Sim","",COUNTIF($O$3:$O832,"Sim")))</f>
        <v/>
      </c>
      <c r="R832" s="47" t="n">
        <f aca="false">IF($P832="",0,$P832)</f>
        <v>0</v>
      </c>
    </row>
    <row r="833" customFormat="false" ht="18" hidden="false" customHeight="true" outlineLevel="0" collapsed="false">
      <c r="A833" s="39"/>
      <c r="B833" s="41"/>
      <c r="C833" s="40"/>
      <c r="D833" s="40"/>
      <c r="E833" s="40"/>
      <c r="F833" s="42"/>
      <c r="G833" s="39"/>
      <c r="H833" s="40"/>
      <c r="I833" s="40"/>
      <c r="J833" s="40"/>
      <c r="K833" s="41"/>
      <c r="L833" s="39"/>
      <c r="M833" s="48" t="str">
        <f aca="false">IF($E833="","",IFERROR(INDEX(Parâmetros!$C$15:$C$20,MATCH($P833,Parâmetros!$B$15:$B$20,0)),""))</f>
        <v/>
      </c>
      <c r="N833" s="46" t="str">
        <f aca="false">IF($E833="","",IF($P833="","",IF($P833&gt;=8,"Alta",IF($P833&gt;=5,"Média","Baixa"))))</f>
        <v/>
      </c>
      <c r="O833" s="46" t="str">
        <f aca="false">IF($E833="","",IF(AND(Parâmetros!$C$5&gt;0,$P833&lt;&gt;"",$P833&gt;=Parâmetros!$C$5),"Sim","Não"))</f>
        <v/>
      </c>
      <c r="P833" s="45" t="str">
        <f aca="false">IF($E833="","",IF($G833="","",IF($G833="NOK",$F833,0)))</f>
        <v/>
      </c>
      <c r="Q833" s="46" t="str">
        <f aca="false">IF($E833="","",IF($O833&lt;&gt;"Sim","",COUNTIF($O$3:$O833,"Sim")))</f>
        <v/>
      </c>
      <c r="R833" s="47" t="n">
        <f aca="false">IF($P833="",0,$P833)</f>
        <v>0</v>
      </c>
    </row>
    <row r="834" customFormat="false" ht="18" hidden="false" customHeight="true" outlineLevel="0" collapsed="false">
      <c r="A834" s="39"/>
      <c r="B834" s="41"/>
      <c r="C834" s="40"/>
      <c r="D834" s="40"/>
      <c r="E834" s="40"/>
      <c r="F834" s="42"/>
      <c r="G834" s="39"/>
      <c r="H834" s="40"/>
      <c r="I834" s="40"/>
      <c r="J834" s="40"/>
      <c r="K834" s="41"/>
      <c r="L834" s="39"/>
      <c r="M834" s="48" t="str">
        <f aca="false">IF($E834="","",IFERROR(INDEX(Parâmetros!$C$15:$C$20,MATCH($P834,Parâmetros!$B$15:$B$20,0)),""))</f>
        <v/>
      </c>
      <c r="N834" s="46" t="str">
        <f aca="false">IF($E834="","",IF($P834="","",IF($P834&gt;=8,"Alta",IF($P834&gt;=5,"Média","Baixa"))))</f>
        <v/>
      </c>
      <c r="O834" s="46" t="str">
        <f aca="false">IF($E834="","",IF(AND(Parâmetros!$C$5&gt;0,$P834&lt;&gt;"",$P834&gt;=Parâmetros!$C$5),"Sim","Não"))</f>
        <v/>
      </c>
      <c r="P834" s="45" t="str">
        <f aca="false">IF($E834="","",IF($G834="","",IF($G834="NOK",$F834,0)))</f>
        <v/>
      </c>
      <c r="Q834" s="46" t="str">
        <f aca="false">IF($E834="","",IF($O834&lt;&gt;"Sim","",COUNTIF($O$3:$O834,"Sim")))</f>
        <v/>
      </c>
      <c r="R834" s="47" t="n">
        <f aca="false">IF($P834="",0,$P834)</f>
        <v>0</v>
      </c>
    </row>
    <row r="835" customFormat="false" ht="18" hidden="false" customHeight="true" outlineLevel="0" collapsed="false">
      <c r="A835" s="39"/>
      <c r="B835" s="41"/>
      <c r="C835" s="40"/>
      <c r="D835" s="40"/>
      <c r="E835" s="40"/>
      <c r="F835" s="42"/>
      <c r="G835" s="39"/>
      <c r="H835" s="40"/>
      <c r="I835" s="40"/>
      <c r="J835" s="40"/>
      <c r="K835" s="41"/>
      <c r="L835" s="39"/>
      <c r="M835" s="48" t="str">
        <f aca="false">IF($E835="","",IFERROR(INDEX(Parâmetros!$C$15:$C$20,MATCH($P835,Parâmetros!$B$15:$B$20,0)),""))</f>
        <v/>
      </c>
      <c r="N835" s="46" t="str">
        <f aca="false">IF($E835="","",IF($P835="","",IF($P835&gt;=8,"Alta",IF($P835&gt;=5,"Média","Baixa"))))</f>
        <v/>
      </c>
      <c r="O835" s="46" t="str">
        <f aca="false">IF($E835="","",IF(AND(Parâmetros!$C$5&gt;0,$P835&lt;&gt;"",$P835&gt;=Parâmetros!$C$5),"Sim","Não"))</f>
        <v/>
      </c>
      <c r="P835" s="45" t="str">
        <f aca="false">IF($E835="","",IF($G835="","",IF($G835="NOK",$F835,0)))</f>
        <v/>
      </c>
      <c r="Q835" s="46" t="str">
        <f aca="false">IF($E835="","",IF($O835&lt;&gt;"Sim","",COUNTIF($O$3:$O835,"Sim")))</f>
        <v/>
      </c>
      <c r="R835" s="47" t="n">
        <f aca="false">IF($P835="",0,$P835)</f>
        <v>0</v>
      </c>
    </row>
    <row r="836" customFormat="false" ht="18" hidden="false" customHeight="true" outlineLevel="0" collapsed="false">
      <c r="A836" s="39"/>
      <c r="B836" s="41"/>
      <c r="C836" s="40"/>
      <c r="D836" s="40"/>
      <c r="E836" s="40"/>
      <c r="F836" s="42"/>
      <c r="G836" s="39"/>
      <c r="H836" s="40"/>
      <c r="I836" s="40"/>
      <c r="J836" s="40"/>
      <c r="K836" s="41"/>
      <c r="L836" s="39"/>
      <c r="M836" s="48" t="str">
        <f aca="false">IF($E836="","",IFERROR(INDEX(Parâmetros!$C$15:$C$20,MATCH($P836,Parâmetros!$B$15:$B$20,0)),""))</f>
        <v/>
      </c>
      <c r="N836" s="46" t="str">
        <f aca="false">IF($E836="","",IF($P836="","",IF($P836&gt;=8,"Alta",IF($P836&gt;=5,"Média","Baixa"))))</f>
        <v/>
      </c>
      <c r="O836" s="46" t="str">
        <f aca="false">IF($E836="","",IF(AND(Parâmetros!$C$5&gt;0,$P836&lt;&gt;"",$P836&gt;=Parâmetros!$C$5),"Sim","Não"))</f>
        <v/>
      </c>
      <c r="P836" s="45" t="str">
        <f aca="false">IF($E836="","",IF($G836="","",IF($G836="NOK",$F836,0)))</f>
        <v/>
      </c>
      <c r="Q836" s="46" t="str">
        <f aca="false">IF($E836="","",IF($O836&lt;&gt;"Sim","",COUNTIF($O$3:$O836,"Sim")))</f>
        <v/>
      </c>
      <c r="R836" s="47" t="n">
        <f aca="false">IF($P836="",0,$P836)</f>
        <v>0</v>
      </c>
    </row>
    <row r="837" customFormat="false" ht="18" hidden="false" customHeight="true" outlineLevel="0" collapsed="false">
      <c r="A837" s="39"/>
      <c r="B837" s="41"/>
      <c r="C837" s="40"/>
      <c r="D837" s="40"/>
      <c r="E837" s="40"/>
      <c r="F837" s="42"/>
      <c r="G837" s="39"/>
      <c r="H837" s="40"/>
      <c r="I837" s="40"/>
      <c r="J837" s="40"/>
      <c r="K837" s="41"/>
      <c r="L837" s="39"/>
      <c r="M837" s="48" t="str">
        <f aca="false">IF($E837="","",IFERROR(INDEX(Parâmetros!$C$15:$C$20,MATCH($P837,Parâmetros!$B$15:$B$20,0)),""))</f>
        <v/>
      </c>
      <c r="N837" s="46" t="str">
        <f aca="false">IF($E837="","",IF($P837="","",IF($P837&gt;=8,"Alta",IF($P837&gt;=5,"Média","Baixa"))))</f>
        <v/>
      </c>
      <c r="O837" s="46" t="str">
        <f aca="false">IF($E837="","",IF(AND(Parâmetros!$C$5&gt;0,$P837&lt;&gt;"",$P837&gt;=Parâmetros!$C$5),"Sim","Não"))</f>
        <v/>
      </c>
      <c r="P837" s="45" t="str">
        <f aca="false">IF($E837="","",IF($G837="","",IF($G837="NOK",$F837,0)))</f>
        <v/>
      </c>
      <c r="Q837" s="46" t="str">
        <f aca="false">IF($E837="","",IF($O837&lt;&gt;"Sim","",COUNTIF($O$3:$O837,"Sim")))</f>
        <v/>
      </c>
      <c r="R837" s="47" t="n">
        <f aca="false">IF($P837="",0,$P837)</f>
        <v>0</v>
      </c>
    </row>
    <row r="838" customFormat="false" ht="18" hidden="false" customHeight="true" outlineLevel="0" collapsed="false">
      <c r="A838" s="39"/>
      <c r="B838" s="41"/>
      <c r="C838" s="40"/>
      <c r="D838" s="40"/>
      <c r="E838" s="40"/>
      <c r="F838" s="42"/>
      <c r="G838" s="39"/>
      <c r="H838" s="40"/>
      <c r="I838" s="40"/>
      <c r="J838" s="40"/>
      <c r="K838" s="41"/>
      <c r="L838" s="39"/>
      <c r="M838" s="48" t="str">
        <f aca="false">IF($E838="","",IFERROR(INDEX(Parâmetros!$C$15:$C$20,MATCH($P838,Parâmetros!$B$15:$B$20,0)),""))</f>
        <v/>
      </c>
      <c r="N838" s="46" t="str">
        <f aca="false">IF($E838="","",IF($P838="","",IF($P838&gt;=8,"Alta",IF($P838&gt;=5,"Média","Baixa"))))</f>
        <v/>
      </c>
      <c r="O838" s="46" t="str">
        <f aca="false">IF($E838="","",IF(AND(Parâmetros!$C$5&gt;0,$P838&lt;&gt;"",$P838&gt;=Parâmetros!$C$5),"Sim","Não"))</f>
        <v/>
      </c>
      <c r="P838" s="45" t="str">
        <f aca="false">IF($E838="","",IF($G838="","",IF($G838="NOK",$F838,0)))</f>
        <v/>
      </c>
      <c r="Q838" s="46" t="str">
        <f aca="false">IF($E838="","",IF($O838&lt;&gt;"Sim","",COUNTIF($O$3:$O838,"Sim")))</f>
        <v/>
      </c>
      <c r="R838" s="47" t="n">
        <f aca="false">IF($P838="",0,$P838)</f>
        <v>0</v>
      </c>
    </row>
    <row r="839" customFormat="false" ht="18" hidden="false" customHeight="true" outlineLevel="0" collapsed="false">
      <c r="A839" s="39"/>
      <c r="B839" s="41"/>
      <c r="C839" s="40"/>
      <c r="D839" s="40"/>
      <c r="E839" s="40"/>
      <c r="F839" s="42"/>
      <c r="G839" s="39"/>
      <c r="H839" s="40"/>
      <c r="I839" s="40"/>
      <c r="J839" s="40"/>
      <c r="K839" s="41"/>
      <c r="L839" s="39"/>
      <c r="M839" s="48" t="str">
        <f aca="false">IF($E839="","",IFERROR(INDEX(Parâmetros!$C$15:$C$20,MATCH($P839,Parâmetros!$B$15:$B$20,0)),""))</f>
        <v/>
      </c>
      <c r="N839" s="46" t="str">
        <f aca="false">IF($E839="","",IF($P839="","",IF($P839&gt;=8,"Alta",IF($P839&gt;=5,"Média","Baixa"))))</f>
        <v/>
      </c>
      <c r="O839" s="46" t="str">
        <f aca="false">IF($E839="","",IF(AND(Parâmetros!$C$5&gt;0,$P839&lt;&gt;"",$P839&gt;=Parâmetros!$C$5),"Sim","Não"))</f>
        <v/>
      </c>
      <c r="P839" s="45" t="str">
        <f aca="false">IF($E839="","",IF($G839="","",IF($G839="NOK",$F839,0)))</f>
        <v/>
      </c>
      <c r="Q839" s="46" t="str">
        <f aca="false">IF($E839="","",IF($O839&lt;&gt;"Sim","",COUNTIF($O$3:$O839,"Sim")))</f>
        <v/>
      </c>
      <c r="R839" s="47" t="n">
        <f aca="false">IF($P839="",0,$P839)</f>
        <v>0</v>
      </c>
    </row>
    <row r="840" customFormat="false" ht="18" hidden="false" customHeight="true" outlineLevel="0" collapsed="false">
      <c r="A840" s="39"/>
      <c r="B840" s="41"/>
      <c r="C840" s="40"/>
      <c r="D840" s="40"/>
      <c r="E840" s="40"/>
      <c r="F840" s="42"/>
      <c r="G840" s="39"/>
      <c r="H840" s="40"/>
      <c r="I840" s="40"/>
      <c r="J840" s="40"/>
      <c r="K840" s="41"/>
      <c r="L840" s="39"/>
      <c r="M840" s="48" t="str">
        <f aca="false">IF($E840="","",IFERROR(INDEX(Parâmetros!$C$15:$C$20,MATCH($P840,Parâmetros!$B$15:$B$20,0)),""))</f>
        <v/>
      </c>
      <c r="N840" s="46" t="str">
        <f aca="false">IF($E840="","",IF($P840="","",IF($P840&gt;=8,"Alta",IF($P840&gt;=5,"Média","Baixa"))))</f>
        <v/>
      </c>
      <c r="O840" s="46" t="str">
        <f aca="false">IF($E840="","",IF(AND(Parâmetros!$C$5&gt;0,$P840&lt;&gt;"",$P840&gt;=Parâmetros!$C$5),"Sim","Não"))</f>
        <v/>
      </c>
      <c r="P840" s="45" t="str">
        <f aca="false">IF($E840="","",IF($G840="","",IF($G840="NOK",$F840,0)))</f>
        <v/>
      </c>
      <c r="Q840" s="46" t="str">
        <f aca="false">IF($E840="","",IF($O840&lt;&gt;"Sim","",COUNTIF($O$3:$O840,"Sim")))</f>
        <v/>
      </c>
      <c r="R840" s="47" t="n">
        <f aca="false">IF($P840="",0,$P840)</f>
        <v>0</v>
      </c>
    </row>
    <row r="841" customFormat="false" ht="18" hidden="false" customHeight="true" outlineLevel="0" collapsed="false">
      <c r="A841" s="39"/>
      <c r="B841" s="41"/>
      <c r="C841" s="40"/>
      <c r="D841" s="40"/>
      <c r="E841" s="40"/>
      <c r="F841" s="42"/>
      <c r="G841" s="39"/>
      <c r="H841" s="40"/>
      <c r="I841" s="40"/>
      <c r="J841" s="40"/>
      <c r="K841" s="41"/>
      <c r="L841" s="39"/>
      <c r="M841" s="48" t="str">
        <f aca="false">IF($E841="","",IFERROR(INDEX(Parâmetros!$C$15:$C$20,MATCH($P841,Parâmetros!$B$15:$B$20,0)),""))</f>
        <v/>
      </c>
      <c r="N841" s="46" t="str">
        <f aca="false">IF($E841="","",IF($P841="","",IF($P841&gt;=8,"Alta",IF($P841&gt;=5,"Média","Baixa"))))</f>
        <v/>
      </c>
      <c r="O841" s="46" t="str">
        <f aca="false">IF($E841="","",IF(AND(Parâmetros!$C$5&gt;0,$P841&lt;&gt;"",$P841&gt;=Parâmetros!$C$5),"Sim","Não"))</f>
        <v/>
      </c>
      <c r="P841" s="45" t="str">
        <f aca="false">IF($E841="","",IF($G841="","",IF($G841="NOK",$F841,0)))</f>
        <v/>
      </c>
      <c r="Q841" s="46" t="str">
        <f aca="false">IF($E841="","",IF($O841&lt;&gt;"Sim","",COUNTIF($O$3:$O841,"Sim")))</f>
        <v/>
      </c>
      <c r="R841" s="47" t="n">
        <f aca="false">IF($P841="",0,$P841)</f>
        <v>0</v>
      </c>
    </row>
    <row r="842" customFormat="false" ht="18" hidden="false" customHeight="true" outlineLevel="0" collapsed="false">
      <c r="A842" s="39"/>
      <c r="B842" s="41"/>
      <c r="C842" s="40"/>
      <c r="D842" s="40"/>
      <c r="E842" s="40"/>
      <c r="F842" s="42"/>
      <c r="G842" s="39"/>
      <c r="H842" s="40"/>
      <c r="I842" s="40"/>
      <c r="J842" s="40"/>
      <c r="K842" s="41"/>
      <c r="L842" s="39"/>
      <c r="M842" s="48" t="str">
        <f aca="false">IF($E842="","",IFERROR(INDEX(Parâmetros!$C$15:$C$20,MATCH($P842,Parâmetros!$B$15:$B$20,0)),""))</f>
        <v/>
      </c>
      <c r="N842" s="46" t="str">
        <f aca="false">IF($E842="","",IF($P842="","",IF($P842&gt;=8,"Alta",IF($P842&gt;=5,"Média","Baixa"))))</f>
        <v/>
      </c>
      <c r="O842" s="46" t="str">
        <f aca="false">IF($E842="","",IF(AND(Parâmetros!$C$5&gt;0,$P842&lt;&gt;"",$P842&gt;=Parâmetros!$C$5),"Sim","Não"))</f>
        <v/>
      </c>
      <c r="P842" s="45" t="str">
        <f aca="false">IF($E842="","",IF($G842="","",IF($G842="NOK",$F842,0)))</f>
        <v/>
      </c>
      <c r="Q842" s="46" t="str">
        <f aca="false">IF($E842="","",IF($O842&lt;&gt;"Sim","",COUNTIF($O$3:$O842,"Sim")))</f>
        <v/>
      </c>
      <c r="R842" s="47" t="n">
        <f aca="false">IF($P842="",0,$P842)</f>
        <v>0</v>
      </c>
    </row>
    <row r="843" customFormat="false" ht="18" hidden="false" customHeight="true" outlineLevel="0" collapsed="false">
      <c r="A843" s="39"/>
      <c r="B843" s="41"/>
      <c r="C843" s="40"/>
      <c r="D843" s="40"/>
      <c r="E843" s="40"/>
      <c r="F843" s="42"/>
      <c r="G843" s="39"/>
      <c r="H843" s="40"/>
      <c r="I843" s="40"/>
      <c r="J843" s="40"/>
      <c r="K843" s="41"/>
      <c r="L843" s="39"/>
      <c r="M843" s="48" t="str">
        <f aca="false">IF($E843="","",IFERROR(INDEX(Parâmetros!$C$15:$C$20,MATCH($P843,Parâmetros!$B$15:$B$20,0)),""))</f>
        <v/>
      </c>
      <c r="N843" s="46" t="str">
        <f aca="false">IF($E843="","",IF($P843="","",IF($P843&gt;=8,"Alta",IF($P843&gt;=5,"Média","Baixa"))))</f>
        <v/>
      </c>
      <c r="O843" s="46" t="str">
        <f aca="false">IF($E843="","",IF(AND(Parâmetros!$C$5&gt;0,$P843&lt;&gt;"",$P843&gt;=Parâmetros!$C$5),"Sim","Não"))</f>
        <v/>
      </c>
      <c r="P843" s="45" t="str">
        <f aca="false">IF($E843="","",IF($G843="","",IF($G843="NOK",$F843,0)))</f>
        <v/>
      </c>
      <c r="Q843" s="46" t="str">
        <f aca="false">IF($E843="","",IF($O843&lt;&gt;"Sim","",COUNTIF($O$3:$O843,"Sim")))</f>
        <v/>
      </c>
      <c r="R843" s="47" t="n">
        <f aca="false">IF($P843="",0,$P843)</f>
        <v>0</v>
      </c>
    </row>
    <row r="844" customFormat="false" ht="18" hidden="false" customHeight="true" outlineLevel="0" collapsed="false">
      <c r="A844" s="39"/>
      <c r="B844" s="41"/>
      <c r="C844" s="40"/>
      <c r="D844" s="40"/>
      <c r="E844" s="40"/>
      <c r="F844" s="42"/>
      <c r="G844" s="39"/>
      <c r="H844" s="40"/>
      <c r="I844" s="40"/>
      <c r="J844" s="40"/>
      <c r="K844" s="41"/>
      <c r="L844" s="39"/>
      <c r="M844" s="48" t="str">
        <f aca="false">IF($E844="","",IFERROR(INDEX(Parâmetros!$C$15:$C$20,MATCH($P844,Parâmetros!$B$15:$B$20,0)),""))</f>
        <v/>
      </c>
      <c r="N844" s="46" t="str">
        <f aca="false">IF($E844="","",IF($P844="","",IF($P844&gt;=8,"Alta",IF($P844&gt;=5,"Média","Baixa"))))</f>
        <v/>
      </c>
      <c r="O844" s="46" t="str">
        <f aca="false">IF($E844="","",IF(AND(Parâmetros!$C$5&gt;0,$P844&lt;&gt;"",$P844&gt;=Parâmetros!$C$5),"Sim","Não"))</f>
        <v/>
      </c>
      <c r="P844" s="45" t="str">
        <f aca="false">IF($E844="","",IF($G844="","",IF($G844="NOK",$F844,0)))</f>
        <v/>
      </c>
      <c r="Q844" s="46" t="str">
        <f aca="false">IF($E844="","",IF($O844&lt;&gt;"Sim","",COUNTIF($O$3:$O844,"Sim")))</f>
        <v/>
      </c>
      <c r="R844" s="47" t="n">
        <f aca="false">IF($P844="",0,$P844)</f>
        <v>0</v>
      </c>
    </row>
    <row r="845" customFormat="false" ht="18" hidden="false" customHeight="true" outlineLevel="0" collapsed="false">
      <c r="A845" s="39"/>
      <c r="B845" s="41"/>
      <c r="C845" s="40"/>
      <c r="D845" s="40"/>
      <c r="E845" s="40"/>
      <c r="F845" s="42"/>
      <c r="G845" s="39"/>
      <c r="H845" s="40"/>
      <c r="I845" s="40"/>
      <c r="J845" s="40"/>
      <c r="K845" s="41"/>
      <c r="L845" s="39"/>
      <c r="M845" s="48" t="str">
        <f aca="false">IF($E845="","",IFERROR(INDEX(Parâmetros!$C$15:$C$20,MATCH($P845,Parâmetros!$B$15:$B$20,0)),""))</f>
        <v/>
      </c>
      <c r="N845" s="46" t="str">
        <f aca="false">IF($E845="","",IF($P845="","",IF($P845&gt;=8,"Alta",IF($P845&gt;=5,"Média","Baixa"))))</f>
        <v/>
      </c>
      <c r="O845" s="46" t="str">
        <f aca="false">IF($E845="","",IF(AND(Parâmetros!$C$5&gt;0,$P845&lt;&gt;"",$P845&gt;=Parâmetros!$C$5),"Sim","Não"))</f>
        <v/>
      </c>
      <c r="P845" s="45" t="str">
        <f aca="false">IF($E845="","",IF($G845="","",IF($G845="NOK",$F845,0)))</f>
        <v/>
      </c>
      <c r="Q845" s="46" t="str">
        <f aca="false">IF($E845="","",IF($O845&lt;&gt;"Sim","",COUNTIF($O$3:$O845,"Sim")))</f>
        <v/>
      </c>
      <c r="R845" s="47" t="n">
        <f aca="false">IF($P845="",0,$P845)</f>
        <v>0</v>
      </c>
    </row>
    <row r="846" customFormat="false" ht="18" hidden="false" customHeight="true" outlineLevel="0" collapsed="false">
      <c r="A846" s="39"/>
      <c r="B846" s="41"/>
      <c r="C846" s="40"/>
      <c r="D846" s="40"/>
      <c r="E846" s="40"/>
      <c r="F846" s="42"/>
      <c r="G846" s="39"/>
      <c r="H846" s="40"/>
      <c r="I846" s="40"/>
      <c r="J846" s="40"/>
      <c r="K846" s="41"/>
      <c r="L846" s="39"/>
      <c r="M846" s="48" t="str">
        <f aca="false">IF($E846="","",IFERROR(INDEX(Parâmetros!$C$15:$C$20,MATCH($P846,Parâmetros!$B$15:$B$20,0)),""))</f>
        <v/>
      </c>
      <c r="N846" s="46" t="str">
        <f aca="false">IF($E846="","",IF($P846="","",IF($P846&gt;=8,"Alta",IF($P846&gt;=5,"Média","Baixa"))))</f>
        <v/>
      </c>
      <c r="O846" s="46" t="str">
        <f aca="false">IF($E846="","",IF(AND(Parâmetros!$C$5&gt;0,$P846&lt;&gt;"",$P846&gt;=Parâmetros!$C$5),"Sim","Não"))</f>
        <v/>
      </c>
      <c r="P846" s="45" t="str">
        <f aca="false">IF($E846="","",IF($G846="","",IF($G846="NOK",$F846,0)))</f>
        <v/>
      </c>
      <c r="Q846" s="46" t="str">
        <f aca="false">IF($E846="","",IF($O846&lt;&gt;"Sim","",COUNTIF($O$3:$O846,"Sim")))</f>
        <v/>
      </c>
      <c r="R846" s="47" t="n">
        <f aca="false">IF($P846="",0,$P846)</f>
        <v>0</v>
      </c>
    </row>
    <row r="847" customFormat="false" ht="18" hidden="false" customHeight="true" outlineLevel="0" collapsed="false">
      <c r="A847" s="39"/>
      <c r="B847" s="41"/>
      <c r="C847" s="40"/>
      <c r="D847" s="40"/>
      <c r="E847" s="40"/>
      <c r="F847" s="42"/>
      <c r="G847" s="39"/>
      <c r="H847" s="40"/>
      <c r="I847" s="40"/>
      <c r="J847" s="40"/>
      <c r="K847" s="41"/>
      <c r="L847" s="39"/>
      <c r="M847" s="48" t="str">
        <f aca="false">IF($E847="","",IFERROR(INDEX(Parâmetros!$C$15:$C$20,MATCH($P847,Parâmetros!$B$15:$B$20,0)),""))</f>
        <v/>
      </c>
      <c r="N847" s="46" t="str">
        <f aca="false">IF($E847="","",IF($P847="","",IF($P847&gt;=8,"Alta",IF($P847&gt;=5,"Média","Baixa"))))</f>
        <v/>
      </c>
      <c r="O847" s="46" t="str">
        <f aca="false">IF($E847="","",IF(AND(Parâmetros!$C$5&gt;0,$P847&lt;&gt;"",$P847&gt;=Parâmetros!$C$5),"Sim","Não"))</f>
        <v/>
      </c>
      <c r="P847" s="45" t="str">
        <f aca="false">IF($E847="","",IF($G847="","",IF($G847="NOK",$F847,0)))</f>
        <v/>
      </c>
      <c r="Q847" s="46" t="str">
        <f aca="false">IF($E847="","",IF($O847&lt;&gt;"Sim","",COUNTIF($O$3:$O847,"Sim")))</f>
        <v/>
      </c>
      <c r="R847" s="47" t="n">
        <f aca="false">IF($P847="",0,$P847)</f>
        <v>0</v>
      </c>
    </row>
    <row r="848" customFormat="false" ht="18" hidden="false" customHeight="true" outlineLevel="0" collapsed="false">
      <c r="A848" s="39"/>
      <c r="B848" s="41"/>
      <c r="C848" s="40"/>
      <c r="D848" s="40"/>
      <c r="E848" s="40"/>
      <c r="F848" s="42"/>
      <c r="G848" s="39"/>
      <c r="H848" s="40"/>
      <c r="I848" s="40"/>
      <c r="J848" s="40"/>
      <c r="K848" s="41"/>
      <c r="L848" s="39"/>
      <c r="M848" s="48" t="str">
        <f aca="false">IF($E848="","",IFERROR(INDEX(Parâmetros!$C$15:$C$20,MATCH($P848,Parâmetros!$B$15:$B$20,0)),""))</f>
        <v/>
      </c>
      <c r="N848" s="46" t="str">
        <f aca="false">IF($E848="","",IF($P848="","",IF($P848&gt;=8,"Alta",IF($P848&gt;=5,"Média","Baixa"))))</f>
        <v/>
      </c>
      <c r="O848" s="46" t="str">
        <f aca="false">IF($E848="","",IF(AND(Parâmetros!$C$5&gt;0,$P848&lt;&gt;"",$P848&gt;=Parâmetros!$C$5),"Sim","Não"))</f>
        <v/>
      </c>
      <c r="P848" s="45" t="str">
        <f aca="false">IF($E848="","",IF($G848="","",IF($G848="NOK",$F848,0)))</f>
        <v/>
      </c>
      <c r="Q848" s="46" t="str">
        <f aca="false">IF($E848="","",IF($O848&lt;&gt;"Sim","",COUNTIF($O$3:$O848,"Sim")))</f>
        <v/>
      </c>
      <c r="R848" s="47" t="n">
        <f aca="false">IF($P848="",0,$P848)</f>
        <v>0</v>
      </c>
    </row>
    <row r="849" customFormat="false" ht="18" hidden="false" customHeight="true" outlineLevel="0" collapsed="false">
      <c r="A849" s="39"/>
      <c r="B849" s="41"/>
      <c r="C849" s="40"/>
      <c r="D849" s="40"/>
      <c r="E849" s="40"/>
      <c r="F849" s="42"/>
      <c r="G849" s="39"/>
      <c r="H849" s="40"/>
      <c r="I849" s="40"/>
      <c r="J849" s="40"/>
      <c r="K849" s="41"/>
      <c r="L849" s="39"/>
      <c r="M849" s="48" t="str">
        <f aca="false">IF($E849="","",IFERROR(INDEX(Parâmetros!$C$15:$C$20,MATCH($P849,Parâmetros!$B$15:$B$20,0)),""))</f>
        <v/>
      </c>
      <c r="N849" s="46" t="str">
        <f aca="false">IF($E849="","",IF($P849="","",IF($P849&gt;=8,"Alta",IF($P849&gt;=5,"Média","Baixa"))))</f>
        <v/>
      </c>
      <c r="O849" s="46" t="str">
        <f aca="false">IF($E849="","",IF(AND(Parâmetros!$C$5&gt;0,$P849&lt;&gt;"",$P849&gt;=Parâmetros!$C$5),"Sim","Não"))</f>
        <v/>
      </c>
      <c r="P849" s="45" t="str">
        <f aca="false">IF($E849="","",IF($G849="","",IF($G849="NOK",$F849,0)))</f>
        <v/>
      </c>
      <c r="Q849" s="46" t="str">
        <f aca="false">IF($E849="","",IF($O849&lt;&gt;"Sim","",COUNTIF($O$3:$O849,"Sim")))</f>
        <v/>
      </c>
      <c r="R849" s="47" t="n">
        <f aca="false">IF($P849="",0,$P849)</f>
        <v>0</v>
      </c>
    </row>
    <row r="850" customFormat="false" ht="18" hidden="false" customHeight="true" outlineLevel="0" collapsed="false">
      <c r="A850" s="39"/>
      <c r="B850" s="41"/>
      <c r="C850" s="40"/>
      <c r="D850" s="40"/>
      <c r="E850" s="40"/>
      <c r="F850" s="42"/>
      <c r="G850" s="39"/>
      <c r="H850" s="40"/>
      <c r="I850" s="40"/>
      <c r="J850" s="40"/>
      <c r="K850" s="41"/>
      <c r="L850" s="39"/>
      <c r="M850" s="48" t="str">
        <f aca="false">IF($E850="","",IFERROR(INDEX(Parâmetros!$C$15:$C$20,MATCH($P850,Parâmetros!$B$15:$B$20,0)),""))</f>
        <v/>
      </c>
      <c r="N850" s="46" t="str">
        <f aca="false">IF($E850="","",IF($P850="","",IF($P850&gt;=8,"Alta",IF($P850&gt;=5,"Média","Baixa"))))</f>
        <v/>
      </c>
      <c r="O850" s="46" t="str">
        <f aca="false">IF($E850="","",IF(AND(Parâmetros!$C$5&gt;0,$P850&lt;&gt;"",$P850&gt;=Parâmetros!$C$5),"Sim","Não"))</f>
        <v/>
      </c>
      <c r="P850" s="45" t="str">
        <f aca="false">IF($E850="","",IF($G850="","",IF($G850="NOK",$F850,0)))</f>
        <v/>
      </c>
      <c r="Q850" s="46" t="str">
        <f aca="false">IF($E850="","",IF($O850&lt;&gt;"Sim","",COUNTIF($O$3:$O850,"Sim")))</f>
        <v/>
      </c>
      <c r="R850" s="47" t="n">
        <f aca="false">IF($P850="",0,$P850)</f>
        <v>0</v>
      </c>
    </row>
    <row r="851" customFormat="false" ht="18" hidden="false" customHeight="true" outlineLevel="0" collapsed="false">
      <c r="A851" s="39"/>
      <c r="B851" s="41"/>
      <c r="C851" s="40"/>
      <c r="D851" s="40"/>
      <c r="E851" s="40"/>
      <c r="F851" s="42"/>
      <c r="G851" s="39"/>
      <c r="H851" s="40"/>
      <c r="I851" s="40"/>
      <c r="J851" s="40"/>
      <c r="K851" s="41"/>
      <c r="L851" s="39"/>
      <c r="M851" s="48" t="str">
        <f aca="false">IF($E851="","",IFERROR(INDEX(Parâmetros!$C$15:$C$20,MATCH($P851,Parâmetros!$B$15:$B$20,0)),""))</f>
        <v/>
      </c>
      <c r="N851" s="46" t="str">
        <f aca="false">IF($E851="","",IF($P851="","",IF($P851&gt;=8,"Alta",IF($P851&gt;=5,"Média","Baixa"))))</f>
        <v/>
      </c>
      <c r="O851" s="46" t="str">
        <f aca="false">IF($E851="","",IF(AND(Parâmetros!$C$5&gt;0,$P851&lt;&gt;"",$P851&gt;=Parâmetros!$C$5),"Sim","Não"))</f>
        <v/>
      </c>
      <c r="P851" s="45" t="str">
        <f aca="false">IF($E851="","",IF($G851="","",IF($G851="NOK",$F851,0)))</f>
        <v/>
      </c>
      <c r="Q851" s="46" t="str">
        <f aca="false">IF($E851="","",IF($O851&lt;&gt;"Sim","",COUNTIF($O$3:$O851,"Sim")))</f>
        <v/>
      </c>
      <c r="R851" s="47" t="n">
        <f aca="false">IF($P851="",0,$P851)</f>
        <v>0</v>
      </c>
    </row>
    <row r="852" customFormat="false" ht="18" hidden="false" customHeight="true" outlineLevel="0" collapsed="false">
      <c r="A852" s="39"/>
      <c r="B852" s="41"/>
      <c r="C852" s="40"/>
      <c r="D852" s="40"/>
      <c r="E852" s="40"/>
      <c r="F852" s="42"/>
      <c r="G852" s="39"/>
      <c r="H852" s="40"/>
      <c r="I852" s="40"/>
      <c r="J852" s="40"/>
      <c r="K852" s="41"/>
      <c r="L852" s="39"/>
      <c r="M852" s="48" t="str">
        <f aca="false">IF($E852="","",IFERROR(INDEX(Parâmetros!$C$15:$C$20,MATCH($P852,Parâmetros!$B$15:$B$20,0)),""))</f>
        <v/>
      </c>
      <c r="N852" s="46" t="str">
        <f aca="false">IF($E852="","",IF($P852="","",IF($P852&gt;=8,"Alta",IF($P852&gt;=5,"Média","Baixa"))))</f>
        <v/>
      </c>
      <c r="O852" s="46" t="str">
        <f aca="false">IF($E852="","",IF(AND(Parâmetros!$C$5&gt;0,$P852&lt;&gt;"",$P852&gt;=Parâmetros!$C$5),"Sim","Não"))</f>
        <v/>
      </c>
      <c r="P852" s="45" t="str">
        <f aca="false">IF($E852="","",IF($G852="","",IF($G852="NOK",$F852,0)))</f>
        <v/>
      </c>
      <c r="Q852" s="46" t="str">
        <f aca="false">IF($E852="","",IF($O852&lt;&gt;"Sim","",COUNTIF($O$3:$O852,"Sim")))</f>
        <v/>
      </c>
      <c r="R852" s="47" t="n">
        <f aca="false">IF($P852="",0,$P852)</f>
        <v>0</v>
      </c>
    </row>
    <row r="853" customFormat="false" ht="18" hidden="false" customHeight="true" outlineLevel="0" collapsed="false">
      <c r="A853" s="39"/>
      <c r="B853" s="41"/>
      <c r="C853" s="40"/>
      <c r="D853" s="40"/>
      <c r="E853" s="40"/>
      <c r="F853" s="42"/>
      <c r="G853" s="39"/>
      <c r="H853" s="40"/>
      <c r="I853" s="40"/>
      <c r="J853" s="40"/>
      <c r="K853" s="41"/>
      <c r="L853" s="39"/>
      <c r="M853" s="48" t="str">
        <f aca="false">IF($E853="","",IFERROR(INDEX(Parâmetros!$C$15:$C$20,MATCH($P853,Parâmetros!$B$15:$B$20,0)),""))</f>
        <v/>
      </c>
      <c r="N853" s="46" t="str">
        <f aca="false">IF($E853="","",IF($P853="","",IF($P853&gt;=8,"Alta",IF($P853&gt;=5,"Média","Baixa"))))</f>
        <v/>
      </c>
      <c r="O853" s="46" t="str">
        <f aca="false">IF($E853="","",IF(AND(Parâmetros!$C$5&gt;0,$P853&lt;&gt;"",$P853&gt;=Parâmetros!$C$5),"Sim","Não"))</f>
        <v/>
      </c>
      <c r="P853" s="45" t="str">
        <f aca="false">IF($E853="","",IF($G853="","",IF($G853="NOK",$F853,0)))</f>
        <v/>
      </c>
      <c r="Q853" s="46" t="str">
        <f aca="false">IF($E853="","",IF($O853&lt;&gt;"Sim","",COUNTIF($O$3:$O853,"Sim")))</f>
        <v/>
      </c>
      <c r="R853" s="47" t="n">
        <f aca="false">IF($P853="",0,$P853)</f>
        <v>0</v>
      </c>
    </row>
    <row r="854" customFormat="false" ht="18" hidden="false" customHeight="true" outlineLevel="0" collapsed="false">
      <c r="A854" s="39"/>
      <c r="B854" s="41"/>
      <c r="C854" s="40"/>
      <c r="D854" s="40"/>
      <c r="E854" s="40"/>
      <c r="F854" s="42"/>
      <c r="G854" s="39"/>
      <c r="H854" s="40"/>
      <c r="I854" s="40"/>
      <c r="J854" s="40"/>
      <c r="K854" s="41"/>
      <c r="L854" s="39"/>
      <c r="M854" s="48" t="str">
        <f aca="false">IF($E854="","",IFERROR(INDEX(Parâmetros!$C$15:$C$20,MATCH($P854,Parâmetros!$B$15:$B$20,0)),""))</f>
        <v/>
      </c>
      <c r="N854" s="46" t="str">
        <f aca="false">IF($E854="","",IF($P854="","",IF($P854&gt;=8,"Alta",IF($P854&gt;=5,"Média","Baixa"))))</f>
        <v/>
      </c>
      <c r="O854" s="46" t="str">
        <f aca="false">IF($E854="","",IF(AND(Parâmetros!$C$5&gt;0,$P854&lt;&gt;"",$P854&gt;=Parâmetros!$C$5),"Sim","Não"))</f>
        <v/>
      </c>
      <c r="P854" s="45" t="str">
        <f aca="false">IF($E854="","",IF($G854="","",IF($G854="NOK",$F854,0)))</f>
        <v/>
      </c>
      <c r="Q854" s="46" t="str">
        <f aca="false">IF($E854="","",IF($O854&lt;&gt;"Sim","",COUNTIF($O$3:$O854,"Sim")))</f>
        <v/>
      </c>
      <c r="R854" s="47" t="n">
        <f aca="false">IF($P854="",0,$P854)</f>
        <v>0</v>
      </c>
    </row>
    <row r="855" customFormat="false" ht="18" hidden="false" customHeight="true" outlineLevel="0" collapsed="false">
      <c r="A855" s="39"/>
      <c r="B855" s="41"/>
      <c r="C855" s="40"/>
      <c r="D855" s="40"/>
      <c r="E855" s="40"/>
      <c r="F855" s="42"/>
      <c r="G855" s="39"/>
      <c r="H855" s="40"/>
      <c r="I855" s="40"/>
      <c r="J855" s="40"/>
      <c r="K855" s="41"/>
      <c r="L855" s="39"/>
      <c r="M855" s="48" t="str">
        <f aca="false">IF($E855="","",IFERROR(INDEX(Parâmetros!$C$15:$C$20,MATCH($P855,Parâmetros!$B$15:$B$20,0)),""))</f>
        <v/>
      </c>
      <c r="N855" s="46" t="str">
        <f aca="false">IF($E855="","",IF($P855="","",IF($P855&gt;=8,"Alta",IF($P855&gt;=5,"Média","Baixa"))))</f>
        <v/>
      </c>
      <c r="O855" s="46" t="str">
        <f aca="false">IF($E855="","",IF(AND(Parâmetros!$C$5&gt;0,$P855&lt;&gt;"",$P855&gt;=Parâmetros!$C$5),"Sim","Não"))</f>
        <v/>
      </c>
      <c r="P855" s="45" t="str">
        <f aca="false">IF($E855="","",IF($G855="","",IF($G855="NOK",$F855,0)))</f>
        <v/>
      </c>
      <c r="Q855" s="46" t="str">
        <f aca="false">IF($E855="","",IF($O855&lt;&gt;"Sim","",COUNTIF($O$3:$O855,"Sim")))</f>
        <v/>
      </c>
      <c r="R855" s="47" t="n">
        <f aca="false">IF($P855="",0,$P855)</f>
        <v>0</v>
      </c>
    </row>
    <row r="856" customFormat="false" ht="18" hidden="false" customHeight="true" outlineLevel="0" collapsed="false">
      <c r="A856" s="39"/>
      <c r="B856" s="41"/>
      <c r="C856" s="40"/>
      <c r="D856" s="40"/>
      <c r="E856" s="40"/>
      <c r="F856" s="42"/>
      <c r="G856" s="39"/>
      <c r="H856" s="40"/>
      <c r="I856" s="40"/>
      <c r="J856" s="40"/>
      <c r="K856" s="41"/>
      <c r="L856" s="39"/>
      <c r="M856" s="48" t="str">
        <f aca="false">IF($E856="","",IFERROR(INDEX(Parâmetros!$C$15:$C$20,MATCH($P856,Parâmetros!$B$15:$B$20,0)),""))</f>
        <v/>
      </c>
      <c r="N856" s="46" t="str">
        <f aca="false">IF($E856="","",IF($P856="","",IF($P856&gt;=8,"Alta",IF($P856&gt;=5,"Média","Baixa"))))</f>
        <v/>
      </c>
      <c r="O856" s="46" t="str">
        <f aca="false">IF($E856="","",IF(AND(Parâmetros!$C$5&gt;0,$P856&lt;&gt;"",$P856&gt;=Parâmetros!$C$5),"Sim","Não"))</f>
        <v/>
      </c>
      <c r="P856" s="45" t="str">
        <f aca="false">IF($E856="","",IF($G856="","",IF($G856="NOK",$F856,0)))</f>
        <v/>
      </c>
      <c r="Q856" s="46" t="str">
        <f aca="false">IF($E856="","",IF($O856&lt;&gt;"Sim","",COUNTIF($O$3:$O856,"Sim")))</f>
        <v/>
      </c>
      <c r="R856" s="47" t="n">
        <f aca="false">IF($P856="",0,$P856)</f>
        <v>0</v>
      </c>
    </row>
    <row r="857" customFormat="false" ht="18" hidden="false" customHeight="true" outlineLevel="0" collapsed="false">
      <c r="A857" s="39"/>
      <c r="B857" s="41"/>
      <c r="C857" s="40"/>
      <c r="D857" s="40"/>
      <c r="E857" s="40"/>
      <c r="F857" s="42"/>
      <c r="G857" s="39"/>
      <c r="H857" s="40"/>
      <c r="I857" s="40"/>
      <c r="J857" s="40"/>
      <c r="K857" s="41"/>
      <c r="L857" s="39"/>
      <c r="M857" s="48" t="str">
        <f aca="false">IF($E857="","",IFERROR(INDEX(Parâmetros!$C$15:$C$20,MATCH($P857,Parâmetros!$B$15:$B$20,0)),""))</f>
        <v/>
      </c>
      <c r="N857" s="46" t="str">
        <f aca="false">IF($E857="","",IF($P857="","",IF($P857&gt;=8,"Alta",IF($P857&gt;=5,"Média","Baixa"))))</f>
        <v/>
      </c>
      <c r="O857" s="46" t="str">
        <f aca="false">IF($E857="","",IF(AND(Parâmetros!$C$5&gt;0,$P857&lt;&gt;"",$P857&gt;=Parâmetros!$C$5),"Sim","Não"))</f>
        <v/>
      </c>
      <c r="P857" s="45" t="str">
        <f aca="false">IF($E857="","",IF($G857="","",IF($G857="NOK",$F857,0)))</f>
        <v/>
      </c>
      <c r="Q857" s="46" t="str">
        <f aca="false">IF($E857="","",IF($O857&lt;&gt;"Sim","",COUNTIF($O$3:$O857,"Sim")))</f>
        <v/>
      </c>
      <c r="R857" s="47" t="n">
        <f aca="false">IF($P857="",0,$P857)</f>
        <v>0</v>
      </c>
    </row>
    <row r="858" customFormat="false" ht="18" hidden="false" customHeight="true" outlineLevel="0" collapsed="false">
      <c r="A858" s="39"/>
      <c r="B858" s="41"/>
      <c r="C858" s="40"/>
      <c r="D858" s="40"/>
      <c r="E858" s="40"/>
      <c r="F858" s="42"/>
      <c r="G858" s="39"/>
      <c r="H858" s="40"/>
      <c r="I858" s="40"/>
      <c r="J858" s="40"/>
      <c r="K858" s="41"/>
      <c r="L858" s="39"/>
      <c r="M858" s="48" t="str">
        <f aca="false">IF($E858="","",IFERROR(INDEX(Parâmetros!$C$15:$C$20,MATCH($P858,Parâmetros!$B$15:$B$20,0)),""))</f>
        <v/>
      </c>
      <c r="N858" s="46" t="str">
        <f aca="false">IF($E858="","",IF($P858="","",IF($P858&gt;=8,"Alta",IF($P858&gt;=5,"Média","Baixa"))))</f>
        <v/>
      </c>
      <c r="O858" s="46" t="str">
        <f aca="false">IF($E858="","",IF(AND(Parâmetros!$C$5&gt;0,$P858&lt;&gt;"",$P858&gt;=Parâmetros!$C$5),"Sim","Não"))</f>
        <v/>
      </c>
      <c r="P858" s="45" t="str">
        <f aca="false">IF($E858="","",IF($G858="","",IF($G858="NOK",$F858,0)))</f>
        <v/>
      </c>
      <c r="Q858" s="46" t="str">
        <f aca="false">IF($E858="","",IF($O858&lt;&gt;"Sim","",COUNTIF($O$3:$O858,"Sim")))</f>
        <v/>
      </c>
      <c r="R858" s="47" t="n">
        <f aca="false">IF($P858="",0,$P858)</f>
        <v>0</v>
      </c>
    </row>
    <row r="859" customFormat="false" ht="18" hidden="false" customHeight="true" outlineLevel="0" collapsed="false">
      <c r="A859" s="39"/>
      <c r="B859" s="41"/>
      <c r="C859" s="40"/>
      <c r="D859" s="40"/>
      <c r="E859" s="40"/>
      <c r="F859" s="42"/>
      <c r="G859" s="39"/>
      <c r="H859" s="40"/>
      <c r="I859" s="40"/>
      <c r="J859" s="40"/>
      <c r="K859" s="41"/>
      <c r="L859" s="39"/>
      <c r="M859" s="48" t="str">
        <f aca="false">IF($E859="","",IFERROR(INDEX(Parâmetros!$C$15:$C$20,MATCH($P859,Parâmetros!$B$15:$B$20,0)),""))</f>
        <v/>
      </c>
      <c r="N859" s="46" t="str">
        <f aca="false">IF($E859="","",IF($P859="","",IF($P859&gt;=8,"Alta",IF($P859&gt;=5,"Média","Baixa"))))</f>
        <v/>
      </c>
      <c r="O859" s="46" t="str">
        <f aca="false">IF($E859="","",IF(AND(Parâmetros!$C$5&gt;0,$P859&lt;&gt;"",$P859&gt;=Parâmetros!$C$5),"Sim","Não"))</f>
        <v/>
      </c>
      <c r="P859" s="45" t="str">
        <f aca="false">IF($E859="","",IF($G859="","",IF($G859="NOK",$F859,0)))</f>
        <v/>
      </c>
      <c r="Q859" s="46" t="str">
        <f aca="false">IF($E859="","",IF($O859&lt;&gt;"Sim","",COUNTIF($O$3:$O859,"Sim")))</f>
        <v/>
      </c>
      <c r="R859" s="47" t="n">
        <f aca="false">IF($P859="",0,$P859)</f>
        <v>0</v>
      </c>
    </row>
    <row r="860" customFormat="false" ht="18" hidden="false" customHeight="true" outlineLevel="0" collapsed="false">
      <c r="A860" s="39"/>
      <c r="B860" s="41"/>
      <c r="C860" s="40"/>
      <c r="D860" s="40"/>
      <c r="E860" s="40"/>
      <c r="F860" s="42"/>
      <c r="G860" s="39"/>
      <c r="H860" s="40"/>
      <c r="I860" s="40"/>
      <c r="J860" s="40"/>
      <c r="K860" s="41"/>
      <c r="L860" s="39"/>
      <c r="M860" s="48" t="str">
        <f aca="false">IF($E860="","",IFERROR(INDEX(Parâmetros!$C$15:$C$20,MATCH($P860,Parâmetros!$B$15:$B$20,0)),""))</f>
        <v/>
      </c>
      <c r="N860" s="46" t="str">
        <f aca="false">IF($E860="","",IF($P860="","",IF($P860&gt;=8,"Alta",IF($P860&gt;=5,"Média","Baixa"))))</f>
        <v/>
      </c>
      <c r="O860" s="46" t="str">
        <f aca="false">IF($E860="","",IF(AND(Parâmetros!$C$5&gt;0,$P860&lt;&gt;"",$P860&gt;=Parâmetros!$C$5),"Sim","Não"))</f>
        <v/>
      </c>
      <c r="P860" s="45" t="str">
        <f aca="false">IF($E860="","",IF($G860="","",IF($G860="NOK",$F860,0)))</f>
        <v/>
      </c>
      <c r="Q860" s="46" t="str">
        <f aca="false">IF($E860="","",IF($O860&lt;&gt;"Sim","",COUNTIF($O$3:$O860,"Sim")))</f>
        <v/>
      </c>
      <c r="R860" s="47" t="n">
        <f aca="false">IF($P860="",0,$P860)</f>
        <v>0</v>
      </c>
    </row>
    <row r="861" customFormat="false" ht="18" hidden="false" customHeight="true" outlineLevel="0" collapsed="false">
      <c r="A861" s="39"/>
      <c r="B861" s="41"/>
      <c r="C861" s="40"/>
      <c r="D861" s="40"/>
      <c r="E861" s="40"/>
      <c r="F861" s="42"/>
      <c r="G861" s="39"/>
      <c r="H861" s="40"/>
      <c r="I861" s="40"/>
      <c r="J861" s="40"/>
      <c r="K861" s="41"/>
      <c r="L861" s="39"/>
      <c r="M861" s="48" t="str">
        <f aca="false">IF($E861="","",IFERROR(INDEX(Parâmetros!$C$15:$C$20,MATCH($P861,Parâmetros!$B$15:$B$20,0)),""))</f>
        <v/>
      </c>
      <c r="N861" s="46" t="str">
        <f aca="false">IF($E861="","",IF($P861="","",IF($P861&gt;=8,"Alta",IF($P861&gt;=5,"Média","Baixa"))))</f>
        <v/>
      </c>
      <c r="O861" s="46" t="str">
        <f aca="false">IF($E861="","",IF(AND(Parâmetros!$C$5&gt;0,$P861&lt;&gt;"",$P861&gt;=Parâmetros!$C$5),"Sim","Não"))</f>
        <v/>
      </c>
      <c r="P861" s="45" t="str">
        <f aca="false">IF($E861="","",IF($G861="","",IF($G861="NOK",$F861,0)))</f>
        <v/>
      </c>
      <c r="Q861" s="46" t="str">
        <f aca="false">IF($E861="","",IF($O861&lt;&gt;"Sim","",COUNTIF($O$3:$O861,"Sim")))</f>
        <v/>
      </c>
      <c r="R861" s="47" t="n">
        <f aca="false">IF($P861="",0,$P861)</f>
        <v>0</v>
      </c>
    </row>
    <row r="862" customFormat="false" ht="18" hidden="false" customHeight="true" outlineLevel="0" collapsed="false">
      <c r="A862" s="39"/>
      <c r="B862" s="41"/>
      <c r="C862" s="40"/>
      <c r="D862" s="40"/>
      <c r="E862" s="40"/>
      <c r="F862" s="42"/>
      <c r="G862" s="39"/>
      <c r="H862" s="40"/>
      <c r="I862" s="40"/>
      <c r="J862" s="40"/>
      <c r="K862" s="41"/>
      <c r="L862" s="39"/>
      <c r="M862" s="48" t="str">
        <f aca="false">IF($E862="","",IFERROR(INDEX(Parâmetros!$C$15:$C$20,MATCH($P862,Parâmetros!$B$15:$B$20,0)),""))</f>
        <v/>
      </c>
      <c r="N862" s="46" t="str">
        <f aca="false">IF($E862="","",IF($P862="","",IF($P862&gt;=8,"Alta",IF($P862&gt;=5,"Média","Baixa"))))</f>
        <v/>
      </c>
      <c r="O862" s="46" t="str">
        <f aca="false">IF($E862="","",IF(AND(Parâmetros!$C$5&gt;0,$P862&lt;&gt;"",$P862&gt;=Parâmetros!$C$5),"Sim","Não"))</f>
        <v/>
      </c>
      <c r="P862" s="45" t="str">
        <f aca="false">IF($E862="","",IF($G862="","",IF($G862="NOK",$F862,0)))</f>
        <v/>
      </c>
      <c r="Q862" s="46" t="str">
        <f aca="false">IF($E862="","",IF($O862&lt;&gt;"Sim","",COUNTIF($O$3:$O862,"Sim")))</f>
        <v/>
      </c>
      <c r="R862" s="47" t="n">
        <f aca="false">IF($P862="",0,$P862)</f>
        <v>0</v>
      </c>
    </row>
    <row r="863" customFormat="false" ht="18" hidden="false" customHeight="true" outlineLevel="0" collapsed="false">
      <c r="A863" s="39"/>
      <c r="B863" s="41"/>
      <c r="C863" s="40"/>
      <c r="D863" s="40"/>
      <c r="E863" s="40"/>
      <c r="F863" s="42"/>
      <c r="G863" s="39"/>
      <c r="H863" s="40"/>
      <c r="I863" s="40"/>
      <c r="J863" s="40"/>
      <c r="K863" s="41"/>
      <c r="L863" s="39"/>
      <c r="M863" s="48" t="str">
        <f aca="false">IF($E863="","",IFERROR(INDEX(Parâmetros!$C$15:$C$20,MATCH($P863,Parâmetros!$B$15:$B$20,0)),""))</f>
        <v/>
      </c>
      <c r="N863" s="46" t="str">
        <f aca="false">IF($E863="","",IF($P863="","",IF($P863&gt;=8,"Alta",IF($P863&gt;=5,"Média","Baixa"))))</f>
        <v/>
      </c>
      <c r="O863" s="46" t="str">
        <f aca="false">IF($E863="","",IF(AND(Parâmetros!$C$5&gt;0,$P863&lt;&gt;"",$P863&gt;=Parâmetros!$C$5),"Sim","Não"))</f>
        <v/>
      </c>
      <c r="P863" s="45" t="str">
        <f aca="false">IF($E863="","",IF($G863="","",IF($G863="NOK",$F863,0)))</f>
        <v/>
      </c>
      <c r="Q863" s="46" t="str">
        <f aca="false">IF($E863="","",IF($O863&lt;&gt;"Sim","",COUNTIF($O$3:$O863,"Sim")))</f>
        <v/>
      </c>
      <c r="R863" s="47" t="n">
        <f aca="false">IF($P863="",0,$P863)</f>
        <v>0</v>
      </c>
    </row>
    <row r="864" customFormat="false" ht="18" hidden="false" customHeight="true" outlineLevel="0" collapsed="false">
      <c r="A864" s="39"/>
      <c r="B864" s="41"/>
      <c r="C864" s="40"/>
      <c r="D864" s="40"/>
      <c r="E864" s="40"/>
      <c r="F864" s="42"/>
      <c r="G864" s="39"/>
      <c r="H864" s="40"/>
      <c r="I864" s="40"/>
      <c r="J864" s="40"/>
      <c r="K864" s="41"/>
      <c r="L864" s="39"/>
      <c r="M864" s="48" t="str">
        <f aca="false">IF($E864="","",IFERROR(INDEX(Parâmetros!$C$15:$C$20,MATCH($P864,Parâmetros!$B$15:$B$20,0)),""))</f>
        <v/>
      </c>
      <c r="N864" s="46" t="str">
        <f aca="false">IF($E864="","",IF($P864="","",IF($P864&gt;=8,"Alta",IF($P864&gt;=5,"Média","Baixa"))))</f>
        <v/>
      </c>
      <c r="O864" s="46" t="str">
        <f aca="false">IF($E864="","",IF(AND(Parâmetros!$C$5&gt;0,$P864&lt;&gt;"",$P864&gt;=Parâmetros!$C$5),"Sim","Não"))</f>
        <v/>
      </c>
      <c r="P864" s="45" t="str">
        <f aca="false">IF($E864="","",IF($G864="","",IF($G864="NOK",$F864,0)))</f>
        <v/>
      </c>
      <c r="Q864" s="46" t="str">
        <f aca="false">IF($E864="","",IF($O864&lt;&gt;"Sim","",COUNTIF($O$3:$O864,"Sim")))</f>
        <v/>
      </c>
      <c r="R864" s="47" t="n">
        <f aca="false">IF($P864="",0,$P864)</f>
        <v>0</v>
      </c>
    </row>
    <row r="865" customFormat="false" ht="18" hidden="false" customHeight="true" outlineLevel="0" collapsed="false">
      <c r="A865" s="39"/>
      <c r="B865" s="41"/>
      <c r="C865" s="40"/>
      <c r="D865" s="40"/>
      <c r="E865" s="40"/>
      <c r="F865" s="42"/>
      <c r="G865" s="39"/>
      <c r="H865" s="40"/>
      <c r="I865" s="40"/>
      <c r="J865" s="40"/>
      <c r="K865" s="41"/>
      <c r="L865" s="39"/>
      <c r="M865" s="48" t="str">
        <f aca="false">IF($E865="","",IFERROR(INDEX(Parâmetros!$C$15:$C$20,MATCH($P865,Parâmetros!$B$15:$B$20,0)),""))</f>
        <v/>
      </c>
      <c r="N865" s="46" t="str">
        <f aca="false">IF($E865="","",IF($P865="","",IF($P865&gt;=8,"Alta",IF($P865&gt;=5,"Média","Baixa"))))</f>
        <v/>
      </c>
      <c r="O865" s="46" t="str">
        <f aca="false">IF($E865="","",IF(AND(Parâmetros!$C$5&gt;0,$P865&lt;&gt;"",$P865&gt;=Parâmetros!$C$5),"Sim","Não"))</f>
        <v/>
      </c>
      <c r="P865" s="45" t="str">
        <f aca="false">IF($E865="","",IF($G865="","",IF($G865="NOK",$F865,0)))</f>
        <v/>
      </c>
      <c r="Q865" s="46" t="str">
        <f aca="false">IF($E865="","",IF($O865&lt;&gt;"Sim","",COUNTIF($O$3:$O865,"Sim")))</f>
        <v/>
      </c>
      <c r="R865" s="47" t="n">
        <f aca="false">IF($P865="",0,$P865)</f>
        <v>0</v>
      </c>
    </row>
    <row r="866" customFormat="false" ht="18" hidden="false" customHeight="true" outlineLevel="0" collapsed="false">
      <c r="A866" s="39"/>
      <c r="B866" s="41"/>
      <c r="C866" s="40"/>
      <c r="D866" s="40"/>
      <c r="E866" s="40"/>
      <c r="F866" s="42"/>
      <c r="G866" s="39"/>
      <c r="H866" s="40"/>
      <c r="I866" s="40"/>
      <c r="J866" s="40"/>
      <c r="K866" s="41"/>
      <c r="L866" s="39"/>
      <c r="M866" s="48" t="str">
        <f aca="false">IF($E866="","",IFERROR(INDEX(Parâmetros!$C$15:$C$20,MATCH($P866,Parâmetros!$B$15:$B$20,0)),""))</f>
        <v/>
      </c>
      <c r="N866" s="46" t="str">
        <f aca="false">IF($E866="","",IF($P866="","",IF($P866&gt;=8,"Alta",IF($P866&gt;=5,"Média","Baixa"))))</f>
        <v/>
      </c>
      <c r="O866" s="46" t="str">
        <f aca="false">IF($E866="","",IF(AND(Parâmetros!$C$5&gt;0,$P866&lt;&gt;"",$P866&gt;=Parâmetros!$C$5),"Sim","Não"))</f>
        <v/>
      </c>
      <c r="P866" s="45" t="str">
        <f aca="false">IF($E866="","",IF($G866="","",IF($G866="NOK",$F866,0)))</f>
        <v/>
      </c>
      <c r="Q866" s="46" t="str">
        <f aca="false">IF($E866="","",IF($O866&lt;&gt;"Sim","",COUNTIF($O$3:$O866,"Sim")))</f>
        <v/>
      </c>
      <c r="R866" s="47" t="n">
        <f aca="false">IF($P866="",0,$P866)</f>
        <v>0</v>
      </c>
    </row>
    <row r="867" customFormat="false" ht="18" hidden="false" customHeight="true" outlineLevel="0" collapsed="false">
      <c r="A867" s="39"/>
      <c r="B867" s="41"/>
      <c r="C867" s="40"/>
      <c r="D867" s="40"/>
      <c r="E867" s="40"/>
      <c r="F867" s="42"/>
      <c r="G867" s="39"/>
      <c r="H867" s="40"/>
      <c r="I867" s="40"/>
      <c r="J867" s="40"/>
      <c r="K867" s="41"/>
      <c r="L867" s="39"/>
      <c r="M867" s="48" t="str">
        <f aca="false">IF($E867="","",IFERROR(INDEX(Parâmetros!$C$15:$C$20,MATCH($P867,Parâmetros!$B$15:$B$20,0)),""))</f>
        <v/>
      </c>
      <c r="N867" s="46" t="str">
        <f aca="false">IF($E867="","",IF($P867="","",IF($P867&gt;=8,"Alta",IF($P867&gt;=5,"Média","Baixa"))))</f>
        <v/>
      </c>
      <c r="O867" s="46" t="str">
        <f aca="false">IF($E867="","",IF(AND(Parâmetros!$C$5&gt;0,$P867&lt;&gt;"",$P867&gt;=Parâmetros!$C$5),"Sim","Não"))</f>
        <v/>
      </c>
      <c r="P867" s="45" t="str">
        <f aca="false">IF($E867="","",IF($G867="","",IF($G867="NOK",$F867,0)))</f>
        <v/>
      </c>
      <c r="Q867" s="46" t="str">
        <f aca="false">IF($E867="","",IF($O867&lt;&gt;"Sim","",COUNTIF($O$3:$O867,"Sim")))</f>
        <v/>
      </c>
      <c r="R867" s="47" t="n">
        <f aca="false">IF($P867="",0,$P867)</f>
        <v>0</v>
      </c>
    </row>
    <row r="868" customFormat="false" ht="18" hidden="false" customHeight="true" outlineLevel="0" collapsed="false">
      <c r="A868" s="39"/>
      <c r="B868" s="41"/>
      <c r="C868" s="40"/>
      <c r="D868" s="40"/>
      <c r="E868" s="40"/>
      <c r="F868" s="42"/>
      <c r="G868" s="39"/>
      <c r="H868" s="40"/>
      <c r="I868" s="40"/>
      <c r="J868" s="40"/>
      <c r="K868" s="41"/>
      <c r="L868" s="39"/>
      <c r="M868" s="48" t="str">
        <f aca="false">IF($E868="","",IFERROR(INDEX(Parâmetros!$C$15:$C$20,MATCH($P868,Parâmetros!$B$15:$B$20,0)),""))</f>
        <v/>
      </c>
      <c r="N868" s="46" t="str">
        <f aca="false">IF($E868="","",IF($P868="","",IF($P868&gt;=8,"Alta",IF($P868&gt;=5,"Média","Baixa"))))</f>
        <v/>
      </c>
      <c r="O868" s="46" t="str">
        <f aca="false">IF($E868="","",IF(AND(Parâmetros!$C$5&gt;0,$P868&lt;&gt;"",$P868&gt;=Parâmetros!$C$5),"Sim","Não"))</f>
        <v/>
      </c>
      <c r="P868" s="45" t="str">
        <f aca="false">IF($E868="","",IF($G868="","",IF($G868="NOK",$F868,0)))</f>
        <v/>
      </c>
      <c r="Q868" s="46" t="str">
        <f aca="false">IF($E868="","",IF($O868&lt;&gt;"Sim","",COUNTIF($O$3:$O868,"Sim")))</f>
        <v/>
      </c>
      <c r="R868" s="47" t="n">
        <f aca="false">IF($P868="",0,$P868)</f>
        <v>0</v>
      </c>
    </row>
    <row r="869" customFormat="false" ht="18" hidden="false" customHeight="true" outlineLevel="0" collapsed="false">
      <c r="A869" s="39"/>
      <c r="B869" s="41"/>
      <c r="C869" s="40"/>
      <c r="D869" s="40"/>
      <c r="E869" s="40"/>
      <c r="F869" s="42"/>
      <c r="G869" s="39"/>
      <c r="H869" s="40"/>
      <c r="I869" s="40"/>
      <c r="J869" s="40"/>
      <c r="K869" s="41"/>
      <c r="L869" s="39"/>
      <c r="M869" s="48" t="str">
        <f aca="false">IF($E869="","",IFERROR(INDEX(Parâmetros!$C$15:$C$20,MATCH($P869,Parâmetros!$B$15:$B$20,0)),""))</f>
        <v/>
      </c>
      <c r="N869" s="46" t="str">
        <f aca="false">IF($E869="","",IF($P869="","",IF($P869&gt;=8,"Alta",IF($P869&gt;=5,"Média","Baixa"))))</f>
        <v/>
      </c>
      <c r="O869" s="46" t="str">
        <f aca="false">IF($E869="","",IF(AND(Parâmetros!$C$5&gt;0,$P869&lt;&gt;"",$P869&gt;=Parâmetros!$C$5),"Sim","Não"))</f>
        <v/>
      </c>
      <c r="P869" s="45" t="str">
        <f aca="false">IF($E869="","",IF($G869="","",IF($G869="NOK",$F869,0)))</f>
        <v/>
      </c>
      <c r="Q869" s="46" t="str">
        <f aca="false">IF($E869="","",IF($O869&lt;&gt;"Sim","",COUNTIF($O$3:$O869,"Sim")))</f>
        <v/>
      </c>
      <c r="R869" s="47" t="n">
        <f aca="false">IF($P869="",0,$P869)</f>
        <v>0</v>
      </c>
    </row>
    <row r="870" customFormat="false" ht="18" hidden="false" customHeight="true" outlineLevel="0" collapsed="false">
      <c r="A870" s="39"/>
      <c r="B870" s="41"/>
      <c r="C870" s="40"/>
      <c r="D870" s="40"/>
      <c r="E870" s="40"/>
      <c r="F870" s="42"/>
      <c r="G870" s="39"/>
      <c r="H870" s="40"/>
      <c r="I870" s="40"/>
      <c r="J870" s="40"/>
      <c r="K870" s="41"/>
      <c r="L870" s="39"/>
      <c r="M870" s="48" t="str">
        <f aca="false">IF($E870="","",IFERROR(INDEX(Parâmetros!$C$15:$C$20,MATCH($P870,Parâmetros!$B$15:$B$20,0)),""))</f>
        <v/>
      </c>
      <c r="N870" s="46" t="str">
        <f aca="false">IF($E870="","",IF($P870="","",IF($P870&gt;=8,"Alta",IF($P870&gt;=5,"Média","Baixa"))))</f>
        <v/>
      </c>
      <c r="O870" s="46" t="str">
        <f aca="false">IF($E870="","",IF(AND(Parâmetros!$C$5&gt;0,$P870&lt;&gt;"",$P870&gt;=Parâmetros!$C$5),"Sim","Não"))</f>
        <v/>
      </c>
      <c r="P870" s="45" t="str">
        <f aca="false">IF($E870="","",IF($G870="","",IF($G870="NOK",$F870,0)))</f>
        <v/>
      </c>
      <c r="Q870" s="46" t="str">
        <f aca="false">IF($E870="","",IF($O870&lt;&gt;"Sim","",COUNTIF($O$3:$O870,"Sim")))</f>
        <v/>
      </c>
      <c r="R870" s="47" t="n">
        <f aca="false">IF($P870="",0,$P870)</f>
        <v>0</v>
      </c>
    </row>
    <row r="871" customFormat="false" ht="18" hidden="false" customHeight="true" outlineLevel="0" collapsed="false">
      <c r="A871" s="39"/>
      <c r="B871" s="41"/>
      <c r="C871" s="40"/>
      <c r="D871" s="40"/>
      <c r="E871" s="40"/>
      <c r="F871" s="42"/>
      <c r="G871" s="39"/>
      <c r="H871" s="40"/>
      <c r="I871" s="40"/>
      <c r="J871" s="40"/>
      <c r="K871" s="41"/>
      <c r="L871" s="39"/>
      <c r="M871" s="48" t="str">
        <f aca="false">IF($E871="","",IFERROR(INDEX(Parâmetros!$C$15:$C$20,MATCH($P871,Parâmetros!$B$15:$B$20,0)),""))</f>
        <v/>
      </c>
      <c r="N871" s="46" t="str">
        <f aca="false">IF($E871="","",IF($P871="","",IF($P871&gt;=8,"Alta",IF($P871&gt;=5,"Média","Baixa"))))</f>
        <v/>
      </c>
      <c r="O871" s="46" t="str">
        <f aca="false">IF($E871="","",IF(AND(Parâmetros!$C$5&gt;0,$P871&lt;&gt;"",$P871&gt;=Parâmetros!$C$5),"Sim","Não"))</f>
        <v/>
      </c>
      <c r="P871" s="45" t="str">
        <f aca="false">IF($E871="","",IF($G871="","",IF($G871="NOK",$F871,0)))</f>
        <v/>
      </c>
      <c r="Q871" s="46" t="str">
        <f aca="false">IF($E871="","",IF($O871&lt;&gt;"Sim","",COUNTIF($O$3:$O871,"Sim")))</f>
        <v/>
      </c>
      <c r="R871" s="47" t="n">
        <f aca="false">IF($P871="",0,$P871)</f>
        <v>0</v>
      </c>
    </row>
    <row r="872" customFormat="false" ht="18" hidden="false" customHeight="true" outlineLevel="0" collapsed="false">
      <c r="A872" s="39"/>
      <c r="B872" s="41"/>
      <c r="C872" s="40"/>
      <c r="D872" s="40"/>
      <c r="E872" s="40"/>
      <c r="F872" s="42"/>
      <c r="G872" s="39"/>
      <c r="H872" s="40"/>
      <c r="I872" s="40"/>
      <c r="J872" s="40"/>
      <c r="K872" s="41"/>
      <c r="L872" s="39"/>
      <c r="M872" s="48" t="str">
        <f aca="false">IF($E872="","",IFERROR(INDEX(Parâmetros!$C$15:$C$20,MATCH($P872,Parâmetros!$B$15:$B$20,0)),""))</f>
        <v/>
      </c>
      <c r="N872" s="46" t="str">
        <f aca="false">IF($E872="","",IF($P872="","",IF($P872&gt;=8,"Alta",IF($P872&gt;=5,"Média","Baixa"))))</f>
        <v/>
      </c>
      <c r="O872" s="46" t="str">
        <f aca="false">IF($E872="","",IF(AND(Parâmetros!$C$5&gt;0,$P872&lt;&gt;"",$P872&gt;=Parâmetros!$C$5),"Sim","Não"))</f>
        <v/>
      </c>
      <c r="P872" s="45" t="str">
        <f aca="false">IF($E872="","",IF($G872="","",IF($G872="NOK",$F872,0)))</f>
        <v/>
      </c>
      <c r="Q872" s="46" t="str">
        <f aca="false">IF($E872="","",IF($O872&lt;&gt;"Sim","",COUNTIF($O$3:$O872,"Sim")))</f>
        <v/>
      </c>
      <c r="R872" s="47" t="n">
        <f aca="false">IF($P872="",0,$P872)</f>
        <v>0</v>
      </c>
    </row>
    <row r="873" customFormat="false" ht="18" hidden="false" customHeight="true" outlineLevel="0" collapsed="false">
      <c r="A873" s="39"/>
      <c r="B873" s="41"/>
      <c r="C873" s="40"/>
      <c r="D873" s="40"/>
      <c r="E873" s="40"/>
      <c r="F873" s="42"/>
      <c r="G873" s="39"/>
      <c r="H873" s="40"/>
      <c r="I873" s="40"/>
      <c r="J873" s="40"/>
      <c r="K873" s="41"/>
      <c r="L873" s="39"/>
      <c r="M873" s="48" t="str">
        <f aca="false">IF($E873="","",IFERROR(INDEX(Parâmetros!$C$15:$C$20,MATCH($P873,Parâmetros!$B$15:$B$20,0)),""))</f>
        <v/>
      </c>
      <c r="N873" s="46" t="str">
        <f aca="false">IF($E873="","",IF($P873="","",IF($P873&gt;=8,"Alta",IF($P873&gt;=5,"Média","Baixa"))))</f>
        <v/>
      </c>
      <c r="O873" s="46" t="str">
        <f aca="false">IF($E873="","",IF(AND(Parâmetros!$C$5&gt;0,$P873&lt;&gt;"",$P873&gt;=Parâmetros!$C$5),"Sim","Não"))</f>
        <v/>
      </c>
      <c r="P873" s="45" t="str">
        <f aca="false">IF($E873="","",IF($G873="","",IF($G873="NOK",$F873,0)))</f>
        <v/>
      </c>
      <c r="Q873" s="46" t="str">
        <f aca="false">IF($E873="","",IF($O873&lt;&gt;"Sim","",COUNTIF($O$3:$O873,"Sim")))</f>
        <v/>
      </c>
      <c r="R873" s="47" t="n">
        <f aca="false">IF($P873="",0,$P873)</f>
        <v>0</v>
      </c>
    </row>
    <row r="874" customFormat="false" ht="18" hidden="false" customHeight="true" outlineLevel="0" collapsed="false">
      <c r="A874" s="39"/>
      <c r="B874" s="41"/>
      <c r="C874" s="40"/>
      <c r="D874" s="40"/>
      <c r="E874" s="40"/>
      <c r="F874" s="42"/>
      <c r="G874" s="39"/>
      <c r="H874" s="40"/>
      <c r="I874" s="40"/>
      <c r="J874" s="40"/>
      <c r="K874" s="41"/>
      <c r="L874" s="39"/>
      <c r="M874" s="48" t="str">
        <f aca="false">IF($E874="","",IFERROR(INDEX(Parâmetros!$C$15:$C$20,MATCH($P874,Parâmetros!$B$15:$B$20,0)),""))</f>
        <v/>
      </c>
      <c r="N874" s="46" t="str">
        <f aca="false">IF($E874="","",IF($P874="","",IF($P874&gt;=8,"Alta",IF($P874&gt;=5,"Média","Baixa"))))</f>
        <v/>
      </c>
      <c r="O874" s="46" t="str">
        <f aca="false">IF($E874="","",IF(AND(Parâmetros!$C$5&gt;0,$P874&lt;&gt;"",$P874&gt;=Parâmetros!$C$5),"Sim","Não"))</f>
        <v/>
      </c>
      <c r="P874" s="45" t="str">
        <f aca="false">IF($E874="","",IF($G874="","",IF($G874="NOK",$F874,0)))</f>
        <v/>
      </c>
      <c r="Q874" s="46" t="str">
        <f aca="false">IF($E874="","",IF($O874&lt;&gt;"Sim","",COUNTIF($O$3:$O874,"Sim")))</f>
        <v/>
      </c>
      <c r="R874" s="47" t="n">
        <f aca="false">IF($P874="",0,$P874)</f>
        <v>0</v>
      </c>
    </row>
    <row r="875" customFormat="false" ht="18" hidden="false" customHeight="true" outlineLevel="0" collapsed="false">
      <c r="A875" s="39"/>
      <c r="B875" s="41"/>
      <c r="C875" s="40"/>
      <c r="D875" s="40"/>
      <c r="E875" s="40"/>
      <c r="F875" s="42"/>
      <c r="G875" s="39"/>
      <c r="H875" s="40"/>
      <c r="I875" s="40"/>
      <c r="J875" s="40"/>
      <c r="K875" s="41"/>
      <c r="L875" s="39"/>
      <c r="M875" s="48" t="str">
        <f aca="false">IF($E875="","",IFERROR(INDEX(Parâmetros!$C$15:$C$20,MATCH($P875,Parâmetros!$B$15:$B$20,0)),""))</f>
        <v/>
      </c>
      <c r="N875" s="46" t="str">
        <f aca="false">IF($E875="","",IF($P875="","",IF($P875&gt;=8,"Alta",IF($P875&gt;=5,"Média","Baixa"))))</f>
        <v/>
      </c>
      <c r="O875" s="46" t="str">
        <f aca="false">IF($E875="","",IF(AND(Parâmetros!$C$5&gt;0,$P875&lt;&gt;"",$P875&gt;=Parâmetros!$C$5),"Sim","Não"))</f>
        <v/>
      </c>
      <c r="P875" s="45" t="str">
        <f aca="false">IF($E875="","",IF($G875="","",IF($G875="NOK",$F875,0)))</f>
        <v/>
      </c>
      <c r="Q875" s="46" t="str">
        <f aca="false">IF($E875="","",IF($O875&lt;&gt;"Sim","",COUNTIF($O$3:$O875,"Sim")))</f>
        <v/>
      </c>
      <c r="R875" s="47" t="n">
        <f aca="false">IF($P875="",0,$P875)</f>
        <v>0</v>
      </c>
    </row>
    <row r="876" customFormat="false" ht="18" hidden="false" customHeight="true" outlineLevel="0" collapsed="false">
      <c r="A876" s="39"/>
      <c r="B876" s="41"/>
      <c r="C876" s="40"/>
      <c r="D876" s="40"/>
      <c r="E876" s="40"/>
      <c r="F876" s="42"/>
      <c r="G876" s="39"/>
      <c r="H876" s="40"/>
      <c r="I876" s="40"/>
      <c r="J876" s="40"/>
      <c r="K876" s="41"/>
      <c r="L876" s="39"/>
      <c r="M876" s="48" t="str">
        <f aca="false">IF($E876="","",IFERROR(INDEX(Parâmetros!$C$15:$C$20,MATCH($P876,Parâmetros!$B$15:$B$20,0)),""))</f>
        <v/>
      </c>
      <c r="N876" s="46" t="str">
        <f aca="false">IF($E876="","",IF($P876="","",IF($P876&gt;=8,"Alta",IF($P876&gt;=5,"Média","Baixa"))))</f>
        <v/>
      </c>
      <c r="O876" s="46" t="str">
        <f aca="false">IF($E876="","",IF(AND(Parâmetros!$C$5&gt;0,$P876&lt;&gt;"",$P876&gt;=Parâmetros!$C$5),"Sim","Não"))</f>
        <v/>
      </c>
      <c r="P876" s="45" t="str">
        <f aca="false">IF($E876="","",IF($G876="","",IF($G876="NOK",$F876,0)))</f>
        <v/>
      </c>
      <c r="Q876" s="46" t="str">
        <f aca="false">IF($E876="","",IF($O876&lt;&gt;"Sim","",COUNTIF($O$3:$O876,"Sim")))</f>
        <v/>
      </c>
      <c r="R876" s="47" t="n">
        <f aca="false">IF($P876="",0,$P876)</f>
        <v>0</v>
      </c>
    </row>
    <row r="877" customFormat="false" ht="18" hidden="false" customHeight="true" outlineLevel="0" collapsed="false">
      <c r="A877" s="39"/>
      <c r="B877" s="41"/>
      <c r="C877" s="40"/>
      <c r="D877" s="40"/>
      <c r="E877" s="40"/>
      <c r="F877" s="42"/>
      <c r="G877" s="39"/>
      <c r="H877" s="40"/>
      <c r="I877" s="40"/>
      <c r="J877" s="40"/>
      <c r="K877" s="41"/>
      <c r="L877" s="39"/>
      <c r="M877" s="48" t="str">
        <f aca="false">IF($E877="","",IFERROR(INDEX(Parâmetros!$C$15:$C$20,MATCH($P877,Parâmetros!$B$15:$B$20,0)),""))</f>
        <v/>
      </c>
      <c r="N877" s="46" t="str">
        <f aca="false">IF($E877="","",IF($P877="","",IF($P877&gt;=8,"Alta",IF($P877&gt;=5,"Média","Baixa"))))</f>
        <v/>
      </c>
      <c r="O877" s="46" t="str">
        <f aca="false">IF($E877="","",IF(AND(Parâmetros!$C$5&gt;0,$P877&lt;&gt;"",$P877&gt;=Parâmetros!$C$5),"Sim","Não"))</f>
        <v/>
      </c>
      <c r="P877" s="45" t="str">
        <f aca="false">IF($E877="","",IF($G877="","",IF($G877="NOK",$F877,0)))</f>
        <v/>
      </c>
      <c r="Q877" s="46" t="str">
        <f aca="false">IF($E877="","",IF($O877&lt;&gt;"Sim","",COUNTIF($O$3:$O877,"Sim")))</f>
        <v/>
      </c>
      <c r="R877" s="47" t="n">
        <f aca="false">IF($P877="",0,$P877)</f>
        <v>0</v>
      </c>
    </row>
    <row r="878" customFormat="false" ht="18" hidden="false" customHeight="true" outlineLevel="0" collapsed="false">
      <c r="A878" s="39"/>
      <c r="B878" s="41"/>
      <c r="C878" s="40"/>
      <c r="D878" s="40"/>
      <c r="E878" s="40"/>
      <c r="F878" s="42"/>
      <c r="G878" s="39"/>
      <c r="H878" s="40"/>
      <c r="I878" s="40"/>
      <c r="J878" s="40"/>
      <c r="K878" s="41"/>
      <c r="L878" s="39"/>
      <c r="M878" s="48" t="str">
        <f aca="false">IF($E878="","",IFERROR(INDEX(Parâmetros!$C$15:$C$20,MATCH($P878,Parâmetros!$B$15:$B$20,0)),""))</f>
        <v/>
      </c>
      <c r="N878" s="46" t="str">
        <f aca="false">IF($E878="","",IF($P878="","",IF($P878&gt;=8,"Alta",IF($P878&gt;=5,"Média","Baixa"))))</f>
        <v/>
      </c>
      <c r="O878" s="46" t="str">
        <f aca="false">IF($E878="","",IF(AND(Parâmetros!$C$5&gt;0,$P878&lt;&gt;"",$P878&gt;=Parâmetros!$C$5),"Sim","Não"))</f>
        <v/>
      </c>
      <c r="P878" s="45" t="str">
        <f aca="false">IF($E878="","",IF($G878="","",IF($G878="NOK",$F878,0)))</f>
        <v/>
      </c>
      <c r="Q878" s="46" t="str">
        <f aca="false">IF($E878="","",IF($O878&lt;&gt;"Sim","",COUNTIF($O$3:$O878,"Sim")))</f>
        <v/>
      </c>
      <c r="R878" s="47" t="n">
        <f aca="false">IF($P878="",0,$P878)</f>
        <v>0</v>
      </c>
    </row>
    <row r="879" customFormat="false" ht="18" hidden="false" customHeight="true" outlineLevel="0" collapsed="false">
      <c r="A879" s="39"/>
      <c r="B879" s="41"/>
      <c r="C879" s="40"/>
      <c r="D879" s="40"/>
      <c r="E879" s="40"/>
      <c r="F879" s="42"/>
      <c r="G879" s="39"/>
      <c r="H879" s="40"/>
      <c r="I879" s="40"/>
      <c r="J879" s="40"/>
      <c r="K879" s="41"/>
      <c r="L879" s="39"/>
      <c r="M879" s="48" t="str">
        <f aca="false">IF($E879="","",IFERROR(INDEX(Parâmetros!$C$15:$C$20,MATCH($P879,Parâmetros!$B$15:$B$20,0)),""))</f>
        <v/>
      </c>
      <c r="N879" s="46" t="str">
        <f aca="false">IF($E879="","",IF($P879="","",IF($P879&gt;=8,"Alta",IF($P879&gt;=5,"Média","Baixa"))))</f>
        <v/>
      </c>
      <c r="O879" s="46" t="str">
        <f aca="false">IF($E879="","",IF(AND(Parâmetros!$C$5&gt;0,$P879&lt;&gt;"",$P879&gt;=Parâmetros!$C$5),"Sim","Não"))</f>
        <v/>
      </c>
      <c r="P879" s="45" t="str">
        <f aca="false">IF($E879="","",IF($G879="","",IF($G879="NOK",$F879,0)))</f>
        <v/>
      </c>
      <c r="Q879" s="46" t="str">
        <f aca="false">IF($E879="","",IF($O879&lt;&gt;"Sim","",COUNTIF($O$3:$O879,"Sim")))</f>
        <v/>
      </c>
      <c r="R879" s="47" t="n">
        <f aca="false">IF($P879="",0,$P879)</f>
        <v>0</v>
      </c>
    </row>
    <row r="880" customFormat="false" ht="18" hidden="false" customHeight="true" outlineLevel="0" collapsed="false">
      <c r="A880" s="39"/>
      <c r="B880" s="41"/>
      <c r="C880" s="40"/>
      <c r="D880" s="40"/>
      <c r="E880" s="40"/>
      <c r="F880" s="42"/>
      <c r="G880" s="39"/>
      <c r="H880" s="40"/>
      <c r="I880" s="40"/>
      <c r="J880" s="40"/>
      <c r="K880" s="41"/>
      <c r="L880" s="39"/>
      <c r="M880" s="48" t="str">
        <f aca="false">IF($E880="","",IFERROR(INDEX(Parâmetros!$C$15:$C$20,MATCH($P880,Parâmetros!$B$15:$B$20,0)),""))</f>
        <v/>
      </c>
      <c r="N880" s="46" t="str">
        <f aca="false">IF($E880="","",IF($P880="","",IF($P880&gt;=8,"Alta",IF($P880&gt;=5,"Média","Baixa"))))</f>
        <v/>
      </c>
      <c r="O880" s="46" t="str">
        <f aca="false">IF($E880="","",IF(AND(Parâmetros!$C$5&gt;0,$P880&lt;&gt;"",$P880&gt;=Parâmetros!$C$5),"Sim","Não"))</f>
        <v/>
      </c>
      <c r="P880" s="45" t="str">
        <f aca="false">IF($E880="","",IF($G880="","",IF($G880="NOK",$F880,0)))</f>
        <v/>
      </c>
      <c r="Q880" s="46" t="str">
        <f aca="false">IF($E880="","",IF($O880&lt;&gt;"Sim","",COUNTIF($O$3:$O880,"Sim")))</f>
        <v/>
      </c>
      <c r="R880" s="47" t="n">
        <f aca="false">IF($P880="",0,$P880)</f>
        <v>0</v>
      </c>
    </row>
    <row r="881" customFormat="false" ht="18" hidden="false" customHeight="true" outlineLevel="0" collapsed="false">
      <c r="A881" s="39"/>
      <c r="B881" s="41"/>
      <c r="C881" s="40"/>
      <c r="D881" s="40"/>
      <c r="E881" s="40"/>
      <c r="F881" s="42"/>
      <c r="G881" s="39"/>
      <c r="H881" s="40"/>
      <c r="I881" s="40"/>
      <c r="J881" s="40"/>
      <c r="K881" s="41"/>
      <c r="L881" s="39"/>
      <c r="M881" s="48" t="str">
        <f aca="false">IF($E881="","",IFERROR(INDEX(Parâmetros!$C$15:$C$20,MATCH($P881,Parâmetros!$B$15:$B$20,0)),""))</f>
        <v/>
      </c>
      <c r="N881" s="46" t="str">
        <f aca="false">IF($E881="","",IF($P881="","",IF($P881&gt;=8,"Alta",IF($P881&gt;=5,"Média","Baixa"))))</f>
        <v/>
      </c>
      <c r="O881" s="46" t="str">
        <f aca="false">IF($E881="","",IF(AND(Parâmetros!$C$5&gt;0,$P881&lt;&gt;"",$P881&gt;=Parâmetros!$C$5),"Sim","Não"))</f>
        <v/>
      </c>
      <c r="P881" s="45" t="str">
        <f aca="false">IF($E881="","",IF($G881="","",IF($G881="NOK",$F881,0)))</f>
        <v/>
      </c>
      <c r="Q881" s="46" t="str">
        <f aca="false">IF($E881="","",IF($O881&lt;&gt;"Sim","",COUNTIF($O$3:$O881,"Sim")))</f>
        <v/>
      </c>
      <c r="R881" s="47" t="n">
        <f aca="false">IF($P881="",0,$P881)</f>
        <v>0</v>
      </c>
    </row>
    <row r="882" customFormat="false" ht="18" hidden="false" customHeight="true" outlineLevel="0" collapsed="false">
      <c r="A882" s="39"/>
      <c r="B882" s="41"/>
      <c r="C882" s="40"/>
      <c r="D882" s="40"/>
      <c r="E882" s="40"/>
      <c r="F882" s="42"/>
      <c r="G882" s="39"/>
      <c r="H882" s="40"/>
      <c r="I882" s="40"/>
      <c r="J882" s="40"/>
      <c r="K882" s="41"/>
      <c r="L882" s="39"/>
      <c r="M882" s="48" t="str">
        <f aca="false">IF($E882="","",IFERROR(INDEX(Parâmetros!$C$15:$C$20,MATCH($P882,Parâmetros!$B$15:$B$20,0)),""))</f>
        <v/>
      </c>
      <c r="N882" s="46" t="str">
        <f aca="false">IF($E882="","",IF($P882="","",IF($P882&gt;=8,"Alta",IF($P882&gt;=5,"Média","Baixa"))))</f>
        <v/>
      </c>
      <c r="O882" s="46" t="str">
        <f aca="false">IF($E882="","",IF(AND(Parâmetros!$C$5&gt;0,$P882&lt;&gt;"",$P882&gt;=Parâmetros!$C$5),"Sim","Não"))</f>
        <v/>
      </c>
      <c r="P882" s="45" t="str">
        <f aca="false">IF($E882="","",IF($G882="","",IF($G882="NOK",$F882,0)))</f>
        <v/>
      </c>
      <c r="Q882" s="46" t="str">
        <f aca="false">IF($E882="","",IF($O882&lt;&gt;"Sim","",COUNTIF($O$3:$O882,"Sim")))</f>
        <v/>
      </c>
      <c r="R882" s="47" t="n">
        <f aca="false">IF($P882="",0,$P882)</f>
        <v>0</v>
      </c>
    </row>
    <row r="883" customFormat="false" ht="18" hidden="false" customHeight="true" outlineLevel="0" collapsed="false">
      <c r="A883" s="39"/>
      <c r="B883" s="41"/>
      <c r="C883" s="40"/>
      <c r="D883" s="40"/>
      <c r="E883" s="40"/>
      <c r="F883" s="42"/>
      <c r="G883" s="39"/>
      <c r="H883" s="40"/>
      <c r="I883" s="40"/>
      <c r="J883" s="40"/>
      <c r="K883" s="41"/>
      <c r="L883" s="39"/>
      <c r="M883" s="48" t="str">
        <f aca="false">IF($E883="","",IFERROR(INDEX(Parâmetros!$C$15:$C$20,MATCH($P883,Parâmetros!$B$15:$B$20,0)),""))</f>
        <v/>
      </c>
      <c r="N883" s="46" t="str">
        <f aca="false">IF($E883="","",IF($P883="","",IF($P883&gt;=8,"Alta",IF($P883&gt;=5,"Média","Baixa"))))</f>
        <v/>
      </c>
      <c r="O883" s="46" t="str">
        <f aca="false">IF($E883="","",IF(AND(Parâmetros!$C$5&gt;0,$P883&lt;&gt;"",$P883&gt;=Parâmetros!$C$5),"Sim","Não"))</f>
        <v/>
      </c>
      <c r="P883" s="45" t="str">
        <f aca="false">IF($E883="","",IF($G883="","",IF($G883="NOK",$F883,0)))</f>
        <v/>
      </c>
      <c r="Q883" s="46" t="str">
        <f aca="false">IF($E883="","",IF($O883&lt;&gt;"Sim","",COUNTIF($O$3:$O883,"Sim")))</f>
        <v/>
      </c>
      <c r="R883" s="47" t="n">
        <f aca="false">IF($P883="",0,$P883)</f>
        <v>0</v>
      </c>
    </row>
    <row r="884" customFormat="false" ht="18" hidden="false" customHeight="true" outlineLevel="0" collapsed="false">
      <c r="A884" s="39"/>
      <c r="B884" s="41"/>
      <c r="C884" s="40"/>
      <c r="D884" s="40"/>
      <c r="E884" s="40"/>
      <c r="F884" s="42"/>
      <c r="G884" s="39"/>
      <c r="H884" s="40"/>
      <c r="I884" s="40"/>
      <c r="J884" s="40"/>
      <c r="K884" s="41"/>
      <c r="L884" s="39"/>
      <c r="M884" s="48" t="str">
        <f aca="false">IF($E884="","",IFERROR(INDEX(Parâmetros!$C$15:$C$20,MATCH($P884,Parâmetros!$B$15:$B$20,0)),""))</f>
        <v/>
      </c>
      <c r="N884" s="46" t="str">
        <f aca="false">IF($E884="","",IF($P884="","",IF($P884&gt;=8,"Alta",IF($P884&gt;=5,"Média","Baixa"))))</f>
        <v/>
      </c>
      <c r="O884" s="46" t="str">
        <f aca="false">IF($E884="","",IF(AND(Parâmetros!$C$5&gt;0,$P884&lt;&gt;"",$P884&gt;=Parâmetros!$C$5),"Sim","Não"))</f>
        <v/>
      </c>
      <c r="P884" s="45" t="str">
        <f aca="false">IF($E884="","",IF($G884="","",IF($G884="NOK",$F884,0)))</f>
        <v/>
      </c>
      <c r="Q884" s="46" t="str">
        <f aca="false">IF($E884="","",IF($O884&lt;&gt;"Sim","",COUNTIF($O$3:$O884,"Sim")))</f>
        <v/>
      </c>
      <c r="R884" s="47" t="n">
        <f aca="false">IF($P884="",0,$P884)</f>
        <v>0</v>
      </c>
    </row>
    <row r="885" customFormat="false" ht="18" hidden="false" customHeight="true" outlineLevel="0" collapsed="false">
      <c r="A885" s="39"/>
      <c r="B885" s="41"/>
      <c r="C885" s="40"/>
      <c r="D885" s="40"/>
      <c r="E885" s="40"/>
      <c r="F885" s="42"/>
      <c r="G885" s="39"/>
      <c r="H885" s="40"/>
      <c r="I885" s="40"/>
      <c r="J885" s="40"/>
      <c r="K885" s="41"/>
      <c r="L885" s="39"/>
      <c r="M885" s="48" t="str">
        <f aca="false">IF($E885="","",IFERROR(INDEX(Parâmetros!$C$15:$C$20,MATCH($P885,Parâmetros!$B$15:$B$20,0)),""))</f>
        <v/>
      </c>
      <c r="N885" s="46" t="str">
        <f aca="false">IF($E885="","",IF($P885="","",IF($P885&gt;=8,"Alta",IF($P885&gt;=5,"Média","Baixa"))))</f>
        <v/>
      </c>
      <c r="O885" s="46" t="str">
        <f aca="false">IF($E885="","",IF(AND(Parâmetros!$C$5&gt;0,$P885&lt;&gt;"",$P885&gt;=Parâmetros!$C$5),"Sim","Não"))</f>
        <v/>
      </c>
      <c r="P885" s="45" t="str">
        <f aca="false">IF($E885="","",IF($G885="","",IF($G885="NOK",$F885,0)))</f>
        <v/>
      </c>
      <c r="Q885" s="46" t="str">
        <f aca="false">IF($E885="","",IF($O885&lt;&gt;"Sim","",COUNTIF($O$3:$O885,"Sim")))</f>
        <v/>
      </c>
      <c r="R885" s="47" t="n">
        <f aca="false">IF($P885="",0,$P885)</f>
        <v>0</v>
      </c>
    </row>
    <row r="886" customFormat="false" ht="18" hidden="false" customHeight="true" outlineLevel="0" collapsed="false">
      <c r="A886" s="39"/>
      <c r="B886" s="41"/>
      <c r="C886" s="40"/>
      <c r="D886" s="40"/>
      <c r="E886" s="40"/>
      <c r="F886" s="42"/>
      <c r="G886" s="39"/>
      <c r="H886" s="40"/>
      <c r="I886" s="40"/>
      <c r="J886" s="40"/>
      <c r="K886" s="41"/>
      <c r="L886" s="39"/>
      <c r="M886" s="48" t="str">
        <f aca="false">IF($E886="","",IFERROR(INDEX(Parâmetros!$C$15:$C$20,MATCH($P886,Parâmetros!$B$15:$B$20,0)),""))</f>
        <v/>
      </c>
      <c r="N886" s="46" t="str">
        <f aca="false">IF($E886="","",IF($P886="","",IF($P886&gt;=8,"Alta",IF($P886&gt;=5,"Média","Baixa"))))</f>
        <v/>
      </c>
      <c r="O886" s="46" t="str">
        <f aca="false">IF($E886="","",IF(AND(Parâmetros!$C$5&gt;0,$P886&lt;&gt;"",$P886&gt;=Parâmetros!$C$5),"Sim","Não"))</f>
        <v/>
      </c>
      <c r="P886" s="45" t="str">
        <f aca="false">IF($E886="","",IF($G886="","",IF($G886="NOK",$F886,0)))</f>
        <v/>
      </c>
      <c r="Q886" s="46" t="str">
        <f aca="false">IF($E886="","",IF($O886&lt;&gt;"Sim","",COUNTIF($O$3:$O886,"Sim")))</f>
        <v/>
      </c>
      <c r="R886" s="47" t="n">
        <f aca="false">IF($P886="",0,$P886)</f>
        <v>0</v>
      </c>
    </row>
    <row r="887" customFormat="false" ht="18" hidden="false" customHeight="true" outlineLevel="0" collapsed="false">
      <c r="A887" s="39"/>
      <c r="B887" s="41"/>
      <c r="C887" s="40"/>
      <c r="D887" s="40"/>
      <c r="E887" s="40"/>
      <c r="F887" s="42"/>
      <c r="G887" s="39"/>
      <c r="H887" s="40"/>
      <c r="I887" s="40"/>
      <c r="J887" s="40"/>
      <c r="K887" s="41"/>
      <c r="L887" s="39"/>
      <c r="M887" s="48" t="str">
        <f aca="false">IF($E887="","",IFERROR(INDEX(Parâmetros!$C$15:$C$20,MATCH($P887,Parâmetros!$B$15:$B$20,0)),""))</f>
        <v/>
      </c>
      <c r="N887" s="46" t="str">
        <f aca="false">IF($E887="","",IF($P887="","",IF($P887&gt;=8,"Alta",IF($P887&gt;=5,"Média","Baixa"))))</f>
        <v/>
      </c>
      <c r="O887" s="46" t="str">
        <f aca="false">IF($E887="","",IF(AND(Parâmetros!$C$5&gt;0,$P887&lt;&gt;"",$P887&gt;=Parâmetros!$C$5),"Sim","Não"))</f>
        <v/>
      </c>
      <c r="P887" s="45" t="str">
        <f aca="false">IF($E887="","",IF($G887="","",IF($G887="NOK",$F887,0)))</f>
        <v/>
      </c>
      <c r="Q887" s="46" t="str">
        <f aca="false">IF($E887="","",IF($O887&lt;&gt;"Sim","",COUNTIF($O$3:$O887,"Sim")))</f>
        <v/>
      </c>
      <c r="R887" s="47" t="n">
        <f aca="false">IF($P887="",0,$P887)</f>
        <v>0</v>
      </c>
    </row>
    <row r="888" customFormat="false" ht="18" hidden="false" customHeight="true" outlineLevel="0" collapsed="false">
      <c r="A888" s="39"/>
      <c r="B888" s="41"/>
      <c r="C888" s="40"/>
      <c r="D888" s="40"/>
      <c r="E888" s="40"/>
      <c r="F888" s="42"/>
      <c r="G888" s="39"/>
      <c r="H888" s="40"/>
      <c r="I888" s="40"/>
      <c r="J888" s="40"/>
      <c r="K888" s="41"/>
      <c r="L888" s="39"/>
      <c r="M888" s="48" t="str">
        <f aca="false">IF($E888="","",IFERROR(INDEX(Parâmetros!$C$15:$C$20,MATCH($P888,Parâmetros!$B$15:$B$20,0)),""))</f>
        <v/>
      </c>
      <c r="N888" s="46" t="str">
        <f aca="false">IF($E888="","",IF($P888="","",IF($P888&gt;=8,"Alta",IF($P888&gt;=5,"Média","Baixa"))))</f>
        <v/>
      </c>
      <c r="O888" s="46" t="str">
        <f aca="false">IF($E888="","",IF(AND(Parâmetros!$C$5&gt;0,$P888&lt;&gt;"",$P888&gt;=Parâmetros!$C$5),"Sim","Não"))</f>
        <v/>
      </c>
      <c r="P888" s="45" t="str">
        <f aca="false">IF($E888="","",IF($G888="","",IF($G888="NOK",$F888,0)))</f>
        <v/>
      </c>
      <c r="Q888" s="46" t="str">
        <f aca="false">IF($E888="","",IF($O888&lt;&gt;"Sim","",COUNTIF($O$3:$O888,"Sim")))</f>
        <v/>
      </c>
      <c r="R888" s="47" t="n">
        <f aca="false">IF($P888="",0,$P888)</f>
        <v>0</v>
      </c>
    </row>
    <row r="889" customFormat="false" ht="18" hidden="false" customHeight="true" outlineLevel="0" collapsed="false">
      <c r="A889" s="39"/>
      <c r="B889" s="41"/>
      <c r="C889" s="40"/>
      <c r="D889" s="40"/>
      <c r="E889" s="40"/>
      <c r="F889" s="42"/>
      <c r="G889" s="39"/>
      <c r="H889" s="40"/>
      <c r="I889" s="40"/>
      <c r="J889" s="40"/>
      <c r="K889" s="41"/>
      <c r="L889" s="39"/>
      <c r="M889" s="48" t="str">
        <f aca="false">IF($E889="","",IFERROR(INDEX(Parâmetros!$C$15:$C$20,MATCH($P889,Parâmetros!$B$15:$B$20,0)),""))</f>
        <v/>
      </c>
      <c r="N889" s="46" t="str">
        <f aca="false">IF($E889="","",IF($P889="","",IF($P889&gt;=8,"Alta",IF($P889&gt;=5,"Média","Baixa"))))</f>
        <v/>
      </c>
      <c r="O889" s="46" t="str">
        <f aca="false">IF($E889="","",IF(AND(Parâmetros!$C$5&gt;0,$P889&lt;&gt;"",$P889&gt;=Parâmetros!$C$5),"Sim","Não"))</f>
        <v/>
      </c>
      <c r="P889" s="45" t="str">
        <f aca="false">IF($E889="","",IF($G889="","",IF($G889="NOK",$F889,0)))</f>
        <v/>
      </c>
      <c r="Q889" s="46" t="str">
        <f aca="false">IF($E889="","",IF($O889&lt;&gt;"Sim","",COUNTIF($O$3:$O889,"Sim")))</f>
        <v/>
      </c>
      <c r="R889" s="47" t="n">
        <f aca="false">IF($P889="",0,$P889)</f>
        <v>0</v>
      </c>
    </row>
    <row r="890" customFormat="false" ht="18" hidden="false" customHeight="true" outlineLevel="0" collapsed="false">
      <c r="A890" s="39"/>
      <c r="B890" s="41"/>
      <c r="C890" s="40"/>
      <c r="D890" s="40"/>
      <c r="E890" s="40"/>
      <c r="F890" s="42"/>
      <c r="G890" s="39"/>
      <c r="H890" s="40"/>
      <c r="I890" s="40"/>
      <c r="J890" s="40"/>
      <c r="K890" s="41"/>
      <c r="L890" s="39"/>
      <c r="M890" s="48" t="str">
        <f aca="false">IF($E890="","",IFERROR(INDEX(Parâmetros!$C$15:$C$20,MATCH($P890,Parâmetros!$B$15:$B$20,0)),""))</f>
        <v/>
      </c>
      <c r="N890" s="46" t="str">
        <f aca="false">IF($E890="","",IF($P890="","",IF($P890&gt;=8,"Alta",IF($P890&gt;=5,"Média","Baixa"))))</f>
        <v/>
      </c>
      <c r="O890" s="46" t="str">
        <f aca="false">IF($E890="","",IF(AND(Parâmetros!$C$5&gt;0,$P890&lt;&gt;"",$P890&gt;=Parâmetros!$C$5),"Sim","Não"))</f>
        <v/>
      </c>
      <c r="P890" s="45" t="str">
        <f aca="false">IF($E890="","",IF($G890="","",IF($G890="NOK",$F890,0)))</f>
        <v/>
      </c>
      <c r="Q890" s="46" t="str">
        <f aca="false">IF($E890="","",IF($O890&lt;&gt;"Sim","",COUNTIF($O$3:$O890,"Sim")))</f>
        <v/>
      </c>
      <c r="R890" s="47" t="n">
        <f aca="false">IF($P890="",0,$P890)</f>
        <v>0</v>
      </c>
    </row>
    <row r="891" customFormat="false" ht="18" hidden="false" customHeight="true" outlineLevel="0" collapsed="false">
      <c r="A891" s="39"/>
      <c r="B891" s="41"/>
      <c r="C891" s="40"/>
      <c r="D891" s="40"/>
      <c r="E891" s="40"/>
      <c r="F891" s="42"/>
      <c r="G891" s="39"/>
      <c r="H891" s="40"/>
      <c r="I891" s="40"/>
      <c r="J891" s="40"/>
      <c r="K891" s="41"/>
      <c r="L891" s="39"/>
      <c r="M891" s="48" t="str">
        <f aca="false">IF($E891="","",IFERROR(INDEX(Parâmetros!$C$15:$C$20,MATCH($P891,Parâmetros!$B$15:$B$20,0)),""))</f>
        <v/>
      </c>
      <c r="N891" s="46" t="str">
        <f aca="false">IF($E891="","",IF($P891="","",IF($P891&gt;=8,"Alta",IF($P891&gt;=5,"Média","Baixa"))))</f>
        <v/>
      </c>
      <c r="O891" s="46" t="str">
        <f aca="false">IF($E891="","",IF(AND(Parâmetros!$C$5&gt;0,$P891&lt;&gt;"",$P891&gt;=Parâmetros!$C$5),"Sim","Não"))</f>
        <v/>
      </c>
      <c r="P891" s="45" t="str">
        <f aca="false">IF($E891="","",IF($G891="","",IF($G891="NOK",$F891,0)))</f>
        <v/>
      </c>
      <c r="Q891" s="46" t="str">
        <f aca="false">IF($E891="","",IF($O891&lt;&gt;"Sim","",COUNTIF($O$3:$O891,"Sim")))</f>
        <v/>
      </c>
      <c r="R891" s="47" t="n">
        <f aca="false">IF($P891="",0,$P891)</f>
        <v>0</v>
      </c>
    </row>
    <row r="892" customFormat="false" ht="18" hidden="false" customHeight="true" outlineLevel="0" collapsed="false">
      <c r="A892" s="39"/>
      <c r="B892" s="41"/>
      <c r="C892" s="40"/>
      <c r="D892" s="40"/>
      <c r="E892" s="40"/>
      <c r="F892" s="42"/>
      <c r="G892" s="39"/>
      <c r="H892" s="40"/>
      <c r="I892" s="40"/>
      <c r="J892" s="40"/>
      <c r="K892" s="41"/>
      <c r="L892" s="39"/>
      <c r="M892" s="48" t="str">
        <f aca="false">IF($E892="","",IFERROR(INDEX(Parâmetros!$C$15:$C$20,MATCH($P892,Parâmetros!$B$15:$B$20,0)),""))</f>
        <v/>
      </c>
      <c r="N892" s="46" t="str">
        <f aca="false">IF($E892="","",IF($P892="","",IF($P892&gt;=8,"Alta",IF($P892&gt;=5,"Média","Baixa"))))</f>
        <v/>
      </c>
      <c r="O892" s="46" t="str">
        <f aca="false">IF($E892="","",IF(AND(Parâmetros!$C$5&gt;0,$P892&lt;&gt;"",$P892&gt;=Parâmetros!$C$5),"Sim","Não"))</f>
        <v/>
      </c>
      <c r="P892" s="45" t="str">
        <f aca="false">IF($E892="","",IF($G892="","",IF($G892="NOK",$F892,0)))</f>
        <v/>
      </c>
      <c r="Q892" s="46" t="str">
        <f aca="false">IF($E892="","",IF($O892&lt;&gt;"Sim","",COUNTIF($O$3:$O892,"Sim")))</f>
        <v/>
      </c>
      <c r="R892" s="47" t="n">
        <f aca="false">IF($P892="",0,$P892)</f>
        <v>0</v>
      </c>
    </row>
    <row r="893" customFormat="false" ht="18" hidden="false" customHeight="true" outlineLevel="0" collapsed="false">
      <c r="A893" s="39"/>
      <c r="B893" s="41"/>
      <c r="C893" s="40"/>
      <c r="D893" s="40"/>
      <c r="E893" s="40"/>
      <c r="F893" s="42"/>
      <c r="G893" s="39"/>
      <c r="H893" s="40"/>
      <c r="I893" s="40"/>
      <c r="J893" s="40"/>
      <c r="K893" s="41"/>
      <c r="L893" s="39"/>
      <c r="M893" s="48" t="str">
        <f aca="false">IF($E893="","",IFERROR(INDEX(Parâmetros!$C$15:$C$20,MATCH($P893,Parâmetros!$B$15:$B$20,0)),""))</f>
        <v/>
      </c>
      <c r="N893" s="46" t="str">
        <f aca="false">IF($E893="","",IF($P893="","",IF($P893&gt;=8,"Alta",IF($P893&gt;=5,"Média","Baixa"))))</f>
        <v/>
      </c>
      <c r="O893" s="46" t="str">
        <f aca="false">IF($E893="","",IF(AND(Parâmetros!$C$5&gt;0,$P893&lt;&gt;"",$P893&gt;=Parâmetros!$C$5),"Sim","Não"))</f>
        <v/>
      </c>
      <c r="P893" s="45" t="str">
        <f aca="false">IF($E893="","",IF($G893="","",IF($G893="NOK",$F893,0)))</f>
        <v/>
      </c>
      <c r="Q893" s="46" t="str">
        <f aca="false">IF($E893="","",IF($O893&lt;&gt;"Sim","",COUNTIF($O$3:$O893,"Sim")))</f>
        <v/>
      </c>
      <c r="R893" s="47" t="n">
        <f aca="false">IF($P893="",0,$P893)</f>
        <v>0</v>
      </c>
    </row>
    <row r="894" customFormat="false" ht="18" hidden="false" customHeight="true" outlineLevel="0" collapsed="false">
      <c r="A894" s="39"/>
      <c r="B894" s="41"/>
      <c r="C894" s="40"/>
      <c r="D894" s="40"/>
      <c r="E894" s="40"/>
      <c r="F894" s="42"/>
      <c r="G894" s="39"/>
      <c r="H894" s="40"/>
      <c r="I894" s="40"/>
      <c r="J894" s="40"/>
      <c r="K894" s="41"/>
      <c r="L894" s="39"/>
      <c r="M894" s="48" t="str">
        <f aca="false">IF($E894="","",IFERROR(INDEX(Parâmetros!$C$15:$C$20,MATCH($P894,Parâmetros!$B$15:$B$20,0)),""))</f>
        <v/>
      </c>
      <c r="N894" s="46" t="str">
        <f aca="false">IF($E894="","",IF($P894="","",IF($P894&gt;=8,"Alta",IF($P894&gt;=5,"Média","Baixa"))))</f>
        <v/>
      </c>
      <c r="O894" s="46" t="str">
        <f aca="false">IF($E894="","",IF(AND(Parâmetros!$C$5&gt;0,$P894&lt;&gt;"",$P894&gt;=Parâmetros!$C$5),"Sim","Não"))</f>
        <v/>
      </c>
      <c r="P894" s="45" t="str">
        <f aca="false">IF($E894="","",IF($G894="","",IF($G894="NOK",$F894,0)))</f>
        <v/>
      </c>
      <c r="Q894" s="46" t="str">
        <f aca="false">IF($E894="","",IF($O894&lt;&gt;"Sim","",COUNTIF($O$3:$O894,"Sim")))</f>
        <v/>
      </c>
      <c r="R894" s="47" t="n">
        <f aca="false">IF($P894="",0,$P894)</f>
        <v>0</v>
      </c>
    </row>
    <row r="895" customFormat="false" ht="18" hidden="false" customHeight="true" outlineLevel="0" collapsed="false">
      <c r="A895" s="39"/>
      <c r="B895" s="41"/>
      <c r="C895" s="40"/>
      <c r="D895" s="40"/>
      <c r="E895" s="40"/>
      <c r="F895" s="42"/>
      <c r="G895" s="39"/>
      <c r="H895" s="40"/>
      <c r="I895" s="40"/>
      <c r="J895" s="40"/>
      <c r="K895" s="41"/>
      <c r="L895" s="39"/>
      <c r="M895" s="48" t="str">
        <f aca="false">IF($E895="","",IFERROR(INDEX(Parâmetros!$C$15:$C$20,MATCH($P895,Parâmetros!$B$15:$B$20,0)),""))</f>
        <v/>
      </c>
      <c r="N895" s="46" t="str">
        <f aca="false">IF($E895="","",IF($P895="","",IF($P895&gt;=8,"Alta",IF($P895&gt;=5,"Média","Baixa"))))</f>
        <v/>
      </c>
      <c r="O895" s="46" t="str">
        <f aca="false">IF($E895="","",IF(AND(Parâmetros!$C$5&gt;0,$P895&lt;&gt;"",$P895&gt;=Parâmetros!$C$5),"Sim","Não"))</f>
        <v/>
      </c>
      <c r="P895" s="45" t="str">
        <f aca="false">IF($E895="","",IF($G895="","",IF($G895="NOK",$F895,0)))</f>
        <v/>
      </c>
      <c r="Q895" s="46" t="str">
        <f aca="false">IF($E895="","",IF($O895&lt;&gt;"Sim","",COUNTIF($O$3:$O895,"Sim")))</f>
        <v/>
      </c>
      <c r="R895" s="47" t="n">
        <f aca="false">IF($P895="",0,$P895)</f>
        <v>0</v>
      </c>
    </row>
    <row r="896" customFormat="false" ht="18" hidden="false" customHeight="true" outlineLevel="0" collapsed="false">
      <c r="A896" s="39"/>
      <c r="B896" s="41"/>
      <c r="C896" s="40"/>
      <c r="D896" s="40"/>
      <c r="E896" s="40"/>
      <c r="F896" s="42"/>
      <c r="G896" s="39"/>
      <c r="H896" s="40"/>
      <c r="I896" s="40"/>
      <c r="J896" s="40"/>
      <c r="K896" s="41"/>
      <c r="L896" s="39"/>
      <c r="M896" s="48" t="str">
        <f aca="false">IF($E896="","",IFERROR(INDEX(Parâmetros!$C$15:$C$20,MATCH($P896,Parâmetros!$B$15:$B$20,0)),""))</f>
        <v/>
      </c>
      <c r="N896" s="46" t="str">
        <f aca="false">IF($E896="","",IF($P896="","",IF($P896&gt;=8,"Alta",IF($P896&gt;=5,"Média","Baixa"))))</f>
        <v/>
      </c>
      <c r="O896" s="46" t="str">
        <f aca="false">IF($E896="","",IF(AND(Parâmetros!$C$5&gt;0,$P896&lt;&gt;"",$P896&gt;=Parâmetros!$C$5),"Sim","Não"))</f>
        <v/>
      </c>
      <c r="P896" s="45" t="str">
        <f aca="false">IF($E896="","",IF($G896="","",IF($G896="NOK",$F896,0)))</f>
        <v/>
      </c>
      <c r="Q896" s="46" t="str">
        <f aca="false">IF($E896="","",IF($O896&lt;&gt;"Sim","",COUNTIF($O$3:$O896,"Sim")))</f>
        <v/>
      </c>
      <c r="R896" s="47" t="n">
        <f aca="false">IF($P896="",0,$P896)</f>
        <v>0</v>
      </c>
    </row>
    <row r="897" customFormat="false" ht="18" hidden="false" customHeight="true" outlineLevel="0" collapsed="false">
      <c r="A897" s="39"/>
      <c r="B897" s="41"/>
      <c r="C897" s="40"/>
      <c r="D897" s="40"/>
      <c r="E897" s="40"/>
      <c r="F897" s="42"/>
      <c r="G897" s="39"/>
      <c r="H897" s="40"/>
      <c r="I897" s="40"/>
      <c r="J897" s="40"/>
      <c r="K897" s="41"/>
      <c r="L897" s="39"/>
      <c r="M897" s="48" t="str">
        <f aca="false">IF($E897="","",IFERROR(INDEX(Parâmetros!$C$15:$C$20,MATCH($P897,Parâmetros!$B$15:$B$20,0)),""))</f>
        <v/>
      </c>
      <c r="N897" s="46" t="str">
        <f aca="false">IF($E897="","",IF($P897="","",IF($P897&gt;=8,"Alta",IF($P897&gt;=5,"Média","Baixa"))))</f>
        <v/>
      </c>
      <c r="O897" s="46" t="str">
        <f aca="false">IF($E897="","",IF(AND(Parâmetros!$C$5&gt;0,$P897&lt;&gt;"",$P897&gt;=Parâmetros!$C$5),"Sim","Não"))</f>
        <v/>
      </c>
      <c r="P897" s="45" t="str">
        <f aca="false">IF($E897="","",IF($G897="","",IF($G897="NOK",$F897,0)))</f>
        <v/>
      </c>
      <c r="Q897" s="46" t="str">
        <f aca="false">IF($E897="","",IF($O897&lt;&gt;"Sim","",COUNTIF($O$3:$O897,"Sim")))</f>
        <v/>
      </c>
      <c r="R897" s="47" t="n">
        <f aca="false">IF($P897="",0,$P897)</f>
        <v>0</v>
      </c>
    </row>
    <row r="898" customFormat="false" ht="18" hidden="false" customHeight="true" outlineLevel="0" collapsed="false">
      <c r="A898" s="39"/>
      <c r="B898" s="41"/>
      <c r="C898" s="40"/>
      <c r="D898" s="40"/>
      <c r="E898" s="40"/>
      <c r="F898" s="42"/>
      <c r="G898" s="39"/>
      <c r="H898" s="40"/>
      <c r="I898" s="40"/>
      <c r="J898" s="40"/>
      <c r="K898" s="41"/>
      <c r="L898" s="39"/>
      <c r="M898" s="48" t="str">
        <f aca="false">IF($E898="","",IFERROR(INDEX(Parâmetros!$C$15:$C$20,MATCH($P898,Parâmetros!$B$15:$B$20,0)),""))</f>
        <v/>
      </c>
      <c r="N898" s="46" t="str">
        <f aca="false">IF($E898="","",IF($P898="","",IF($P898&gt;=8,"Alta",IF($P898&gt;=5,"Média","Baixa"))))</f>
        <v/>
      </c>
      <c r="O898" s="46" t="str">
        <f aca="false">IF($E898="","",IF(AND(Parâmetros!$C$5&gt;0,$P898&lt;&gt;"",$P898&gt;=Parâmetros!$C$5),"Sim","Não"))</f>
        <v/>
      </c>
      <c r="P898" s="45" t="str">
        <f aca="false">IF($E898="","",IF($G898="","",IF($G898="NOK",$F898,0)))</f>
        <v/>
      </c>
      <c r="Q898" s="46" t="str">
        <f aca="false">IF($E898="","",IF($O898&lt;&gt;"Sim","",COUNTIF($O$3:$O898,"Sim")))</f>
        <v/>
      </c>
      <c r="R898" s="47" t="n">
        <f aca="false">IF($P898="",0,$P898)</f>
        <v>0</v>
      </c>
    </row>
    <row r="899" customFormat="false" ht="18" hidden="false" customHeight="true" outlineLevel="0" collapsed="false">
      <c r="A899" s="39"/>
      <c r="B899" s="41"/>
      <c r="C899" s="40"/>
      <c r="D899" s="40"/>
      <c r="E899" s="40"/>
      <c r="F899" s="42"/>
      <c r="G899" s="39"/>
      <c r="H899" s="40"/>
      <c r="I899" s="40"/>
      <c r="J899" s="40"/>
      <c r="K899" s="41"/>
      <c r="L899" s="39"/>
      <c r="M899" s="48" t="str">
        <f aca="false">IF($E899="","",IFERROR(INDEX(Parâmetros!$C$15:$C$20,MATCH($P899,Parâmetros!$B$15:$B$20,0)),""))</f>
        <v/>
      </c>
      <c r="N899" s="46" t="str">
        <f aca="false">IF($E899="","",IF($P899="","",IF($P899&gt;=8,"Alta",IF($P899&gt;=5,"Média","Baixa"))))</f>
        <v/>
      </c>
      <c r="O899" s="46" t="str">
        <f aca="false">IF($E899="","",IF(AND(Parâmetros!$C$5&gt;0,$P899&lt;&gt;"",$P899&gt;=Parâmetros!$C$5),"Sim","Não"))</f>
        <v/>
      </c>
      <c r="P899" s="45" t="str">
        <f aca="false">IF($E899="","",IF($G899="","",IF($G899="NOK",$F899,0)))</f>
        <v/>
      </c>
      <c r="Q899" s="46" t="str">
        <f aca="false">IF($E899="","",IF($O899&lt;&gt;"Sim","",COUNTIF($O$3:$O899,"Sim")))</f>
        <v/>
      </c>
      <c r="R899" s="47" t="n">
        <f aca="false">IF($P899="",0,$P899)</f>
        <v>0</v>
      </c>
    </row>
    <row r="900" customFormat="false" ht="18" hidden="false" customHeight="true" outlineLevel="0" collapsed="false">
      <c r="A900" s="39"/>
      <c r="B900" s="41"/>
      <c r="C900" s="40"/>
      <c r="D900" s="40"/>
      <c r="E900" s="40"/>
      <c r="F900" s="42"/>
      <c r="G900" s="39"/>
      <c r="H900" s="40"/>
      <c r="I900" s="40"/>
      <c r="J900" s="40"/>
      <c r="K900" s="41"/>
      <c r="L900" s="39"/>
      <c r="M900" s="48" t="str">
        <f aca="false">IF($E900="","",IFERROR(INDEX(Parâmetros!$C$15:$C$20,MATCH($P900,Parâmetros!$B$15:$B$20,0)),""))</f>
        <v/>
      </c>
      <c r="N900" s="46" t="str">
        <f aca="false">IF($E900="","",IF($P900="","",IF($P900&gt;=8,"Alta",IF($P900&gt;=5,"Média","Baixa"))))</f>
        <v/>
      </c>
      <c r="O900" s="46" t="str">
        <f aca="false">IF($E900="","",IF(AND(Parâmetros!$C$5&gt;0,$P900&lt;&gt;"",$P900&gt;=Parâmetros!$C$5),"Sim","Não"))</f>
        <v/>
      </c>
      <c r="P900" s="45" t="str">
        <f aca="false">IF($E900="","",IF($G900="","",IF($G900="NOK",$F900,0)))</f>
        <v/>
      </c>
      <c r="Q900" s="46" t="str">
        <f aca="false">IF($E900="","",IF($O900&lt;&gt;"Sim","",COUNTIF($O$3:$O900,"Sim")))</f>
        <v/>
      </c>
      <c r="R900" s="47" t="n">
        <f aca="false">IF($P900="",0,$P900)</f>
        <v>0</v>
      </c>
    </row>
    <row r="901" customFormat="false" ht="18" hidden="false" customHeight="true" outlineLevel="0" collapsed="false">
      <c r="A901" s="39"/>
      <c r="B901" s="41"/>
      <c r="C901" s="40"/>
      <c r="D901" s="40"/>
      <c r="E901" s="40"/>
      <c r="F901" s="42"/>
      <c r="G901" s="39"/>
      <c r="H901" s="40"/>
      <c r="I901" s="40"/>
      <c r="J901" s="40"/>
      <c r="K901" s="41"/>
      <c r="L901" s="39"/>
      <c r="M901" s="48" t="str">
        <f aca="false">IF($E901="","",IFERROR(INDEX(Parâmetros!$C$15:$C$20,MATCH($P901,Parâmetros!$B$15:$B$20,0)),""))</f>
        <v/>
      </c>
      <c r="N901" s="46" t="str">
        <f aca="false">IF($E901="","",IF($P901="","",IF($P901&gt;=8,"Alta",IF($P901&gt;=5,"Média","Baixa"))))</f>
        <v/>
      </c>
      <c r="O901" s="46" t="str">
        <f aca="false">IF($E901="","",IF(AND(Parâmetros!$C$5&gt;0,$P901&lt;&gt;"",$P901&gt;=Parâmetros!$C$5),"Sim","Não"))</f>
        <v/>
      </c>
      <c r="P901" s="45" t="str">
        <f aca="false">IF($E901="","",IF($G901="","",IF($G901="NOK",$F901,0)))</f>
        <v/>
      </c>
      <c r="Q901" s="46" t="str">
        <f aca="false">IF($E901="","",IF($O901&lt;&gt;"Sim","",COUNTIF($O$3:$O901,"Sim")))</f>
        <v/>
      </c>
      <c r="R901" s="47" t="n">
        <f aca="false">IF($P901="",0,$P901)</f>
        <v>0</v>
      </c>
    </row>
    <row r="902" customFormat="false" ht="18" hidden="false" customHeight="true" outlineLevel="0" collapsed="false">
      <c r="A902" s="39"/>
      <c r="B902" s="41"/>
      <c r="C902" s="40"/>
      <c r="D902" s="40"/>
      <c r="E902" s="40"/>
      <c r="F902" s="42"/>
      <c r="G902" s="39"/>
      <c r="H902" s="40"/>
      <c r="I902" s="40"/>
      <c r="J902" s="40"/>
      <c r="K902" s="41"/>
      <c r="L902" s="39"/>
      <c r="M902" s="48" t="str">
        <f aca="false">IF($E902="","",IFERROR(INDEX(Parâmetros!$C$15:$C$20,MATCH($P902,Parâmetros!$B$15:$B$20,0)),""))</f>
        <v/>
      </c>
      <c r="N902" s="46" t="str">
        <f aca="false">IF($E902="","",IF($P902="","",IF($P902&gt;=8,"Alta",IF($P902&gt;=5,"Média","Baixa"))))</f>
        <v/>
      </c>
      <c r="O902" s="46" t="str">
        <f aca="false">IF($E902="","",IF(AND(Parâmetros!$C$5&gt;0,$P902&lt;&gt;"",$P902&gt;=Parâmetros!$C$5),"Sim","Não"))</f>
        <v/>
      </c>
      <c r="P902" s="45" t="str">
        <f aca="false">IF($E902="","",IF($G902="","",IF($G902="NOK",$F902,0)))</f>
        <v/>
      </c>
      <c r="Q902" s="46" t="str">
        <f aca="false">IF($E902="","",IF($O902&lt;&gt;"Sim","",COUNTIF($O$3:$O902,"Sim")))</f>
        <v/>
      </c>
      <c r="R902" s="47" t="n">
        <f aca="false">IF($P902="",0,$P902)</f>
        <v>0</v>
      </c>
    </row>
    <row r="903" customFormat="false" ht="18" hidden="false" customHeight="true" outlineLevel="0" collapsed="false">
      <c r="A903" s="39"/>
      <c r="B903" s="41"/>
      <c r="C903" s="40"/>
      <c r="D903" s="40"/>
      <c r="E903" s="40"/>
      <c r="F903" s="42"/>
      <c r="G903" s="39"/>
      <c r="H903" s="40"/>
      <c r="I903" s="40"/>
      <c r="J903" s="40"/>
      <c r="K903" s="41"/>
      <c r="L903" s="39"/>
      <c r="M903" s="48" t="str">
        <f aca="false">IF($E903="","",IFERROR(INDEX(Parâmetros!$C$15:$C$20,MATCH($P903,Parâmetros!$B$15:$B$20,0)),""))</f>
        <v/>
      </c>
      <c r="N903" s="46" t="str">
        <f aca="false">IF($E903="","",IF($P903="","",IF($P903&gt;=8,"Alta",IF($P903&gt;=5,"Média","Baixa"))))</f>
        <v/>
      </c>
      <c r="O903" s="46" t="str">
        <f aca="false">IF($E903="","",IF(AND(Parâmetros!$C$5&gt;0,$P903&lt;&gt;"",$P903&gt;=Parâmetros!$C$5),"Sim","Não"))</f>
        <v/>
      </c>
      <c r="P903" s="45" t="str">
        <f aca="false">IF($E903="","",IF($G903="","",IF($G903="NOK",$F903,0)))</f>
        <v/>
      </c>
      <c r="Q903" s="46" t="str">
        <f aca="false">IF($E903="","",IF($O903&lt;&gt;"Sim","",COUNTIF($O$3:$O903,"Sim")))</f>
        <v/>
      </c>
      <c r="R903" s="47" t="n">
        <f aca="false">IF($P903="",0,$P903)</f>
        <v>0</v>
      </c>
    </row>
    <row r="904" customFormat="false" ht="18" hidden="false" customHeight="true" outlineLevel="0" collapsed="false">
      <c r="A904" s="39"/>
      <c r="B904" s="41"/>
      <c r="C904" s="40"/>
      <c r="D904" s="40"/>
      <c r="E904" s="40"/>
      <c r="F904" s="42"/>
      <c r="G904" s="39"/>
      <c r="H904" s="40"/>
      <c r="I904" s="40"/>
      <c r="J904" s="40"/>
      <c r="K904" s="41"/>
      <c r="L904" s="39"/>
      <c r="M904" s="48" t="str">
        <f aca="false">IF($E904="","",IFERROR(INDEX(Parâmetros!$C$15:$C$20,MATCH($P904,Parâmetros!$B$15:$B$20,0)),""))</f>
        <v/>
      </c>
      <c r="N904" s="46" t="str">
        <f aca="false">IF($E904="","",IF($P904="","",IF($P904&gt;=8,"Alta",IF($P904&gt;=5,"Média","Baixa"))))</f>
        <v/>
      </c>
      <c r="O904" s="46" t="str">
        <f aca="false">IF($E904="","",IF(AND(Parâmetros!$C$5&gt;0,$P904&lt;&gt;"",$P904&gt;=Parâmetros!$C$5),"Sim","Não"))</f>
        <v/>
      </c>
      <c r="P904" s="45" t="str">
        <f aca="false">IF($E904="","",IF($G904="","",IF($G904="NOK",$F904,0)))</f>
        <v/>
      </c>
      <c r="Q904" s="46" t="str">
        <f aca="false">IF($E904="","",IF($O904&lt;&gt;"Sim","",COUNTIF($O$3:$O904,"Sim")))</f>
        <v/>
      </c>
      <c r="R904" s="47" t="n">
        <f aca="false">IF($P904="",0,$P904)</f>
        <v>0</v>
      </c>
    </row>
    <row r="905" customFormat="false" ht="18" hidden="false" customHeight="true" outlineLevel="0" collapsed="false">
      <c r="A905" s="39"/>
      <c r="B905" s="41"/>
      <c r="C905" s="40"/>
      <c r="D905" s="40"/>
      <c r="E905" s="40"/>
      <c r="F905" s="42"/>
      <c r="G905" s="39"/>
      <c r="H905" s="40"/>
      <c r="I905" s="40"/>
      <c r="J905" s="40"/>
      <c r="K905" s="41"/>
      <c r="L905" s="39"/>
      <c r="M905" s="48" t="str">
        <f aca="false">IF($E905="","",IFERROR(INDEX(Parâmetros!$C$15:$C$20,MATCH($P905,Parâmetros!$B$15:$B$20,0)),""))</f>
        <v/>
      </c>
      <c r="N905" s="46" t="str">
        <f aca="false">IF($E905="","",IF($P905="","",IF($P905&gt;=8,"Alta",IF($P905&gt;=5,"Média","Baixa"))))</f>
        <v/>
      </c>
      <c r="O905" s="46" t="str">
        <f aca="false">IF($E905="","",IF(AND(Parâmetros!$C$5&gt;0,$P905&lt;&gt;"",$P905&gt;=Parâmetros!$C$5),"Sim","Não"))</f>
        <v/>
      </c>
      <c r="P905" s="45" t="str">
        <f aca="false">IF($E905="","",IF($G905="","",IF($G905="NOK",$F905,0)))</f>
        <v/>
      </c>
      <c r="Q905" s="46" t="str">
        <f aca="false">IF($E905="","",IF($O905&lt;&gt;"Sim","",COUNTIF($O$3:$O905,"Sim")))</f>
        <v/>
      </c>
      <c r="R905" s="47" t="n">
        <f aca="false">IF($P905="",0,$P905)</f>
        <v>0</v>
      </c>
    </row>
    <row r="906" customFormat="false" ht="18" hidden="false" customHeight="true" outlineLevel="0" collapsed="false">
      <c r="A906" s="39"/>
      <c r="B906" s="41"/>
      <c r="C906" s="40"/>
      <c r="D906" s="40"/>
      <c r="E906" s="40"/>
      <c r="F906" s="42"/>
      <c r="G906" s="39"/>
      <c r="H906" s="40"/>
      <c r="I906" s="40"/>
      <c r="J906" s="40"/>
      <c r="K906" s="41"/>
      <c r="L906" s="39"/>
      <c r="M906" s="48" t="str">
        <f aca="false">IF($E906="","",IFERROR(INDEX(Parâmetros!$C$15:$C$20,MATCH($P906,Parâmetros!$B$15:$B$20,0)),""))</f>
        <v/>
      </c>
      <c r="N906" s="46" t="str">
        <f aca="false">IF($E906="","",IF($P906="","",IF($P906&gt;=8,"Alta",IF($P906&gt;=5,"Média","Baixa"))))</f>
        <v/>
      </c>
      <c r="O906" s="46" t="str">
        <f aca="false">IF($E906="","",IF(AND(Parâmetros!$C$5&gt;0,$P906&lt;&gt;"",$P906&gt;=Parâmetros!$C$5),"Sim","Não"))</f>
        <v/>
      </c>
      <c r="P906" s="45" t="str">
        <f aca="false">IF($E906="","",IF($G906="","",IF($G906="NOK",$F906,0)))</f>
        <v/>
      </c>
      <c r="Q906" s="46" t="str">
        <f aca="false">IF($E906="","",IF($O906&lt;&gt;"Sim","",COUNTIF($O$3:$O906,"Sim")))</f>
        <v/>
      </c>
      <c r="R906" s="47" t="n">
        <f aca="false">IF($P906="",0,$P906)</f>
        <v>0</v>
      </c>
    </row>
    <row r="907" customFormat="false" ht="18" hidden="false" customHeight="true" outlineLevel="0" collapsed="false">
      <c r="A907" s="39"/>
      <c r="B907" s="41"/>
      <c r="C907" s="40"/>
      <c r="D907" s="40"/>
      <c r="E907" s="40"/>
      <c r="F907" s="42"/>
      <c r="G907" s="39"/>
      <c r="H907" s="40"/>
      <c r="I907" s="40"/>
      <c r="J907" s="40"/>
      <c r="K907" s="41"/>
      <c r="L907" s="39"/>
      <c r="M907" s="48" t="str">
        <f aca="false">IF($E907="","",IFERROR(INDEX(Parâmetros!$C$15:$C$20,MATCH($P907,Parâmetros!$B$15:$B$20,0)),""))</f>
        <v/>
      </c>
      <c r="N907" s="46" t="str">
        <f aca="false">IF($E907="","",IF($P907="","",IF($P907&gt;=8,"Alta",IF($P907&gt;=5,"Média","Baixa"))))</f>
        <v/>
      </c>
      <c r="O907" s="46" t="str">
        <f aca="false">IF($E907="","",IF(AND(Parâmetros!$C$5&gt;0,$P907&lt;&gt;"",$P907&gt;=Parâmetros!$C$5),"Sim","Não"))</f>
        <v/>
      </c>
      <c r="P907" s="45" t="str">
        <f aca="false">IF($E907="","",IF($G907="","",IF($G907="NOK",$F907,0)))</f>
        <v/>
      </c>
      <c r="Q907" s="46" t="str">
        <f aca="false">IF($E907="","",IF($O907&lt;&gt;"Sim","",COUNTIF($O$3:$O907,"Sim")))</f>
        <v/>
      </c>
      <c r="R907" s="47" t="n">
        <f aca="false">IF($P907="",0,$P907)</f>
        <v>0</v>
      </c>
    </row>
    <row r="908" customFormat="false" ht="18" hidden="false" customHeight="true" outlineLevel="0" collapsed="false">
      <c r="A908" s="39"/>
      <c r="B908" s="41"/>
      <c r="C908" s="40"/>
      <c r="D908" s="40"/>
      <c r="E908" s="40"/>
      <c r="F908" s="42"/>
      <c r="G908" s="39"/>
      <c r="H908" s="40"/>
      <c r="I908" s="40"/>
      <c r="J908" s="40"/>
      <c r="K908" s="41"/>
      <c r="L908" s="39"/>
      <c r="M908" s="48" t="str">
        <f aca="false">IF($E908="","",IFERROR(INDEX(Parâmetros!$C$15:$C$20,MATCH($P908,Parâmetros!$B$15:$B$20,0)),""))</f>
        <v/>
      </c>
      <c r="N908" s="46" t="str">
        <f aca="false">IF($E908="","",IF($P908="","",IF($P908&gt;=8,"Alta",IF($P908&gt;=5,"Média","Baixa"))))</f>
        <v/>
      </c>
      <c r="O908" s="46" t="str">
        <f aca="false">IF($E908="","",IF(AND(Parâmetros!$C$5&gt;0,$P908&lt;&gt;"",$P908&gt;=Parâmetros!$C$5),"Sim","Não"))</f>
        <v/>
      </c>
      <c r="P908" s="45" t="str">
        <f aca="false">IF($E908="","",IF($G908="","",IF($G908="NOK",$F908,0)))</f>
        <v/>
      </c>
      <c r="Q908" s="46" t="str">
        <f aca="false">IF($E908="","",IF($O908&lt;&gt;"Sim","",COUNTIF($O$3:$O908,"Sim")))</f>
        <v/>
      </c>
      <c r="R908" s="47" t="n">
        <f aca="false">IF($P908="",0,$P908)</f>
        <v>0</v>
      </c>
    </row>
    <row r="909" customFormat="false" ht="18" hidden="false" customHeight="true" outlineLevel="0" collapsed="false">
      <c r="A909" s="39"/>
      <c r="B909" s="41"/>
      <c r="C909" s="40"/>
      <c r="D909" s="40"/>
      <c r="E909" s="40"/>
      <c r="F909" s="42"/>
      <c r="G909" s="39"/>
      <c r="H909" s="40"/>
      <c r="I909" s="40"/>
      <c r="J909" s="40"/>
      <c r="K909" s="41"/>
      <c r="L909" s="39"/>
      <c r="M909" s="48" t="str">
        <f aca="false">IF($E909="","",IFERROR(INDEX(Parâmetros!$C$15:$C$20,MATCH($P909,Parâmetros!$B$15:$B$20,0)),""))</f>
        <v/>
      </c>
      <c r="N909" s="46" t="str">
        <f aca="false">IF($E909="","",IF($P909="","",IF($P909&gt;=8,"Alta",IF($P909&gt;=5,"Média","Baixa"))))</f>
        <v/>
      </c>
      <c r="O909" s="46" t="str">
        <f aca="false">IF($E909="","",IF(AND(Parâmetros!$C$5&gt;0,$P909&lt;&gt;"",$P909&gt;=Parâmetros!$C$5),"Sim","Não"))</f>
        <v/>
      </c>
      <c r="P909" s="45" t="str">
        <f aca="false">IF($E909="","",IF($G909="","",IF($G909="NOK",$F909,0)))</f>
        <v/>
      </c>
      <c r="Q909" s="46" t="str">
        <f aca="false">IF($E909="","",IF($O909&lt;&gt;"Sim","",COUNTIF($O$3:$O909,"Sim")))</f>
        <v/>
      </c>
      <c r="R909" s="47" t="n">
        <f aca="false">IF($P909="",0,$P909)</f>
        <v>0</v>
      </c>
    </row>
    <row r="910" customFormat="false" ht="18" hidden="false" customHeight="true" outlineLevel="0" collapsed="false">
      <c r="A910" s="39"/>
      <c r="B910" s="41"/>
      <c r="C910" s="40"/>
      <c r="D910" s="40"/>
      <c r="E910" s="40"/>
      <c r="F910" s="42"/>
      <c r="G910" s="39"/>
      <c r="H910" s="40"/>
      <c r="I910" s="40"/>
      <c r="J910" s="40"/>
      <c r="K910" s="41"/>
      <c r="L910" s="39"/>
      <c r="M910" s="48" t="str">
        <f aca="false">IF($E910="","",IFERROR(INDEX(Parâmetros!$C$15:$C$20,MATCH($P910,Parâmetros!$B$15:$B$20,0)),""))</f>
        <v/>
      </c>
      <c r="N910" s="46" t="str">
        <f aca="false">IF($E910="","",IF($P910="","",IF($P910&gt;=8,"Alta",IF($P910&gt;=5,"Média","Baixa"))))</f>
        <v/>
      </c>
      <c r="O910" s="46" t="str">
        <f aca="false">IF($E910="","",IF(AND(Parâmetros!$C$5&gt;0,$P910&lt;&gt;"",$P910&gt;=Parâmetros!$C$5),"Sim","Não"))</f>
        <v/>
      </c>
      <c r="P910" s="45" t="str">
        <f aca="false">IF($E910="","",IF($G910="","",IF($G910="NOK",$F910,0)))</f>
        <v/>
      </c>
      <c r="Q910" s="46" t="str">
        <f aca="false">IF($E910="","",IF($O910&lt;&gt;"Sim","",COUNTIF($O$3:$O910,"Sim")))</f>
        <v/>
      </c>
      <c r="R910" s="47" t="n">
        <f aca="false">IF($P910="",0,$P910)</f>
        <v>0</v>
      </c>
    </row>
    <row r="911" customFormat="false" ht="18" hidden="false" customHeight="true" outlineLevel="0" collapsed="false">
      <c r="A911" s="39"/>
      <c r="B911" s="41"/>
      <c r="C911" s="40"/>
      <c r="D911" s="40"/>
      <c r="E911" s="40"/>
      <c r="F911" s="42"/>
      <c r="G911" s="39"/>
      <c r="H911" s="40"/>
      <c r="I911" s="40"/>
      <c r="J911" s="40"/>
      <c r="K911" s="41"/>
      <c r="L911" s="39"/>
      <c r="M911" s="48" t="str">
        <f aca="false">IF($E911="","",IFERROR(INDEX(Parâmetros!$C$15:$C$20,MATCH($P911,Parâmetros!$B$15:$B$20,0)),""))</f>
        <v/>
      </c>
      <c r="N911" s="46" t="str">
        <f aca="false">IF($E911="","",IF($P911="","",IF($P911&gt;=8,"Alta",IF($P911&gt;=5,"Média","Baixa"))))</f>
        <v/>
      </c>
      <c r="O911" s="46" t="str">
        <f aca="false">IF($E911="","",IF(AND(Parâmetros!$C$5&gt;0,$P911&lt;&gt;"",$P911&gt;=Parâmetros!$C$5),"Sim","Não"))</f>
        <v/>
      </c>
      <c r="P911" s="45" t="str">
        <f aca="false">IF($E911="","",IF($G911="","",IF($G911="NOK",$F911,0)))</f>
        <v/>
      </c>
      <c r="Q911" s="46" t="str">
        <f aca="false">IF($E911="","",IF($O911&lt;&gt;"Sim","",COUNTIF($O$3:$O911,"Sim")))</f>
        <v/>
      </c>
      <c r="R911" s="47" t="n">
        <f aca="false">IF($P911="",0,$P911)</f>
        <v>0</v>
      </c>
    </row>
    <row r="912" customFormat="false" ht="18" hidden="false" customHeight="true" outlineLevel="0" collapsed="false">
      <c r="A912" s="39"/>
      <c r="B912" s="41"/>
      <c r="C912" s="40"/>
      <c r="D912" s="40"/>
      <c r="E912" s="40"/>
      <c r="F912" s="42"/>
      <c r="G912" s="39"/>
      <c r="H912" s="40"/>
      <c r="I912" s="40"/>
      <c r="J912" s="40"/>
      <c r="K912" s="41"/>
      <c r="L912" s="39"/>
      <c r="M912" s="48" t="str">
        <f aca="false">IF($E912="","",IFERROR(INDEX(Parâmetros!$C$15:$C$20,MATCH($P912,Parâmetros!$B$15:$B$20,0)),""))</f>
        <v/>
      </c>
      <c r="N912" s="46" t="str">
        <f aca="false">IF($E912="","",IF($P912="","",IF($P912&gt;=8,"Alta",IF($P912&gt;=5,"Média","Baixa"))))</f>
        <v/>
      </c>
      <c r="O912" s="46" t="str">
        <f aca="false">IF($E912="","",IF(AND(Parâmetros!$C$5&gt;0,$P912&lt;&gt;"",$P912&gt;=Parâmetros!$C$5),"Sim","Não"))</f>
        <v/>
      </c>
      <c r="P912" s="45" t="str">
        <f aca="false">IF($E912="","",IF($G912="","",IF($G912="NOK",$F912,0)))</f>
        <v/>
      </c>
      <c r="Q912" s="46" t="str">
        <f aca="false">IF($E912="","",IF($O912&lt;&gt;"Sim","",COUNTIF($O$3:$O912,"Sim")))</f>
        <v/>
      </c>
      <c r="R912" s="47" t="n">
        <f aca="false">IF($P912="",0,$P912)</f>
        <v>0</v>
      </c>
    </row>
    <row r="913" customFormat="false" ht="18" hidden="false" customHeight="true" outlineLevel="0" collapsed="false">
      <c r="A913" s="39"/>
      <c r="B913" s="41"/>
      <c r="C913" s="40"/>
      <c r="D913" s="40"/>
      <c r="E913" s="40"/>
      <c r="F913" s="42"/>
      <c r="G913" s="39"/>
      <c r="H913" s="40"/>
      <c r="I913" s="40"/>
      <c r="J913" s="40"/>
      <c r="K913" s="41"/>
      <c r="L913" s="39"/>
      <c r="M913" s="48" t="str">
        <f aca="false">IF($E913="","",IFERROR(INDEX(Parâmetros!$C$15:$C$20,MATCH($P913,Parâmetros!$B$15:$B$20,0)),""))</f>
        <v/>
      </c>
      <c r="N913" s="46" t="str">
        <f aca="false">IF($E913="","",IF($P913="","",IF($P913&gt;=8,"Alta",IF($P913&gt;=5,"Média","Baixa"))))</f>
        <v/>
      </c>
      <c r="O913" s="46" t="str">
        <f aca="false">IF($E913="","",IF(AND(Parâmetros!$C$5&gt;0,$P913&lt;&gt;"",$P913&gt;=Parâmetros!$C$5),"Sim","Não"))</f>
        <v/>
      </c>
      <c r="P913" s="45" t="str">
        <f aca="false">IF($E913="","",IF($G913="","",IF($G913="NOK",$F913,0)))</f>
        <v/>
      </c>
      <c r="Q913" s="46" t="str">
        <f aca="false">IF($E913="","",IF($O913&lt;&gt;"Sim","",COUNTIF($O$3:$O913,"Sim")))</f>
        <v/>
      </c>
      <c r="R913" s="47" t="n">
        <f aca="false">IF($P913="",0,$P913)</f>
        <v>0</v>
      </c>
    </row>
    <row r="914" customFormat="false" ht="18" hidden="false" customHeight="true" outlineLevel="0" collapsed="false">
      <c r="A914" s="39"/>
      <c r="B914" s="41"/>
      <c r="C914" s="40"/>
      <c r="D914" s="40"/>
      <c r="E914" s="40"/>
      <c r="F914" s="42"/>
      <c r="G914" s="39"/>
      <c r="H914" s="40"/>
      <c r="I914" s="40"/>
      <c r="J914" s="40"/>
      <c r="K914" s="41"/>
      <c r="L914" s="39"/>
      <c r="M914" s="48" t="str">
        <f aca="false">IF($E914="","",IFERROR(INDEX(Parâmetros!$C$15:$C$20,MATCH($P914,Parâmetros!$B$15:$B$20,0)),""))</f>
        <v/>
      </c>
      <c r="N914" s="46" t="str">
        <f aca="false">IF($E914="","",IF($P914="","",IF($P914&gt;=8,"Alta",IF($P914&gt;=5,"Média","Baixa"))))</f>
        <v/>
      </c>
      <c r="O914" s="46" t="str">
        <f aca="false">IF($E914="","",IF(AND(Parâmetros!$C$5&gt;0,$P914&lt;&gt;"",$P914&gt;=Parâmetros!$C$5),"Sim","Não"))</f>
        <v/>
      </c>
      <c r="P914" s="45" t="str">
        <f aca="false">IF($E914="","",IF($G914="","",IF($G914="NOK",$F914,0)))</f>
        <v/>
      </c>
      <c r="Q914" s="46" t="str">
        <f aca="false">IF($E914="","",IF($O914&lt;&gt;"Sim","",COUNTIF($O$3:$O914,"Sim")))</f>
        <v/>
      </c>
      <c r="R914" s="47" t="n">
        <f aca="false">IF($P914="",0,$P914)</f>
        <v>0</v>
      </c>
    </row>
    <row r="915" customFormat="false" ht="18" hidden="false" customHeight="true" outlineLevel="0" collapsed="false">
      <c r="A915" s="39"/>
      <c r="B915" s="41"/>
      <c r="C915" s="40"/>
      <c r="D915" s="40"/>
      <c r="E915" s="40"/>
      <c r="F915" s="42"/>
      <c r="G915" s="39"/>
      <c r="H915" s="40"/>
      <c r="I915" s="40"/>
      <c r="J915" s="40"/>
      <c r="K915" s="41"/>
      <c r="L915" s="39"/>
      <c r="M915" s="48" t="str">
        <f aca="false">IF($E915="","",IFERROR(INDEX(Parâmetros!$C$15:$C$20,MATCH($P915,Parâmetros!$B$15:$B$20,0)),""))</f>
        <v/>
      </c>
      <c r="N915" s="46" t="str">
        <f aca="false">IF($E915="","",IF($P915="","",IF($P915&gt;=8,"Alta",IF($P915&gt;=5,"Média","Baixa"))))</f>
        <v/>
      </c>
      <c r="O915" s="46" t="str">
        <f aca="false">IF($E915="","",IF(AND(Parâmetros!$C$5&gt;0,$P915&lt;&gt;"",$P915&gt;=Parâmetros!$C$5),"Sim","Não"))</f>
        <v/>
      </c>
      <c r="P915" s="45" t="str">
        <f aca="false">IF($E915="","",IF($G915="","",IF($G915="NOK",$F915,0)))</f>
        <v/>
      </c>
      <c r="Q915" s="46" t="str">
        <f aca="false">IF($E915="","",IF($O915&lt;&gt;"Sim","",COUNTIF($O$3:$O915,"Sim")))</f>
        <v/>
      </c>
      <c r="R915" s="47" t="n">
        <f aca="false">IF($P915="",0,$P915)</f>
        <v>0</v>
      </c>
    </row>
    <row r="916" customFormat="false" ht="18" hidden="false" customHeight="true" outlineLevel="0" collapsed="false">
      <c r="A916" s="39"/>
      <c r="B916" s="41"/>
      <c r="C916" s="40"/>
      <c r="D916" s="40"/>
      <c r="E916" s="40"/>
      <c r="F916" s="42"/>
      <c r="G916" s="39"/>
      <c r="H916" s="40"/>
      <c r="I916" s="40"/>
      <c r="J916" s="40"/>
      <c r="K916" s="41"/>
      <c r="L916" s="39"/>
      <c r="M916" s="48" t="str">
        <f aca="false">IF($E916="","",IFERROR(INDEX(Parâmetros!$C$15:$C$20,MATCH($P916,Parâmetros!$B$15:$B$20,0)),""))</f>
        <v/>
      </c>
      <c r="N916" s="46" t="str">
        <f aca="false">IF($E916="","",IF($P916="","",IF($P916&gt;=8,"Alta",IF($P916&gt;=5,"Média","Baixa"))))</f>
        <v/>
      </c>
      <c r="O916" s="46" t="str">
        <f aca="false">IF($E916="","",IF(AND(Parâmetros!$C$5&gt;0,$P916&lt;&gt;"",$P916&gt;=Parâmetros!$C$5),"Sim","Não"))</f>
        <v/>
      </c>
      <c r="P916" s="45" t="str">
        <f aca="false">IF($E916="","",IF($G916="","",IF($G916="NOK",$F916,0)))</f>
        <v/>
      </c>
      <c r="Q916" s="46" t="str">
        <f aca="false">IF($E916="","",IF($O916&lt;&gt;"Sim","",COUNTIF($O$3:$O916,"Sim")))</f>
        <v/>
      </c>
      <c r="R916" s="47" t="n">
        <f aca="false">IF($P916="",0,$P916)</f>
        <v>0</v>
      </c>
    </row>
    <row r="917" customFormat="false" ht="18" hidden="false" customHeight="true" outlineLevel="0" collapsed="false">
      <c r="A917" s="39"/>
      <c r="B917" s="41"/>
      <c r="C917" s="40"/>
      <c r="D917" s="40"/>
      <c r="E917" s="40"/>
      <c r="F917" s="42"/>
      <c r="G917" s="39"/>
      <c r="H917" s="40"/>
      <c r="I917" s="40"/>
      <c r="J917" s="40"/>
      <c r="K917" s="41"/>
      <c r="L917" s="39"/>
      <c r="M917" s="48" t="str">
        <f aca="false">IF($E917="","",IFERROR(INDEX(Parâmetros!$C$15:$C$20,MATCH($P917,Parâmetros!$B$15:$B$20,0)),""))</f>
        <v/>
      </c>
      <c r="N917" s="46" t="str">
        <f aca="false">IF($E917="","",IF($P917="","",IF($P917&gt;=8,"Alta",IF($P917&gt;=5,"Média","Baixa"))))</f>
        <v/>
      </c>
      <c r="O917" s="46" t="str">
        <f aca="false">IF($E917="","",IF(AND(Parâmetros!$C$5&gt;0,$P917&lt;&gt;"",$P917&gt;=Parâmetros!$C$5),"Sim","Não"))</f>
        <v/>
      </c>
      <c r="P917" s="45" t="str">
        <f aca="false">IF($E917="","",IF($G917="","",IF($G917="NOK",$F917,0)))</f>
        <v/>
      </c>
      <c r="Q917" s="46" t="str">
        <f aca="false">IF($E917="","",IF($O917&lt;&gt;"Sim","",COUNTIF($O$3:$O917,"Sim")))</f>
        <v/>
      </c>
      <c r="R917" s="47" t="n">
        <f aca="false">IF($P917="",0,$P917)</f>
        <v>0</v>
      </c>
    </row>
    <row r="918" customFormat="false" ht="18" hidden="false" customHeight="true" outlineLevel="0" collapsed="false">
      <c r="A918" s="39"/>
      <c r="B918" s="41"/>
      <c r="C918" s="40"/>
      <c r="D918" s="40"/>
      <c r="E918" s="40"/>
      <c r="F918" s="42"/>
      <c r="G918" s="39"/>
      <c r="H918" s="40"/>
      <c r="I918" s="40"/>
      <c r="J918" s="40"/>
      <c r="K918" s="41"/>
      <c r="L918" s="39"/>
      <c r="M918" s="48" t="str">
        <f aca="false">IF($E918="","",IFERROR(INDEX(Parâmetros!$C$15:$C$20,MATCH($P918,Parâmetros!$B$15:$B$20,0)),""))</f>
        <v/>
      </c>
      <c r="N918" s="46" t="str">
        <f aca="false">IF($E918="","",IF($P918="","",IF($P918&gt;=8,"Alta",IF($P918&gt;=5,"Média","Baixa"))))</f>
        <v/>
      </c>
      <c r="O918" s="46" t="str">
        <f aca="false">IF($E918="","",IF(AND(Parâmetros!$C$5&gt;0,$P918&lt;&gt;"",$P918&gt;=Parâmetros!$C$5),"Sim","Não"))</f>
        <v/>
      </c>
      <c r="P918" s="45" t="str">
        <f aca="false">IF($E918="","",IF($G918="","",IF($G918="NOK",$F918,0)))</f>
        <v/>
      </c>
      <c r="Q918" s="46" t="str">
        <f aca="false">IF($E918="","",IF($O918&lt;&gt;"Sim","",COUNTIF($O$3:$O918,"Sim")))</f>
        <v/>
      </c>
      <c r="R918" s="47" t="n">
        <f aca="false">IF($P918="",0,$P918)</f>
        <v>0</v>
      </c>
    </row>
    <row r="919" customFormat="false" ht="18" hidden="false" customHeight="true" outlineLevel="0" collapsed="false">
      <c r="A919" s="39"/>
      <c r="B919" s="41"/>
      <c r="C919" s="40"/>
      <c r="D919" s="40"/>
      <c r="E919" s="40"/>
      <c r="F919" s="42"/>
      <c r="G919" s="39"/>
      <c r="H919" s="40"/>
      <c r="I919" s="40"/>
      <c r="J919" s="40"/>
      <c r="K919" s="41"/>
      <c r="L919" s="39"/>
      <c r="M919" s="48" t="str">
        <f aca="false">IF($E919="","",IFERROR(INDEX(Parâmetros!$C$15:$C$20,MATCH($P919,Parâmetros!$B$15:$B$20,0)),""))</f>
        <v/>
      </c>
      <c r="N919" s="46" t="str">
        <f aca="false">IF($E919="","",IF($P919="","",IF($P919&gt;=8,"Alta",IF($P919&gt;=5,"Média","Baixa"))))</f>
        <v/>
      </c>
      <c r="O919" s="46" t="str">
        <f aca="false">IF($E919="","",IF(AND(Parâmetros!$C$5&gt;0,$P919&lt;&gt;"",$P919&gt;=Parâmetros!$C$5),"Sim","Não"))</f>
        <v/>
      </c>
      <c r="P919" s="45" t="str">
        <f aca="false">IF($E919="","",IF($G919="","",IF($G919="NOK",$F919,0)))</f>
        <v/>
      </c>
      <c r="Q919" s="46" t="str">
        <f aca="false">IF($E919="","",IF($O919&lt;&gt;"Sim","",COUNTIF($O$3:$O919,"Sim")))</f>
        <v/>
      </c>
      <c r="R919" s="47" t="n">
        <f aca="false">IF($P919="",0,$P919)</f>
        <v>0</v>
      </c>
    </row>
    <row r="920" customFormat="false" ht="18" hidden="false" customHeight="true" outlineLevel="0" collapsed="false">
      <c r="A920" s="39"/>
      <c r="B920" s="41"/>
      <c r="C920" s="40"/>
      <c r="D920" s="40"/>
      <c r="E920" s="40"/>
      <c r="F920" s="42"/>
      <c r="G920" s="39"/>
      <c r="H920" s="40"/>
      <c r="I920" s="40"/>
      <c r="J920" s="40"/>
      <c r="K920" s="41"/>
      <c r="L920" s="39"/>
      <c r="M920" s="48" t="str">
        <f aca="false">IF($E920="","",IFERROR(INDEX(Parâmetros!$C$15:$C$20,MATCH($P920,Parâmetros!$B$15:$B$20,0)),""))</f>
        <v/>
      </c>
      <c r="N920" s="46" t="str">
        <f aca="false">IF($E920="","",IF($P920="","",IF($P920&gt;=8,"Alta",IF($P920&gt;=5,"Média","Baixa"))))</f>
        <v/>
      </c>
      <c r="O920" s="46" t="str">
        <f aca="false">IF($E920="","",IF(AND(Parâmetros!$C$5&gt;0,$P920&lt;&gt;"",$P920&gt;=Parâmetros!$C$5),"Sim","Não"))</f>
        <v/>
      </c>
      <c r="P920" s="45" t="str">
        <f aca="false">IF($E920="","",IF($G920="","",IF($G920="NOK",$F920,0)))</f>
        <v/>
      </c>
      <c r="Q920" s="46" t="str">
        <f aca="false">IF($E920="","",IF($O920&lt;&gt;"Sim","",COUNTIF($O$3:$O920,"Sim")))</f>
        <v/>
      </c>
      <c r="R920" s="47" t="n">
        <f aca="false">IF($P920="",0,$P920)</f>
        <v>0</v>
      </c>
    </row>
    <row r="921" customFormat="false" ht="18" hidden="false" customHeight="true" outlineLevel="0" collapsed="false">
      <c r="A921" s="39"/>
      <c r="B921" s="41"/>
      <c r="C921" s="40"/>
      <c r="D921" s="40"/>
      <c r="E921" s="40"/>
      <c r="F921" s="42"/>
      <c r="G921" s="39"/>
      <c r="H921" s="40"/>
      <c r="I921" s="40"/>
      <c r="J921" s="40"/>
      <c r="K921" s="41"/>
      <c r="L921" s="39"/>
      <c r="M921" s="48" t="str">
        <f aca="false">IF($E921="","",IFERROR(INDEX(Parâmetros!$C$15:$C$20,MATCH($P921,Parâmetros!$B$15:$B$20,0)),""))</f>
        <v/>
      </c>
      <c r="N921" s="46" t="str">
        <f aca="false">IF($E921="","",IF($P921="","",IF($P921&gt;=8,"Alta",IF($P921&gt;=5,"Média","Baixa"))))</f>
        <v/>
      </c>
      <c r="O921" s="46" t="str">
        <f aca="false">IF($E921="","",IF(AND(Parâmetros!$C$5&gt;0,$P921&lt;&gt;"",$P921&gt;=Parâmetros!$C$5),"Sim","Não"))</f>
        <v/>
      </c>
      <c r="P921" s="45" t="str">
        <f aca="false">IF($E921="","",IF($G921="","",IF($G921="NOK",$F921,0)))</f>
        <v/>
      </c>
      <c r="Q921" s="46" t="str">
        <f aca="false">IF($E921="","",IF($O921&lt;&gt;"Sim","",COUNTIF($O$3:$O921,"Sim")))</f>
        <v/>
      </c>
      <c r="R921" s="47" t="n">
        <f aca="false">IF($P921="",0,$P921)</f>
        <v>0</v>
      </c>
    </row>
    <row r="922" customFormat="false" ht="18" hidden="false" customHeight="true" outlineLevel="0" collapsed="false">
      <c r="A922" s="39"/>
      <c r="B922" s="41"/>
      <c r="C922" s="40"/>
      <c r="D922" s="40"/>
      <c r="E922" s="40"/>
      <c r="F922" s="42"/>
      <c r="G922" s="39"/>
      <c r="H922" s="40"/>
      <c r="I922" s="40"/>
      <c r="J922" s="40"/>
      <c r="K922" s="41"/>
      <c r="L922" s="39"/>
      <c r="M922" s="48" t="str">
        <f aca="false">IF($E922="","",IFERROR(INDEX(Parâmetros!$C$15:$C$20,MATCH($P922,Parâmetros!$B$15:$B$20,0)),""))</f>
        <v/>
      </c>
      <c r="N922" s="46" t="str">
        <f aca="false">IF($E922="","",IF($P922="","",IF($P922&gt;=8,"Alta",IF($P922&gt;=5,"Média","Baixa"))))</f>
        <v/>
      </c>
      <c r="O922" s="46" t="str">
        <f aca="false">IF($E922="","",IF(AND(Parâmetros!$C$5&gt;0,$P922&lt;&gt;"",$P922&gt;=Parâmetros!$C$5),"Sim","Não"))</f>
        <v/>
      </c>
      <c r="P922" s="45" t="str">
        <f aca="false">IF($E922="","",IF($G922="","",IF($G922="NOK",$F922,0)))</f>
        <v/>
      </c>
      <c r="Q922" s="46" t="str">
        <f aca="false">IF($E922="","",IF($O922&lt;&gt;"Sim","",COUNTIF($O$3:$O922,"Sim")))</f>
        <v/>
      </c>
      <c r="R922" s="47" t="n">
        <f aca="false">IF($P922="",0,$P922)</f>
        <v>0</v>
      </c>
    </row>
    <row r="923" customFormat="false" ht="18" hidden="false" customHeight="true" outlineLevel="0" collapsed="false">
      <c r="A923" s="39"/>
      <c r="B923" s="41"/>
      <c r="C923" s="40"/>
      <c r="D923" s="40"/>
      <c r="E923" s="40"/>
      <c r="F923" s="42"/>
      <c r="G923" s="39"/>
      <c r="H923" s="40"/>
      <c r="I923" s="40"/>
      <c r="J923" s="40"/>
      <c r="K923" s="41"/>
      <c r="L923" s="39"/>
      <c r="M923" s="48" t="str">
        <f aca="false">IF($E923="","",IFERROR(INDEX(Parâmetros!$C$15:$C$20,MATCH($P923,Parâmetros!$B$15:$B$20,0)),""))</f>
        <v/>
      </c>
      <c r="N923" s="46" t="str">
        <f aca="false">IF($E923="","",IF($P923="","",IF($P923&gt;=8,"Alta",IF($P923&gt;=5,"Média","Baixa"))))</f>
        <v/>
      </c>
      <c r="O923" s="46" t="str">
        <f aca="false">IF($E923="","",IF(AND(Parâmetros!$C$5&gt;0,$P923&lt;&gt;"",$P923&gt;=Parâmetros!$C$5),"Sim","Não"))</f>
        <v/>
      </c>
      <c r="P923" s="45" t="str">
        <f aca="false">IF($E923="","",IF($G923="","",IF($G923="NOK",$F923,0)))</f>
        <v/>
      </c>
      <c r="Q923" s="46" t="str">
        <f aca="false">IF($E923="","",IF($O923&lt;&gt;"Sim","",COUNTIF($O$3:$O923,"Sim")))</f>
        <v/>
      </c>
      <c r="R923" s="47" t="n">
        <f aca="false">IF($P923="",0,$P923)</f>
        <v>0</v>
      </c>
    </row>
    <row r="924" customFormat="false" ht="18" hidden="false" customHeight="true" outlineLevel="0" collapsed="false">
      <c r="A924" s="39"/>
      <c r="B924" s="41"/>
      <c r="C924" s="40"/>
      <c r="D924" s="40"/>
      <c r="E924" s="40"/>
      <c r="F924" s="42"/>
      <c r="G924" s="39"/>
      <c r="H924" s="40"/>
      <c r="I924" s="40"/>
      <c r="J924" s="40"/>
      <c r="K924" s="41"/>
      <c r="L924" s="39"/>
      <c r="M924" s="48" t="str">
        <f aca="false">IF($E924="","",IFERROR(INDEX(Parâmetros!$C$15:$C$20,MATCH($P924,Parâmetros!$B$15:$B$20,0)),""))</f>
        <v/>
      </c>
      <c r="N924" s="46" t="str">
        <f aca="false">IF($E924="","",IF($P924="","",IF($P924&gt;=8,"Alta",IF($P924&gt;=5,"Média","Baixa"))))</f>
        <v/>
      </c>
      <c r="O924" s="46" t="str">
        <f aca="false">IF($E924="","",IF(AND(Parâmetros!$C$5&gt;0,$P924&lt;&gt;"",$P924&gt;=Parâmetros!$C$5),"Sim","Não"))</f>
        <v/>
      </c>
      <c r="P924" s="45" t="str">
        <f aca="false">IF($E924="","",IF($G924="","",IF($G924="NOK",$F924,0)))</f>
        <v/>
      </c>
      <c r="Q924" s="46" t="str">
        <f aca="false">IF($E924="","",IF($O924&lt;&gt;"Sim","",COUNTIF($O$3:$O924,"Sim")))</f>
        <v/>
      </c>
      <c r="R924" s="47" t="n">
        <f aca="false">IF($P924="",0,$P924)</f>
        <v>0</v>
      </c>
    </row>
    <row r="925" customFormat="false" ht="18" hidden="false" customHeight="true" outlineLevel="0" collapsed="false">
      <c r="A925" s="39"/>
      <c r="B925" s="41"/>
      <c r="C925" s="40"/>
      <c r="D925" s="40"/>
      <c r="E925" s="40"/>
      <c r="F925" s="42"/>
      <c r="G925" s="39"/>
      <c r="H925" s="40"/>
      <c r="I925" s="40"/>
      <c r="J925" s="40"/>
      <c r="K925" s="41"/>
      <c r="L925" s="39"/>
      <c r="M925" s="48" t="str">
        <f aca="false">IF($E925="","",IFERROR(INDEX(Parâmetros!$C$15:$C$20,MATCH($P925,Parâmetros!$B$15:$B$20,0)),""))</f>
        <v/>
      </c>
      <c r="N925" s="46" t="str">
        <f aca="false">IF($E925="","",IF($P925="","",IF($P925&gt;=8,"Alta",IF($P925&gt;=5,"Média","Baixa"))))</f>
        <v/>
      </c>
      <c r="O925" s="46" t="str">
        <f aca="false">IF($E925="","",IF(AND(Parâmetros!$C$5&gt;0,$P925&lt;&gt;"",$P925&gt;=Parâmetros!$C$5),"Sim","Não"))</f>
        <v/>
      </c>
      <c r="P925" s="45" t="str">
        <f aca="false">IF($E925="","",IF($G925="","",IF($G925="NOK",$F925,0)))</f>
        <v/>
      </c>
      <c r="Q925" s="46" t="str">
        <f aca="false">IF($E925="","",IF($O925&lt;&gt;"Sim","",COUNTIF($O$3:$O925,"Sim")))</f>
        <v/>
      </c>
      <c r="R925" s="47" t="n">
        <f aca="false">IF($P925="",0,$P925)</f>
        <v>0</v>
      </c>
    </row>
    <row r="926" customFormat="false" ht="18" hidden="false" customHeight="true" outlineLevel="0" collapsed="false">
      <c r="A926" s="39"/>
      <c r="B926" s="41"/>
      <c r="C926" s="40"/>
      <c r="D926" s="40"/>
      <c r="E926" s="40"/>
      <c r="F926" s="42"/>
      <c r="G926" s="39"/>
      <c r="H926" s="40"/>
      <c r="I926" s="40"/>
      <c r="J926" s="40"/>
      <c r="K926" s="41"/>
      <c r="L926" s="39"/>
      <c r="M926" s="48" t="str">
        <f aca="false">IF($E926="","",IFERROR(INDEX(Parâmetros!$C$15:$C$20,MATCH($P926,Parâmetros!$B$15:$B$20,0)),""))</f>
        <v/>
      </c>
      <c r="N926" s="46" t="str">
        <f aca="false">IF($E926="","",IF($P926="","",IF($P926&gt;=8,"Alta",IF($P926&gt;=5,"Média","Baixa"))))</f>
        <v/>
      </c>
      <c r="O926" s="46" t="str">
        <f aca="false">IF($E926="","",IF(AND(Parâmetros!$C$5&gt;0,$P926&lt;&gt;"",$P926&gt;=Parâmetros!$C$5),"Sim","Não"))</f>
        <v/>
      </c>
      <c r="P926" s="45" t="str">
        <f aca="false">IF($E926="","",IF($G926="","",IF($G926="NOK",$F926,0)))</f>
        <v/>
      </c>
      <c r="Q926" s="46" t="str">
        <f aca="false">IF($E926="","",IF($O926&lt;&gt;"Sim","",COUNTIF($O$3:$O926,"Sim")))</f>
        <v/>
      </c>
      <c r="R926" s="47" t="n">
        <f aca="false">IF($P926="",0,$P926)</f>
        <v>0</v>
      </c>
    </row>
    <row r="927" customFormat="false" ht="18" hidden="false" customHeight="true" outlineLevel="0" collapsed="false">
      <c r="A927" s="39"/>
      <c r="B927" s="41"/>
      <c r="C927" s="40"/>
      <c r="D927" s="40"/>
      <c r="E927" s="40"/>
      <c r="F927" s="42"/>
      <c r="G927" s="39"/>
      <c r="H927" s="40"/>
      <c r="I927" s="40"/>
      <c r="J927" s="40"/>
      <c r="K927" s="41"/>
      <c r="L927" s="39"/>
      <c r="M927" s="48" t="str">
        <f aca="false">IF($E927="","",IFERROR(INDEX(Parâmetros!$C$15:$C$20,MATCH($P927,Parâmetros!$B$15:$B$20,0)),""))</f>
        <v/>
      </c>
      <c r="N927" s="46" t="str">
        <f aca="false">IF($E927="","",IF($P927="","",IF($P927&gt;=8,"Alta",IF($P927&gt;=5,"Média","Baixa"))))</f>
        <v/>
      </c>
      <c r="O927" s="46" t="str">
        <f aca="false">IF($E927="","",IF(AND(Parâmetros!$C$5&gt;0,$P927&lt;&gt;"",$P927&gt;=Parâmetros!$C$5),"Sim","Não"))</f>
        <v/>
      </c>
      <c r="P927" s="45" t="str">
        <f aca="false">IF($E927="","",IF($G927="","",IF($G927="NOK",$F927,0)))</f>
        <v/>
      </c>
      <c r="Q927" s="46" t="str">
        <f aca="false">IF($E927="","",IF($O927&lt;&gt;"Sim","",COUNTIF($O$3:$O927,"Sim")))</f>
        <v/>
      </c>
      <c r="R927" s="47" t="n">
        <f aca="false">IF($P927="",0,$P927)</f>
        <v>0</v>
      </c>
    </row>
    <row r="928" customFormat="false" ht="18" hidden="false" customHeight="true" outlineLevel="0" collapsed="false">
      <c r="A928" s="39"/>
      <c r="B928" s="41"/>
      <c r="C928" s="40"/>
      <c r="D928" s="40"/>
      <c r="E928" s="40"/>
      <c r="F928" s="42"/>
      <c r="G928" s="39"/>
      <c r="H928" s="40"/>
      <c r="I928" s="40"/>
      <c r="J928" s="40"/>
      <c r="K928" s="41"/>
      <c r="L928" s="39"/>
      <c r="M928" s="48" t="str">
        <f aca="false">IF($E928="","",IFERROR(INDEX(Parâmetros!$C$15:$C$20,MATCH($P928,Parâmetros!$B$15:$B$20,0)),""))</f>
        <v/>
      </c>
      <c r="N928" s="46" t="str">
        <f aca="false">IF($E928="","",IF($P928="","",IF($P928&gt;=8,"Alta",IF($P928&gt;=5,"Média","Baixa"))))</f>
        <v/>
      </c>
      <c r="O928" s="46" t="str">
        <f aca="false">IF($E928="","",IF(AND(Parâmetros!$C$5&gt;0,$P928&lt;&gt;"",$P928&gt;=Parâmetros!$C$5),"Sim","Não"))</f>
        <v/>
      </c>
      <c r="P928" s="45" t="str">
        <f aca="false">IF($E928="","",IF($G928="","",IF($G928="NOK",$F928,0)))</f>
        <v/>
      </c>
      <c r="Q928" s="46" t="str">
        <f aca="false">IF($E928="","",IF($O928&lt;&gt;"Sim","",COUNTIF($O$3:$O928,"Sim")))</f>
        <v/>
      </c>
      <c r="R928" s="47" t="n">
        <f aca="false">IF($P928="",0,$P928)</f>
        <v>0</v>
      </c>
    </row>
    <row r="929" customFormat="false" ht="18" hidden="false" customHeight="true" outlineLevel="0" collapsed="false">
      <c r="A929" s="39"/>
      <c r="B929" s="41"/>
      <c r="C929" s="40"/>
      <c r="D929" s="40"/>
      <c r="E929" s="40"/>
      <c r="F929" s="42"/>
      <c r="G929" s="39"/>
      <c r="H929" s="40"/>
      <c r="I929" s="40"/>
      <c r="J929" s="40"/>
      <c r="K929" s="41"/>
      <c r="L929" s="39"/>
      <c r="M929" s="48" t="str">
        <f aca="false">IF($E929="","",IFERROR(INDEX(Parâmetros!$C$15:$C$20,MATCH($P929,Parâmetros!$B$15:$B$20,0)),""))</f>
        <v/>
      </c>
      <c r="N929" s="46" t="str">
        <f aca="false">IF($E929="","",IF($P929="","",IF($P929&gt;=8,"Alta",IF($P929&gt;=5,"Média","Baixa"))))</f>
        <v/>
      </c>
      <c r="O929" s="46" t="str">
        <f aca="false">IF($E929="","",IF(AND(Parâmetros!$C$5&gt;0,$P929&lt;&gt;"",$P929&gt;=Parâmetros!$C$5),"Sim","Não"))</f>
        <v/>
      </c>
      <c r="P929" s="45" t="str">
        <f aca="false">IF($E929="","",IF($G929="","",IF($G929="NOK",$F929,0)))</f>
        <v/>
      </c>
      <c r="Q929" s="46" t="str">
        <f aca="false">IF($E929="","",IF($O929&lt;&gt;"Sim","",COUNTIF($O$3:$O929,"Sim")))</f>
        <v/>
      </c>
      <c r="R929" s="47" t="n">
        <f aca="false">IF($P929="",0,$P929)</f>
        <v>0</v>
      </c>
    </row>
    <row r="930" customFormat="false" ht="18" hidden="false" customHeight="true" outlineLevel="0" collapsed="false">
      <c r="A930" s="39"/>
      <c r="B930" s="41"/>
      <c r="C930" s="40"/>
      <c r="D930" s="40"/>
      <c r="E930" s="40"/>
      <c r="F930" s="42"/>
      <c r="G930" s="39"/>
      <c r="H930" s="40"/>
      <c r="I930" s="40"/>
      <c r="J930" s="40"/>
      <c r="K930" s="41"/>
      <c r="L930" s="39"/>
      <c r="M930" s="48" t="str">
        <f aca="false">IF($E930="","",IFERROR(INDEX(Parâmetros!$C$15:$C$20,MATCH($P930,Parâmetros!$B$15:$B$20,0)),""))</f>
        <v/>
      </c>
      <c r="N930" s="46" t="str">
        <f aca="false">IF($E930="","",IF($P930="","",IF($P930&gt;=8,"Alta",IF($P930&gt;=5,"Média","Baixa"))))</f>
        <v/>
      </c>
      <c r="O930" s="46" t="str">
        <f aca="false">IF($E930="","",IF(AND(Parâmetros!$C$5&gt;0,$P930&lt;&gt;"",$P930&gt;=Parâmetros!$C$5),"Sim","Não"))</f>
        <v/>
      </c>
      <c r="P930" s="45" t="str">
        <f aca="false">IF($E930="","",IF($G930="","",IF($G930="NOK",$F930,0)))</f>
        <v/>
      </c>
      <c r="Q930" s="46" t="str">
        <f aca="false">IF($E930="","",IF($O930&lt;&gt;"Sim","",COUNTIF($O$3:$O930,"Sim")))</f>
        <v/>
      </c>
      <c r="R930" s="47" t="n">
        <f aca="false">IF($P930="",0,$P930)</f>
        <v>0</v>
      </c>
    </row>
    <row r="931" customFormat="false" ht="18" hidden="false" customHeight="true" outlineLevel="0" collapsed="false">
      <c r="A931" s="39"/>
      <c r="B931" s="41"/>
      <c r="C931" s="40"/>
      <c r="D931" s="40"/>
      <c r="E931" s="40"/>
      <c r="F931" s="42"/>
      <c r="G931" s="39"/>
      <c r="H931" s="40"/>
      <c r="I931" s="40"/>
      <c r="J931" s="40"/>
      <c r="K931" s="41"/>
      <c r="L931" s="39"/>
      <c r="M931" s="48" t="str">
        <f aca="false">IF($E931="","",IFERROR(INDEX(Parâmetros!$C$15:$C$20,MATCH($P931,Parâmetros!$B$15:$B$20,0)),""))</f>
        <v/>
      </c>
      <c r="N931" s="46" t="str">
        <f aca="false">IF($E931="","",IF($P931="","",IF($P931&gt;=8,"Alta",IF($P931&gt;=5,"Média","Baixa"))))</f>
        <v/>
      </c>
      <c r="O931" s="46" t="str">
        <f aca="false">IF($E931="","",IF(AND(Parâmetros!$C$5&gt;0,$P931&lt;&gt;"",$P931&gt;=Parâmetros!$C$5),"Sim","Não"))</f>
        <v/>
      </c>
      <c r="P931" s="45" t="str">
        <f aca="false">IF($E931="","",IF($G931="","",IF($G931="NOK",$F931,0)))</f>
        <v/>
      </c>
      <c r="Q931" s="46" t="str">
        <f aca="false">IF($E931="","",IF($O931&lt;&gt;"Sim","",COUNTIF($O$3:$O931,"Sim")))</f>
        <v/>
      </c>
      <c r="R931" s="47" t="n">
        <f aca="false">IF($P931="",0,$P931)</f>
        <v>0</v>
      </c>
    </row>
    <row r="932" customFormat="false" ht="18" hidden="false" customHeight="true" outlineLevel="0" collapsed="false">
      <c r="A932" s="39"/>
      <c r="B932" s="41"/>
      <c r="C932" s="40"/>
      <c r="D932" s="40"/>
      <c r="E932" s="40"/>
      <c r="F932" s="42"/>
      <c r="G932" s="39"/>
      <c r="H932" s="40"/>
      <c r="I932" s="40"/>
      <c r="J932" s="40"/>
      <c r="K932" s="41"/>
      <c r="L932" s="39"/>
      <c r="M932" s="48" t="str">
        <f aca="false">IF($E932="","",IFERROR(INDEX(Parâmetros!$C$15:$C$20,MATCH($P932,Parâmetros!$B$15:$B$20,0)),""))</f>
        <v/>
      </c>
      <c r="N932" s="46" t="str">
        <f aca="false">IF($E932="","",IF($P932="","",IF($P932&gt;=8,"Alta",IF($P932&gt;=5,"Média","Baixa"))))</f>
        <v/>
      </c>
      <c r="O932" s="46" t="str">
        <f aca="false">IF($E932="","",IF(AND(Parâmetros!$C$5&gt;0,$P932&lt;&gt;"",$P932&gt;=Parâmetros!$C$5),"Sim","Não"))</f>
        <v/>
      </c>
      <c r="P932" s="45" t="str">
        <f aca="false">IF($E932="","",IF($G932="","",IF($G932="NOK",$F932,0)))</f>
        <v/>
      </c>
      <c r="Q932" s="46" t="str">
        <f aca="false">IF($E932="","",IF($O932&lt;&gt;"Sim","",COUNTIF($O$3:$O932,"Sim")))</f>
        <v/>
      </c>
      <c r="R932" s="47" t="n">
        <f aca="false">IF($P932="",0,$P932)</f>
        <v>0</v>
      </c>
    </row>
    <row r="933" customFormat="false" ht="18" hidden="false" customHeight="true" outlineLevel="0" collapsed="false">
      <c r="A933" s="39"/>
      <c r="B933" s="41"/>
      <c r="C933" s="40"/>
      <c r="D933" s="40"/>
      <c r="E933" s="40"/>
      <c r="F933" s="42"/>
      <c r="G933" s="39"/>
      <c r="H933" s="40"/>
      <c r="I933" s="40"/>
      <c r="J933" s="40"/>
      <c r="K933" s="41"/>
      <c r="L933" s="39"/>
      <c r="M933" s="48" t="str">
        <f aca="false">IF($E933="","",IFERROR(INDEX(Parâmetros!$C$15:$C$20,MATCH($P933,Parâmetros!$B$15:$B$20,0)),""))</f>
        <v/>
      </c>
      <c r="N933" s="46" t="str">
        <f aca="false">IF($E933="","",IF($P933="","",IF($P933&gt;=8,"Alta",IF($P933&gt;=5,"Média","Baixa"))))</f>
        <v/>
      </c>
      <c r="O933" s="46" t="str">
        <f aca="false">IF($E933="","",IF(AND(Parâmetros!$C$5&gt;0,$P933&lt;&gt;"",$P933&gt;=Parâmetros!$C$5),"Sim","Não"))</f>
        <v/>
      </c>
      <c r="P933" s="45" t="str">
        <f aca="false">IF($E933="","",IF($G933="","",IF($G933="NOK",$F933,0)))</f>
        <v/>
      </c>
      <c r="Q933" s="46" t="str">
        <f aca="false">IF($E933="","",IF($O933&lt;&gt;"Sim","",COUNTIF($O$3:$O933,"Sim")))</f>
        <v/>
      </c>
      <c r="R933" s="47" t="n">
        <f aca="false">IF($P933="",0,$P933)</f>
        <v>0</v>
      </c>
    </row>
    <row r="934" customFormat="false" ht="18" hidden="false" customHeight="true" outlineLevel="0" collapsed="false">
      <c r="A934" s="39"/>
      <c r="B934" s="41"/>
      <c r="C934" s="40"/>
      <c r="D934" s="40"/>
      <c r="E934" s="40"/>
      <c r="F934" s="42"/>
      <c r="G934" s="39"/>
      <c r="H934" s="40"/>
      <c r="I934" s="40"/>
      <c r="J934" s="40"/>
      <c r="K934" s="41"/>
      <c r="L934" s="39"/>
      <c r="M934" s="48" t="str">
        <f aca="false">IF($E934="","",IFERROR(INDEX(Parâmetros!$C$15:$C$20,MATCH($P934,Parâmetros!$B$15:$B$20,0)),""))</f>
        <v/>
      </c>
      <c r="N934" s="46" t="str">
        <f aca="false">IF($E934="","",IF($P934="","",IF($P934&gt;=8,"Alta",IF($P934&gt;=5,"Média","Baixa"))))</f>
        <v/>
      </c>
      <c r="O934" s="46" t="str">
        <f aca="false">IF($E934="","",IF(AND(Parâmetros!$C$5&gt;0,$P934&lt;&gt;"",$P934&gt;=Parâmetros!$C$5),"Sim","Não"))</f>
        <v/>
      </c>
      <c r="P934" s="45" t="str">
        <f aca="false">IF($E934="","",IF($G934="","",IF($G934="NOK",$F934,0)))</f>
        <v/>
      </c>
      <c r="Q934" s="46" t="str">
        <f aca="false">IF($E934="","",IF($O934&lt;&gt;"Sim","",COUNTIF($O$3:$O934,"Sim")))</f>
        <v/>
      </c>
      <c r="R934" s="47" t="n">
        <f aca="false">IF($P934="",0,$P934)</f>
        <v>0</v>
      </c>
    </row>
    <row r="935" customFormat="false" ht="18" hidden="false" customHeight="true" outlineLevel="0" collapsed="false">
      <c r="A935" s="39"/>
      <c r="B935" s="41"/>
      <c r="C935" s="40"/>
      <c r="D935" s="40"/>
      <c r="E935" s="40"/>
      <c r="F935" s="42"/>
      <c r="G935" s="39"/>
      <c r="H935" s="40"/>
      <c r="I935" s="40"/>
      <c r="J935" s="40"/>
      <c r="K935" s="41"/>
      <c r="L935" s="39"/>
      <c r="M935" s="48" t="str">
        <f aca="false">IF($E935="","",IFERROR(INDEX(Parâmetros!$C$15:$C$20,MATCH($P935,Parâmetros!$B$15:$B$20,0)),""))</f>
        <v/>
      </c>
      <c r="N935" s="46" t="str">
        <f aca="false">IF($E935="","",IF($P935="","",IF($P935&gt;=8,"Alta",IF($P935&gt;=5,"Média","Baixa"))))</f>
        <v/>
      </c>
      <c r="O935" s="46" t="str">
        <f aca="false">IF($E935="","",IF(AND(Parâmetros!$C$5&gt;0,$P935&lt;&gt;"",$P935&gt;=Parâmetros!$C$5),"Sim","Não"))</f>
        <v/>
      </c>
      <c r="P935" s="45" t="str">
        <f aca="false">IF($E935="","",IF($G935="","",IF($G935="NOK",$F935,0)))</f>
        <v/>
      </c>
      <c r="Q935" s="46" t="str">
        <f aca="false">IF($E935="","",IF($O935&lt;&gt;"Sim","",COUNTIF($O$3:$O935,"Sim")))</f>
        <v/>
      </c>
      <c r="R935" s="47" t="n">
        <f aca="false">IF($P935="",0,$P935)</f>
        <v>0</v>
      </c>
    </row>
    <row r="936" customFormat="false" ht="18" hidden="false" customHeight="true" outlineLevel="0" collapsed="false">
      <c r="A936" s="39"/>
      <c r="B936" s="41"/>
      <c r="C936" s="40"/>
      <c r="D936" s="40"/>
      <c r="E936" s="40"/>
      <c r="F936" s="42"/>
      <c r="G936" s="39"/>
      <c r="H936" s="40"/>
      <c r="I936" s="40"/>
      <c r="J936" s="40"/>
      <c r="K936" s="41"/>
      <c r="L936" s="39"/>
      <c r="M936" s="48" t="str">
        <f aca="false">IF($E936="","",IFERROR(INDEX(Parâmetros!$C$15:$C$20,MATCH($P936,Parâmetros!$B$15:$B$20,0)),""))</f>
        <v/>
      </c>
      <c r="N936" s="46" t="str">
        <f aca="false">IF($E936="","",IF($P936="","",IF($P936&gt;=8,"Alta",IF($P936&gt;=5,"Média","Baixa"))))</f>
        <v/>
      </c>
      <c r="O936" s="46" t="str">
        <f aca="false">IF($E936="","",IF(AND(Parâmetros!$C$5&gt;0,$P936&lt;&gt;"",$P936&gt;=Parâmetros!$C$5),"Sim","Não"))</f>
        <v/>
      </c>
      <c r="P936" s="45" t="str">
        <f aca="false">IF($E936="","",IF($G936="","",IF($G936="NOK",$F936,0)))</f>
        <v/>
      </c>
      <c r="Q936" s="46" t="str">
        <f aca="false">IF($E936="","",IF($O936&lt;&gt;"Sim","",COUNTIF($O$3:$O936,"Sim")))</f>
        <v/>
      </c>
      <c r="R936" s="47" t="n">
        <f aca="false">IF($P936="",0,$P936)</f>
        <v>0</v>
      </c>
    </row>
    <row r="937" customFormat="false" ht="18" hidden="false" customHeight="true" outlineLevel="0" collapsed="false">
      <c r="A937" s="39"/>
      <c r="B937" s="41"/>
      <c r="C937" s="40"/>
      <c r="D937" s="40"/>
      <c r="E937" s="40"/>
      <c r="F937" s="42"/>
      <c r="G937" s="39"/>
      <c r="H937" s="40"/>
      <c r="I937" s="40"/>
      <c r="J937" s="40"/>
      <c r="K937" s="41"/>
      <c r="L937" s="39"/>
      <c r="M937" s="48" t="str">
        <f aca="false">IF($E937="","",IFERROR(INDEX(Parâmetros!$C$15:$C$20,MATCH($P937,Parâmetros!$B$15:$B$20,0)),""))</f>
        <v/>
      </c>
      <c r="N937" s="46" t="str">
        <f aca="false">IF($E937="","",IF($P937="","",IF($P937&gt;=8,"Alta",IF($P937&gt;=5,"Média","Baixa"))))</f>
        <v/>
      </c>
      <c r="O937" s="46" t="str">
        <f aca="false">IF($E937="","",IF(AND(Parâmetros!$C$5&gt;0,$P937&lt;&gt;"",$P937&gt;=Parâmetros!$C$5),"Sim","Não"))</f>
        <v/>
      </c>
      <c r="P937" s="45" t="str">
        <f aca="false">IF($E937="","",IF($G937="","",IF($G937="NOK",$F937,0)))</f>
        <v/>
      </c>
      <c r="Q937" s="46" t="str">
        <f aca="false">IF($E937="","",IF($O937&lt;&gt;"Sim","",COUNTIF($O$3:$O937,"Sim")))</f>
        <v/>
      </c>
      <c r="R937" s="47" t="n">
        <f aca="false">IF($P937="",0,$P937)</f>
        <v>0</v>
      </c>
    </row>
    <row r="938" customFormat="false" ht="18" hidden="false" customHeight="true" outlineLevel="0" collapsed="false">
      <c r="A938" s="39"/>
      <c r="B938" s="41"/>
      <c r="C938" s="40"/>
      <c r="D938" s="40"/>
      <c r="E938" s="40"/>
      <c r="F938" s="42"/>
      <c r="G938" s="39"/>
      <c r="H938" s="40"/>
      <c r="I938" s="40"/>
      <c r="J938" s="40"/>
      <c r="K938" s="41"/>
      <c r="L938" s="39"/>
      <c r="M938" s="48" t="str">
        <f aca="false">IF($E938="","",IFERROR(INDEX(Parâmetros!$C$15:$C$20,MATCH($P938,Parâmetros!$B$15:$B$20,0)),""))</f>
        <v/>
      </c>
      <c r="N938" s="46" t="str">
        <f aca="false">IF($E938="","",IF($P938="","",IF($P938&gt;=8,"Alta",IF($P938&gt;=5,"Média","Baixa"))))</f>
        <v/>
      </c>
      <c r="O938" s="46" t="str">
        <f aca="false">IF($E938="","",IF(AND(Parâmetros!$C$5&gt;0,$P938&lt;&gt;"",$P938&gt;=Parâmetros!$C$5),"Sim","Não"))</f>
        <v/>
      </c>
      <c r="P938" s="45" t="str">
        <f aca="false">IF($E938="","",IF($G938="","",IF($G938="NOK",$F938,0)))</f>
        <v/>
      </c>
      <c r="Q938" s="46" t="str">
        <f aca="false">IF($E938="","",IF($O938&lt;&gt;"Sim","",COUNTIF($O$3:$O938,"Sim")))</f>
        <v/>
      </c>
      <c r="R938" s="47" t="n">
        <f aca="false">IF($P938="",0,$P938)</f>
        <v>0</v>
      </c>
    </row>
    <row r="939" customFormat="false" ht="18" hidden="false" customHeight="true" outlineLevel="0" collapsed="false">
      <c r="A939" s="39"/>
      <c r="B939" s="41"/>
      <c r="C939" s="40"/>
      <c r="D939" s="40"/>
      <c r="E939" s="40"/>
      <c r="F939" s="42"/>
      <c r="G939" s="39"/>
      <c r="H939" s="40"/>
      <c r="I939" s="40"/>
      <c r="J939" s="40"/>
      <c r="K939" s="41"/>
      <c r="L939" s="39"/>
      <c r="M939" s="48" t="str">
        <f aca="false">IF($E939="","",IFERROR(INDEX(Parâmetros!$C$15:$C$20,MATCH($P939,Parâmetros!$B$15:$B$20,0)),""))</f>
        <v/>
      </c>
      <c r="N939" s="46" t="str">
        <f aca="false">IF($E939="","",IF($P939="","",IF($P939&gt;=8,"Alta",IF($P939&gt;=5,"Média","Baixa"))))</f>
        <v/>
      </c>
      <c r="O939" s="46" t="str">
        <f aca="false">IF($E939="","",IF(AND(Parâmetros!$C$5&gt;0,$P939&lt;&gt;"",$P939&gt;=Parâmetros!$C$5),"Sim","Não"))</f>
        <v/>
      </c>
      <c r="P939" s="45" t="str">
        <f aca="false">IF($E939="","",IF($G939="","",IF($G939="NOK",$F939,0)))</f>
        <v/>
      </c>
      <c r="Q939" s="46" t="str">
        <f aca="false">IF($E939="","",IF($O939&lt;&gt;"Sim","",COUNTIF($O$3:$O939,"Sim")))</f>
        <v/>
      </c>
      <c r="R939" s="47" t="n">
        <f aca="false">IF($P939="",0,$P939)</f>
        <v>0</v>
      </c>
    </row>
    <row r="940" customFormat="false" ht="18" hidden="false" customHeight="true" outlineLevel="0" collapsed="false">
      <c r="A940" s="39"/>
      <c r="B940" s="41"/>
      <c r="C940" s="40"/>
      <c r="D940" s="40"/>
      <c r="E940" s="40"/>
      <c r="F940" s="42"/>
      <c r="G940" s="39"/>
      <c r="H940" s="40"/>
      <c r="I940" s="40"/>
      <c r="J940" s="40"/>
      <c r="K940" s="41"/>
      <c r="L940" s="39"/>
      <c r="M940" s="48" t="str">
        <f aca="false">IF($E940="","",IFERROR(INDEX(Parâmetros!$C$15:$C$20,MATCH($P940,Parâmetros!$B$15:$B$20,0)),""))</f>
        <v/>
      </c>
      <c r="N940" s="46" t="str">
        <f aca="false">IF($E940="","",IF($P940="","",IF($P940&gt;=8,"Alta",IF($P940&gt;=5,"Média","Baixa"))))</f>
        <v/>
      </c>
      <c r="O940" s="46" t="str">
        <f aca="false">IF($E940="","",IF(AND(Parâmetros!$C$5&gt;0,$P940&lt;&gt;"",$P940&gt;=Parâmetros!$C$5),"Sim","Não"))</f>
        <v/>
      </c>
      <c r="P940" s="45" t="str">
        <f aca="false">IF($E940="","",IF($G940="","",IF($G940="NOK",$F940,0)))</f>
        <v/>
      </c>
      <c r="Q940" s="46" t="str">
        <f aca="false">IF($E940="","",IF($O940&lt;&gt;"Sim","",COUNTIF($O$3:$O940,"Sim")))</f>
        <v/>
      </c>
      <c r="R940" s="47" t="n">
        <f aca="false">IF($P940="",0,$P940)</f>
        <v>0</v>
      </c>
    </row>
    <row r="941" customFormat="false" ht="18" hidden="false" customHeight="true" outlineLevel="0" collapsed="false">
      <c r="A941" s="39"/>
      <c r="B941" s="41"/>
      <c r="C941" s="40"/>
      <c r="D941" s="40"/>
      <c r="E941" s="40"/>
      <c r="F941" s="42"/>
      <c r="G941" s="39"/>
      <c r="H941" s="40"/>
      <c r="I941" s="40"/>
      <c r="J941" s="40"/>
      <c r="K941" s="41"/>
      <c r="L941" s="39"/>
      <c r="M941" s="48" t="str">
        <f aca="false">IF($E941="","",IFERROR(INDEX(Parâmetros!$C$15:$C$20,MATCH($P941,Parâmetros!$B$15:$B$20,0)),""))</f>
        <v/>
      </c>
      <c r="N941" s="46" t="str">
        <f aca="false">IF($E941="","",IF($P941="","",IF($P941&gt;=8,"Alta",IF($P941&gt;=5,"Média","Baixa"))))</f>
        <v/>
      </c>
      <c r="O941" s="46" t="str">
        <f aca="false">IF($E941="","",IF(AND(Parâmetros!$C$5&gt;0,$P941&lt;&gt;"",$P941&gt;=Parâmetros!$C$5),"Sim","Não"))</f>
        <v/>
      </c>
      <c r="P941" s="45" t="str">
        <f aca="false">IF($E941="","",IF($G941="","",IF($G941="NOK",$F941,0)))</f>
        <v/>
      </c>
      <c r="Q941" s="46" t="str">
        <f aca="false">IF($E941="","",IF($O941&lt;&gt;"Sim","",COUNTIF($O$3:$O941,"Sim")))</f>
        <v/>
      </c>
      <c r="R941" s="47" t="n">
        <f aca="false">IF($P941="",0,$P941)</f>
        <v>0</v>
      </c>
    </row>
    <row r="942" customFormat="false" ht="18" hidden="false" customHeight="true" outlineLevel="0" collapsed="false">
      <c r="A942" s="39"/>
      <c r="B942" s="41"/>
      <c r="C942" s="40"/>
      <c r="D942" s="40"/>
      <c r="E942" s="40"/>
      <c r="F942" s="42"/>
      <c r="G942" s="39"/>
      <c r="H942" s="40"/>
      <c r="I942" s="40"/>
      <c r="J942" s="40"/>
      <c r="K942" s="41"/>
      <c r="L942" s="39"/>
      <c r="M942" s="48" t="str">
        <f aca="false">IF($E942="","",IFERROR(INDEX(Parâmetros!$C$15:$C$20,MATCH($P942,Parâmetros!$B$15:$B$20,0)),""))</f>
        <v/>
      </c>
      <c r="N942" s="46" t="str">
        <f aca="false">IF($E942="","",IF($P942="","",IF($P942&gt;=8,"Alta",IF($P942&gt;=5,"Média","Baixa"))))</f>
        <v/>
      </c>
      <c r="O942" s="46" t="str">
        <f aca="false">IF($E942="","",IF(AND(Parâmetros!$C$5&gt;0,$P942&lt;&gt;"",$P942&gt;=Parâmetros!$C$5),"Sim","Não"))</f>
        <v/>
      </c>
      <c r="P942" s="45" t="str">
        <f aca="false">IF($E942="","",IF($G942="","",IF($G942="NOK",$F942,0)))</f>
        <v/>
      </c>
      <c r="Q942" s="46" t="str">
        <f aca="false">IF($E942="","",IF($O942&lt;&gt;"Sim","",COUNTIF($O$3:$O942,"Sim")))</f>
        <v/>
      </c>
      <c r="R942" s="47" t="n">
        <f aca="false">IF($P942="",0,$P942)</f>
        <v>0</v>
      </c>
    </row>
    <row r="943" customFormat="false" ht="18" hidden="false" customHeight="true" outlineLevel="0" collapsed="false">
      <c r="A943" s="39"/>
      <c r="B943" s="41"/>
      <c r="C943" s="40"/>
      <c r="D943" s="40"/>
      <c r="E943" s="40"/>
      <c r="F943" s="42"/>
      <c r="G943" s="39"/>
      <c r="H943" s="40"/>
      <c r="I943" s="40"/>
      <c r="J943" s="40"/>
      <c r="K943" s="41"/>
      <c r="L943" s="39"/>
      <c r="M943" s="48" t="str">
        <f aca="false">IF($E943="","",IFERROR(INDEX(Parâmetros!$C$15:$C$20,MATCH($P943,Parâmetros!$B$15:$B$20,0)),""))</f>
        <v/>
      </c>
      <c r="N943" s="46" t="str">
        <f aca="false">IF($E943="","",IF($P943="","",IF($P943&gt;=8,"Alta",IF($P943&gt;=5,"Média","Baixa"))))</f>
        <v/>
      </c>
      <c r="O943" s="46" t="str">
        <f aca="false">IF($E943="","",IF(AND(Parâmetros!$C$5&gt;0,$P943&lt;&gt;"",$P943&gt;=Parâmetros!$C$5),"Sim","Não"))</f>
        <v/>
      </c>
      <c r="P943" s="45" t="str">
        <f aca="false">IF($E943="","",IF($G943="","",IF($G943="NOK",$F943,0)))</f>
        <v/>
      </c>
      <c r="Q943" s="46" t="str">
        <f aca="false">IF($E943="","",IF($O943&lt;&gt;"Sim","",COUNTIF($O$3:$O943,"Sim")))</f>
        <v/>
      </c>
      <c r="R943" s="47" t="n">
        <f aca="false">IF($P943="",0,$P943)</f>
        <v>0</v>
      </c>
    </row>
    <row r="944" customFormat="false" ht="18" hidden="false" customHeight="true" outlineLevel="0" collapsed="false">
      <c r="A944" s="39"/>
      <c r="B944" s="41"/>
      <c r="C944" s="40"/>
      <c r="D944" s="40"/>
      <c r="E944" s="40"/>
      <c r="F944" s="42"/>
      <c r="G944" s="39"/>
      <c r="H944" s="40"/>
      <c r="I944" s="40"/>
      <c r="J944" s="40"/>
      <c r="K944" s="41"/>
      <c r="L944" s="39"/>
      <c r="M944" s="48" t="str">
        <f aca="false">IF($E944="","",IFERROR(INDEX(Parâmetros!$C$15:$C$20,MATCH($P944,Parâmetros!$B$15:$B$20,0)),""))</f>
        <v/>
      </c>
      <c r="N944" s="46" t="str">
        <f aca="false">IF($E944="","",IF($P944="","",IF($P944&gt;=8,"Alta",IF($P944&gt;=5,"Média","Baixa"))))</f>
        <v/>
      </c>
      <c r="O944" s="46" t="str">
        <f aca="false">IF($E944="","",IF(AND(Parâmetros!$C$5&gt;0,$P944&lt;&gt;"",$P944&gt;=Parâmetros!$C$5),"Sim","Não"))</f>
        <v/>
      </c>
      <c r="P944" s="45" t="str">
        <f aca="false">IF($E944="","",IF($G944="","",IF($G944="NOK",$F944,0)))</f>
        <v/>
      </c>
      <c r="Q944" s="46" t="str">
        <f aca="false">IF($E944="","",IF($O944&lt;&gt;"Sim","",COUNTIF($O$3:$O944,"Sim")))</f>
        <v/>
      </c>
      <c r="R944" s="47" t="n">
        <f aca="false">IF($P944="",0,$P944)</f>
        <v>0</v>
      </c>
    </row>
    <row r="945" customFormat="false" ht="18" hidden="false" customHeight="true" outlineLevel="0" collapsed="false">
      <c r="A945" s="39"/>
      <c r="B945" s="41"/>
      <c r="C945" s="40"/>
      <c r="D945" s="40"/>
      <c r="E945" s="40"/>
      <c r="F945" s="42"/>
      <c r="G945" s="39"/>
      <c r="H945" s="40"/>
      <c r="I945" s="40"/>
      <c r="J945" s="40"/>
      <c r="K945" s="41"/>
      <c r="L945" s="39"/>
      <c r="M945" s="48" t="str">
        <f aca="false">IF($E945="","",IFERROR(INDEX(Parâmetros!$C$15:$C$20,MATCH($P945,Parâmetros!$B$15:$B$20,0)),""))</f>
        <v/>
      </c>
      <c r="N945" s="46" t="str">
        <f aca="false">IF($E945="","",IF($P945="","",IF($P945&gt;=8,"Alta",IF($P945&gt;=5,"Média","Baixa"))))</f>
        <v/>
      </c>
      <c r="O945" s="46" t="str">
        <f aca="false">IF($E945="","",IF(AND(Parâmetros!$C$5&gt;0,$P945&lt;&gt;"",$P945&gt;=Parâmetros!$C$5),"Sim","Não"))</f>
        <v/>
      </c>
      <c r="P945" s="45" t="str">
        <f aca="false">IF($E945="","",IF($G945="","",IF($G945="NOK",$F945,0)))</f>
        <v/>
      </c>
      <c r="Q945" s="46" t="str">
        <f aca="false">IF($E945="","",IF($O945&lt;&gt;"Sim","",COUNTIF($O$3:$O945,"Sim")))</f>
        <v/>
      </c>
      <c r="R945" s="47" t="n">
        <f aca="false">IF($P945="",0,$P945)</f>
        <v>0</v>
      </c>
    </row>
    <row r="946" customFormat="false" ht="18" hidden="false" customHeight="true" outlineLevel="0" collapsed="false">
      <c r="A946" s="39"/>
      <c r="B946" s="41"/>
      <c r="C946" s="40"/>
      <c r="D946" s="40"/>
      <c r="E946" s="40"/>
      <c r="F946" s="42"/>
      <c r="G946" s="39"/>
      <c r="H946" s="40"/>
      <c r="I946" s="40"/>
      <c r="J946" s="40"/>
      <c r="K946" s="41"/>
      <c r="L946" s="39"/>
      <c r="M946" s="48" t="str">
        <f aca="false">IF($E946="","",IFERROR(INDEX(Parâmetros!$C$15:$C$20,MATCH($P946,Parâmetros!$B$15:$B$20,0)),""))</f>
        <v/>
      </c>
      <c r="N946" s="46" t="str">
        <f aca="false">IF($E946="","",IF($P946="","",IF($P946&gt;=8,"Alta",IF($P946&gt;=5,"Média","Baixa"))))</f>
        <v/>
      </c>
      <c r="O946" s="46" t="str">
        <f aca="false">IF($E946="","",IF(AND(Parâmetros!$C$5&gt;0,$P946&lt;&gt;"",$P946&gt;=Parâmetros!$C$5),"Sim","Não"))</f>
        <v/>
      </c>
      <c r="P946" s="45" t="str">
        <f aca="false">IF($E946="","",IF($G946="","",IF($G946="NOK",$F946,0)))</f>
        <v/>
      </c>
      <c r="Q946" s="46" t="str">
        <f aca="false">IF($E946="","",IF($O946&lt;&gt;"Sim","",COUNTIF($O$3:$O946,"Sim")))</f>
        <v/>
      </c>
      <c r="R946" s="47" t="n">
        <f aca="false">IF($P946="",0,$P946)</f>
        <v>0</v>
      </c>
    </row>
    <row r="947" customFormat="false" ht="18" hidden="false" customHeight="true" outlineLevel="0" collapsed="false">
      <c r="A947" s="39"/>
      <c r="B947" s="41"/>
      <c r="C947" s="40"/>
      <c r="D947" s="40"/>
      <c r="E947" s="40"/>
      <c r="F947" s="42"/>
      <c r="G947" s="39"/>
      <c r="H947" s="40"/>
      <c r="I947" s="40"/>
      <c r="J947" s="40"/>
      <c r="K947" s="41"/>
      <c r="L947" s="39"/>
      <c r="M947" s="48" t="str">
        <f aca="false">IF($E947="","",IFERROR(INDEX(Parâmetros!$C$15:$C$20,MATCH($P947,Parâmetros!$B$15:$B$20,0)),""))</f>
        <v/>
      </c>
      <c r="N947" s="46" t="str">
        <f aca="false">IF($E947="","",IF($P947="","",IF($P947&gt;=8,"Alta",IF($P947&gt;=5,"Média","Baixa"))))</f>
        <v/>
      </c>
      <c r="O947" s="46" t="str">
        <f aca="false">IF($E947="","",IF(AND(Parâmetros!$C$5&gt;0,$P947&lt;&gt;"",$P947&gt;=Parâmetros!$C$5),"Sim","Não"))</f>
        <v/>
      </c>
      <c r="P947" s="45" t="str">
        <f aca="false">IF($E947="","",IF($G947="","",IF($G947="NOK",$F947,0)))</f>
        <v/>
      </c>
      <c r="Q947" s="46" t="str">
        <f aca="false">IF($E947="","",IF($O947&lt;&gt;"Sim","",COUNTIF($O$3:$O947,"Sim")))</f>
        <v/>
      </c>
      <c r="R947" s="47" t="n">
        <f aca="false">IF($P947="",0,$P947)</f>
        <v>0</v>
      </c>
    </row>
    <row r="948" customFormat="false" ht="18" hidden="false" customHeight="true" outlineLevel="0" collapsed="false">
      <c r="A948" s="39"/>
      <c r="B948" s="41"/>
      <c r="C948" s="40"/>
      <c r="D948" s="40"/>
      <c r="E948" s="40"/>
      <c r="F948" s="42"/>
      <c r="G948" s="39"/>
      <c r="H948" s="40"/>
      <c r="I948" s="40"/>
      <c r="J948" s="40"/>
      <c r="K948" s="41"/>
      <c r="L948" s="39"/>
      <c r="M948" s="48" t="str">
        <f aca="false">IF($E948="","",IFERROR(INDEX(Parâmetros!$C$15:$C$20,MATCH($P948,Parâmetros!$B$15:$B$20,0)),""))</f>
        <v/>
      </c>
      <c r="N948" s="46" t="str">
        <f aca="false">IF($E948="","",IF($P948="","",IF($P948&gt;=8,"Alta",IF($P948&gt;=5,"Média","Baixa"))))</f>
        <v/>
      </c>
      <c r="O948" s="46" t="str">
        <f aca="false">IF($E948="","",IF(AND(Parâmetros!$C$5&gt;0,$P948&lt;&gt;"",$P948&gt;=Parâmetros!$C$5),"Sim","Não"))</f>
        <v/>
      </c>
      <c r="P948" s="45" t="str">
        <f aca="false">IF($E948="","",IF($G948="","",IF($G948="NOK",$F948,0)))</f>
        <v/>
      </c>
      <c r="Q948" s="46" t="str">
        <f aca="false">IF($E948="","",IF($O948&lt;&gt;"Sim","",COUNTIF($O$3:$O948,"Sim")))</f>
        <v/>
      </c>
      <c r="R948" s="47" t="n">
        <f aca="false">IF($P948="",0,$P948)</f>
        <v>0</v>
      </c>
    </row>
    <row r="949" customFormat="false" ht="18" hidden="false" customHeight="true" outlineLevel="0" collapsed="false">
      <c r="A949" s="39"/>
      <c r="B949" s="41"/>
      <c r="C949" s="40"/>
      <c r="D949" s="40"/>
      <c r="E949" s="40"/>
      <c r="F949" s="42"/>
      <c r="G949" s="39"/>
      <c r="H949" s="40"/>
      <c r="I949" s="40"/>
      <c r="J949" s="40"/>
      <c r="K949" s="41"/>
      <c r="L949" s="39"/>
      <c r="M949" s="48" t="str">
        <f aca="false">IF($E949="","",IFERROR(INDEX(Parâmetros!$C$15:$C$20,MATCH($P949,Parâmetros!$B$15:$B$20,0)),""))</f>
        <v/>
      </c>
      <c r="N949" s="46" t="str">
        <f aca="false">IF($E949="","",IF($P949="","",IF($P949&gt;=8,"Alta",IF($P949&gt;=5,"Média","Baixa"))))</f>
        <v/>
      </c>
      <c r="O949" s="46" t="str">
        <f aca="false">IF($E949="","",IF(AND(Parâmetros!$C$5&gt;0,$P949&lt;&gt;"",$P949&gt;=Parâmetros!$C$5),"Sim","Não"))</f>
        <v/>
      </c>
      <c r="P949" s="45" t="str">
        <f aca="false">IF($E949="","",IF($G949="","",IF($G949="NOK",$F949,0)))</f>
        <v/>
      </c>
      <c r="Q949" s="46" t="str">
        <f aca="false">IF($E949="","",IF($O949&lt;&gt;"Sim","",COUNTIF($O$3:$O949,"Sim")))</f>
        <v/>
      </c>
      <c r="R949" s="47" t="n">
        <f aca="false">IF($P949="",0,$P949)</f>
        <v>0</v>
      </c>
    </row>
    <row r="950" customFormat="false" ht="18" hidden="false" customHeight="true" outlineLevel="0" collapsed="false">
      <c r="A950" s="39"/>
      <c r="B950" s="41"/>
      <c r="C950" s="40"/>
      <c r="D950" s="40"/>
      <c r="E950" s="40"/>
      <c r="F950" s="42"/>
      <c r="G950" s="39"/>
      <c r="H950" s="40"/>
      <c r="I950" s="40"/>
      <c r="J950" s="40"/>
      <c r="K950" s="41"/>
      <c r="L950" s="39"/>
      <c r="M950" s="48" t="str">
        <f aca="false">IF($E950="","",IFERROR(INDEX(Parâmetros!$C$15:$C$20,MATCH($P950,Parâmetros!$B$15:$B$20,0)),""))</f>
        <v/>
      </c>
      <c r="N950" s="46" t="str">
        <f aca="false">IF($E950="","",IF($P950="","",IF($P950&gt;=8,"Alta",IF($P950&gt;=5,"Média","Baixa"))))</f>
        <v/>
      </c>
      <c r="O950" s="46" t="str">
        <f aca="false">IF($E950="","",IF(AND(Parâmetros!$C$5&gt;0,$P950&lt;&gt;"",$P950&gt;=Parâmetros!$C$5),"Sim","Não"))</f>
        <v/>
      </c>
      <c r="P950" s="45" t="str">
        <f aca="false">IF($E950="","",IF($G950="","",IF($G950="NOK",$F950,0)))</f>
        <v/>
      </c>
      <c r="Q950" s="46" t="str">
        <f aca="false">IF($E950="","",IF($O950&lt;&gt;"Sim","",COUNTIF($O$3:$O950,"Sim")))</f>
        <v/>
      </c>
      <c r="R950" s="47" t="n">
        <f aca="false">IF($P950="",0,$P950)</f>
        <v>0</v>
      </c>
    </row>
    <row r="951" customFormat="false" ht="18" hidden="false" customHeight="true" outlineLevel="0" collapsed="false">
      <c r="A951" s="39"/>
      <c r="B951" s="41"/>
      <c r="C951" s="40"/>
      <c r="D951" s="40"/>
      <c r="E951" s="40"/>
      <c r="F951" s="42"/>
      <c r="G951" s="39"/>
      <c r="H951" s="40"/>
      <c r="I951" s="40"/>
      <c r="J951" s="40"/>
      <c r="K951" s="41"/>
      <c r="L951" s="39"/>
      <c r="M951" s="48" t="str">
        <f aca="false">IF($E951="","",IFERROR(INDEX(Parâmetros!$C$15:$C$20,MATCH($P951,Parâmetros!$B$15:$B$20,0)),""))</f>
        <v/>
      </c>
      <c r="N951" s="46" t="str">
        <f aca="false">IF($E951="","",IF($P951="","",IF($P951&gt;=8,"Alta",IF($P951&gt;=5,"Média","Baixa"))))</f>
        <v/>
      </c>
      <c r="O951" s="46" t="str">
        <f aca="false">IF($E951="","",IF(AND(Parâmetros!$C$5&gt;0,$P951&lt;&gt;"",$P951&gt;=Parâmetros!$C$5),"Sim","Não"))</f>
        <v/>
      </c>
      <c r="P951" s="45" t="str">
        <f aca="false">IF($E951="","",IF($G951="","",IF($G951="NOK",$F951,0)))</f>
        <v/>
      </c>
      <c r="Q951" s="46" t="str">
        <f aca="false">IF($E951="","",IF($O951&lt;&gt;"Sim","",COUNTIF($O$3:$O951,"Sim")))</f>
        <v/>
      </c>
      <c r="R951" s="47" t="n">
        <f aca="false">IF($P951="",0,$P951)</f>
        <v>0</v>
      </c>
    </row>
    <row r="952" customFormat="false" ht="18" hidden="false" customHeight="true" outlineLevel="0" collapsed="false">
      <c r="A952" s="39"/>
      <c r="B952" s="41"/>
      <c r="C952" s="40"/>
      <c r="D952" s="40"/>
      <c r="E952" s="40"/>
      <c r="F952" s="42"/>
      <c r="G952" s="39"/>
      <c r="H952" s="40"/>
      <c r="I952" s="40"/>
      <c r="J952" s="40"/>
      <c r="K952" s="41"/>
      <c r="L952" s="39"/>
      <c r="M952" s="48" t="str">
        <f aca="false">IF($E952="","",IFERROR(INDEX(Parâmetros!$C$15:$C$20,MATCH($P952,Parâmetros!$B$15:$B$20,0)),""))</f>
        <v/>
      </c>
      <c r="N952" s="46" t="str">
        <f aca="false">IF($E952="","",IF($P952="","",IF($P952&gt;=8,"Alta",IF($P952&gt;=5,"Média","Baixa"))))</f>
        <v/>
      </c>
      <c r="O952" s="46" t="str">
        <f aca="false">IF($E952="","",IF(AND(Parâmetros!$C$5&gt;0,$P952&lt;&gt;"",$P952&gt;=Parâmetros!$C$5),"Sim","Não"))</f>
        <v/>
      </c>
      <c r="P952" s="45" t="str">
        <f aca="false">IF($E952="","",IF($G952="","",IF($G952="NOK",$F952,0)))</f>
        <v/>
      </c>
      <c r="Q952" s="46" t="str">
        <f aca="false">IF($E952="","",IF($O952&lt;&gt;"Sim","",COUNTIF($O$3:$O952,"Sim")))</f>
        <v/>
      </c>
      <c r="R952" s="47" t="n">
        <f aca="false">IF($P952="",0,$P952)</f>
        <v>0</v>
      </c>
    </row>
    <row r="953" customFormat="false" ht="18" hidden="false" customHeight="true" outlineLevel="0" collapsed="false">
      <c r="A953" s="39"/>
      <c r="B953" s="41"/>
      <c r="C953" s="40"/>
      <c r="D953" s="40"/>
      <c r="E953" s="40"/>
      <c r="F953" s="42"/>
      <c r="G953" s="39"/>
      <c r="H953" s="40"/>
      <c r="I953" s="40"/>
      <c r="J953" s="40"/>
      <c r="K953" s="41"/>
      <c r="L953" s="39"/>
      <c r="M953" s="48" t="str">
        <f aca="false">IF($E953="","",IFERROR(INDEX(Parâmetros!$C$15:$C$20,MATCH($P953,Parâmetros!$B$15:$B$20,0)),""))</f>
        <v/>
      </c>
      <c r="N953" s="46" t="str">
        <f aca="false">IF($E953="","",IF($P953="","",IF($P953&gt;=8,"Alta",IF($P953&gt;=5,"Média","Baixa"))))</f>
        <v/>
      </c>
      <c r="O953" s="46" t="str">
        <f aca="false">IF($E953="","",IF(AND(Parâmetros!$C$5&gt;0,$P953&lt;&gt;"",$P953&gt;=Parâmetros!$C$5),"Sim","Não"))</f>
        <v/>
      </c>
      <c r="P953" s="45" t="str">
        <f aca="false">IF($E953="","",IF($G953="","",IF($G953="NOK",$F953,0)))</f>
        <v/>
      </c>
      <c r="Q953" s="46" t="str">
        <f aca="false">IF($E953="","",IF($O953&lt;&gt;"Sim","",COUNTIF($O$3:$O953,"Sim")))</f>
        <v/>
      </c>
      <c r="R953" s="47" t="n">
        <f aca="false">IF($P953="",0,$P953)</f>
        <v>0</v>
      </c>
    </row>
    <row r="954" customFormat="false" ht="18" hidden="false" customHeight="true" outlineLevel="0" collapsed="false">
      <c r="A954" s="39"/>
      <c r="B954" s="41"/>
      <c r="C954" s="40"/>
      <c r="D954" s="40"/>
      <c r="E954" s="40"/>
      <c r="F954" s="42"/>
      <c r="G954" s="39"/>
      <c r="H954" s="40"/>
      <c r="I954" s="40"/>
      <c r="J954" s="40"/>
      <c r="K954" s="41"/>
      <c r="L954" s="39"/>
      <c r="M954" s="48" t="str">
        <f aca="false">IF($E954="","",IFERROR(INDEX(Parâmetros!$C$15:$C$20,MATCH($P954,Parâmetros!$B$15:$B$20,0)),""))</f>
        <v/>
      </c>
      <c r="N954" s="46" t="str">
        <f aca="false">IF($E954="","",IF($P954="","",IF($P954&gt;=8,"Alta",IF($P954&gt;=5,"Média","Baixa"))))</f>
        <v/>
      </c>
      <c r="O954" s="46" t="str">
        <f aca="false">IF($E954="","",IF(AND(Parâmetros!$C$5&gt;0,$P954&lt;&gt;"",$P954&gt;=Parâmetros!$C$5),"Sim","Não"))</f>
        <v/>
      </c>
      <c r="P954" s="45" t="str">
        <f aca="false">IF($E954="","",IF($G954="","",IF($G954="NOK",$F954,0)))</f>
        <v/>
      </c>
      <c r="Q954" s="46" t="str">
        <f aca="false">IF($E954="","",IF($O954&lt;&gt;"Sim","",COUNTIF($O$3:$O954,"Sim")))</f>
        <v/>
      </c>
      <c r="R954" s="47" t="n">
        <f aca="false">IF($P954="",0,$P954)</f>
        <v>0</v>
      </c>
    </row>
    <row r="955" customFormat="false" ht="18" hidden="false" customHeight="true" outlineLevel="0" collapsed="false">
      <c r="A955" s="39"/>
      <c r="B955" s="41"/>
      <c r="C955" s="40"/>
      <c r="D955" s="40"/>
      <c r="E955" s="40"/>
      <c r="F955" s="42"/>
      <c r="G955" s="39"/>
      <c r="H955" s="40"/>
      <c r="I955" s="40"/>
      <c r="J955" s="40"/>
      <c r="K955" s="41"/>
      <c r="L955" s="39"/>
      <c r="M955" s="48" t="str">
        <f aca="false">IF($E955="","",IFERROR(INDEX(Parâmetros!$C$15:$C$20,MATCH($P955,Parâmetros!$B$15:$B$20,0)),""))</f>
        <v/>
      </c>
      <c r="N955" s="46" t="str">
        <f aca="false">IF($E955="","",IF($P955="","",IF($P955&gt;=8,"Alta",IF($P955&gt;=5,"Média","Baixa"))))</f>
        <v/>
      </c>
      <c r="O955" s="46" t="str">
        <f aca="false">IF($E955="","",IF(AND(Parâmetros!$C$5&gt;0,$P955&lt;&gt;"",$P955&gt;=Parâmetros!$C$5),"Sim","Não"))</f>
        <v/>
      </c>
      <c r="P955" s="45" t="str">
        <f aca="false">IF($E955="","",IF($G955="","",IF($G955="NOK",$F955,0)))</f>
        <v/>
      </c>
      <c r="Q955" s="46" t="str">
        <f aca="false">IF($E955="","",IF($O955&lt;&gt;"Sim","",COUNTIF($O$3:$O955,"Sim")))</f>
        <v/>
      </c>
      <c r="R955" s="47" t="n">
        <f aca="false">IF($P955="",0,$P955)</f>
        <v>0</v>
      </c>
    </row>
    <row r="956" customFormat="false" ht="18" hidden="false" customHeight="true" outlineLevel="0" collapsed="false">
      <c r="A956" s="39"/>
      <c r="B956" s="41"/>
      <c r="C956" s="40"/>
      <c r="D956" s="40"/>
      <c r="E956" s="40"/>
      <c r="F956" s="42"/>
      <c r="G956" s="39"/>
      <c r="H956" s="40"/>
      <c r="I956" s="40"/>
      <c r="J956" s="40"/>
      <c r="K956" s="41"/>
      <c r="L956" s="39"/>
      <c r="M956" s="48" t="str">
        <f aca="false">IF($E956="","",IFERROR(INDEX(Parâmetros!$C$15:$C$20,MATCH($P956,Parâmetros!$B$15:$B$20,0)),""))</f>
        <v/>
      </c>
      <c r="N956" s="46" t="str">
        <f aca="false">IF($E956="","",IF($P956="","",IF($P956&gt;=8,"Alta",IF($P956&gt;=5,"Média","Baixa"))))</f>
        <v/>
      </c>
      <c r="O956" s="46" t="str">
        <f aca="false">IF($E956="","",IF(AND(Parâmetros!$C$5&gt;0,$P956&lt;&gt;"",$P956&gt;=Parâmetros!$C$5),"Sim","Não"))</f>
        <v/>
      </c>
      <c r="P956" s="45" t="str">
        <f aca="false">IF($E956="","",IF($G956="","",IF($G956="NOK",$F956,0)))</f>
        <v/>
      </c>
      <c r="Q956" s="46" t="str">
        <f aca="false">IF($E956="","",IF($O956&lt;&gt;"Sim","",COUNTIF($O$3:$O956,"Sim")))</f>
        <v/>
      </c>
      <c r="R956" s="47" t="n">
        <f aca="false">IF($P956="",0,$P956)</f>
        <v>0</v>
      </c>
    </row>
    <row r="957" customFormat="false" ht="18" hidden="false" customHeight="true" outlineLevel="0" collapsed="false">
      <c r="A957" s="39"/>
      <c r="B957" s="41"/>
      <c r="C957" s="40"/>
      <c r="D957" s="40"/>
      <c r="E957" s="40"/>
      <c r="F957" s="42"/>
      <c r="G957" s="39"/>
      <c r="H957" s="40"/>
      <c r="I957" s="40"/>
      <c r="J957" s="40"/>
      <c r="K957" s="41"/>
      <c r="L957" s="39"/>
      <c r="M957" s="48" t="str">
        <f aca="false">IF($E957="","",IFERROR(INDEX(Parâmetros!$C$15:$C$20,MATCH($P957,Parâmetros!$B$15:$B$20,0)),""))</f>
        <v/>
      </c>
      <c r="N957" s="46" t="str">
        <f aca="false">IF($E957="","",IF($P957="","",IF($P957&gt;=8,"Alta",IF($P957&gt;=5,"Média","Baixa"))))</f>
        <v/>
      </c>
      <c r="O957" s="46" t="str">
        <f aca="false">IF($E957="","",IF(AND(Parâmetros!$C$5&gt;0,$P957&lt;&gt;"",$P957&gt;=Parâmetros!$C$5),"Sim","Não"))</f>
        <v/>
      </c>
      <c r="P957" s="45" t="str">
        <f aca="false">IF($E957="","",IF($G957="","",IF($G957="NOK",$F957,0)))</f>
        <v/>
      </c>
      <c r="Q957" s="46" t="str">
        <f aca="false">IF($E957="","",IF($O957&lt;&gt;"Sim","",COUNTIF($O$3:$O957,"Sim")))</f>
        <v/>
      </c>
      <c r="R957" s="47" t="n">
        <f aca="false">IF($P957="",0,$P957)</f>
        <v>0</v>
      </c>
    </row>
    <row r="958" customFormat="false" ht="18" hidden="false" customHeight="true" outlineLevel="0" collapsed="false">
      <c r="A958" s="39"/>
      <c r="B958" s="41"/>
      <c r="C958" s="40"/>
      <c r="D958" s="40"/>
      <c r="E958" s="40"/>
      <c r="F958" s="42"/>
      <c r="G958" s="39"/>
      <c r="H958" s="40"/>
      <c r="I958" s="40"/>
      <c r="J958" s="40"/>
      <c r="K958" s="41"/>
      <c r="L958" s="39"/>
      <c r="M958" s="48" t="str">
        <f aca="false">IF($E958="","",IFERROR(INDEX(Parâmetros!$C$15:$C$20,MATCH($P958,Parâmetros!$B$15:$B$20,0)),""))</f>
        <v/>
      </c>
      <c r="N958" s="46" t="str">
        <f aca="false">IF($E958="","",IF($P958="","",IF($P958&gt;=8,"Alta",IF($P958&gt;=5,"Média","Baixa"))))</f>
        <v/>
      </c>
      <c r="O958" s="46" t="str">
        <f aca="false">IF($E958="","",IF(AND(Parâmetros!$C$5&gt;0,$P958&lt;&gt;"",$P958&gt;=Parâmetros!$C$5),"Sim","Não"))</f>
        <v/>
      </c>
      <c r="P958" s="45" t="str">
        <f aca="false">IF($E958="","",IF($G958="","",IF($G958="NOK",$F958,0)))</f>
        <v/>
      </c>
      <c r="Q958" s="46" t="str">
        <f aca="false">IF($E958="","",IF($O958&lt;&gt;"Sim","",COUNTIF($O$3:$O958,"Sim")))</f>
        <v/>
      </c>
      <c r="R958" s="47" t="n">
        <f aca="false">IF($P958="",0,$P958)</f>
        <v>0</v>
      </c>
    </row>
    <row r="959" customFormat="false" ht="18" hidden="false" customHeight="true" outlineLevel="0" collapsed="false">
      <c r="A959" s="39"/>
      <c r="B959" s="41"/>
      <c r="C959" s="40"/>
      <c r="D959" s="40"/>
      <c r="E959" s="40"/>
      <c r="F959" s="42"/>
      <c r="G959" s="39"/>
      <c r="H959" s="40"/>
      <c r="I959" s="40"/>
      <c r="J959" s="40"/>
      <c r="K959" s="41"/>
      <c r="L959" s="39"/>
      <c r="M959" s="48" t="str">
        <f aca="false">IF($E959="","",IFERROR(INDEX(Parâmetros!$C$15:$C$20,MATCH($P959,Parâmetros!$B$15:$B$20,0)),""))</f>
        <v/>
      </c>
      <c r="N959" s="46" t="str">
        <f aca="false">IF($E959="","",IF($P959="","",IF($P959&gt;=8,"Alta",IF($P959&gt;=5,"Média","Baixa"))))</f>
        <v/>
      </c>
      <c r="O959" s="46" t="str">
        <f aca="false">IF($E959="","",IF(AND(Parâmetros!$C$5&gt;0,$P959&lt;&gt;"",$P959&gt;=Parâmetros!$C$5),"Sim","Não"))</f>
        <v/>
      </c>
      <c r="P959" s="45" t="str">
        <f aca="false">IF($E959="","",IF($G959="","",IF($G959="NOK",$F959,0)))</f>
        <v/>
      </c>
      <c r="Q959" s="46" t="str">
        <f aca="false">IF($E959="","",IF($O959&lt;&gt;"Sim","",COUNTIF($O$3:$O959,"Sim")))</f>
        <v/>
      </c>
      <c r="R959" s="47" t="n">
        <f aca="false">IF($P959="",0,$P959)</f>
        <v>0</v>
      </c>
    </row>
    <row r="960" customFormat="false" ht="18" hidden="false" customHeight="true" outlineLevel="0" collapsed="false">
      <c r="A960" s="39"/>
      <c r="B960" s="41"/>
      <c r="C960" s="40"/>
      <c r="D960" s="40"/>
      <c r="E960" s="40"/>
      <c r="F960" s="42"/>
      <c r="G960" s="39"/>
      <c r="H960" s="40"/>
      <c r="I960" s="40"/>
      <c r="J960" s="40"/>
      <c r="K960" s="41"/>
      <c r="L960" s="39"/>
      <c r="M960" s="48" t="str">
        <f aca="false">IF($E960="","",IFERROR(INDEX(Parâmetros!$C$15:$C$20,MATCH($P960,Parâmetros!$B$15:$B$20,0)),""))</f>
        <v/>
      </c>
      <c r="N960" s="46" t="str">
        <f aca="false">IF($E960="","",IF($P960="","",IF($P960&gt;=8,"Alta",IF($P960&gt;=5,"Média","Baixa"))))</f>
        <v/>
      </c>
      <c r="O960" s="46" t="str">
        <f aca="false">IF($E960="","",IF(AND(Parâmetros!$C$5&gt;0,$P960&lt;&gt;"",$P960&gt;=Parâmetros!$C$5),"Sim","Não"))</f>
        <v/>
      </c>
      <c r="P960" s="45" t="str">
        <f aca="false">IF($E960="","",IF($G960="","",IF($G960="NOK",$F960,0)))</f>
        <v/>
      </c>
      <c r="Q960" s="46" t="str">
        <f aca="false">IF($E960="","",IF($O960&lt;&gt;"Sim","",COUNTIF($O$3:$O960,"Sim")))</f>
        <v/>
      </c>
      <c r="R960" s="47" t="n">
        <f aca="false">IF($P960="",0,$P960)</f>
        <v>0</v>
      </c>
    </row>
    <row r="961" customFormat="false" ht="18" hidden="false" customHeight="true" outlineLevel="0" collapsed="false">
      <c r="A961" s="39"/>
      <c r="B961" s="41"/>
      <c r="C961" s="40"/>
      <c r="D961" s="40"/>
      <c r="E961" s="40"/>
      <c r="F961" s="42"/>
      <c r="G961" s="39"/>
      <c r="H961" s="40"/>
      <c r="I961" s="40"/>
      <c r="J961" s="40"/>
      <c r="K961" s="41"/>
      <c r="L961" s="39"/>
      <c r="M961" s="48" t="str">
        <f aca="false">IF($E961="","",IFERROR(INDEX(Parâmetros!$C$15:$C$20,MATCH($P961,Parâmetros!$B$15:$B$20,0)),""))</f>
        <v/>
      </c>
      <c r="N961" s="46" t="str">
        <f aca="false">IF($E961="","",IF($P961="","",IF($P961&gt;=8,"Alta",IF($P961&gt;=5,"Média","Baixa"))))</f>
        <v/>
      </c>
      <c r="O961" s="46" t="str">
        <f aca="false">IF($E961="","",IF(AND(Parâmetros!$C$5&gt;0,$P961&lt;&gt;"",$P961&gt;=Parâmetros!$C$5),"Sim","Não"))</f>
        <v/>
      </c>
      <c r="P961" s="45" t="str">
        <f aca="false">IF($E961="","",IF($G961="","",IF($G961="NOK",$F961,0)))</f>
        <v/>
      </c>
      <c r="Q961" s="46" t="str">
        <f aca="false">IF($E961="","",IF($O961&lt;&gt;"Sim","",COUNTIF($O$3:$O961,"Sim")))</f>
        <v/>
      </c>
      <c r="R961" s="47" t="n">
        <f aca="false">IF($P961="",0,$P961)</f>
        <v>0</v>
      </c>
    </row>
    <row r="962" customFormat="false" ht="18" hidden="false" customHeight="true" outlineLevel="0" collapsed="false">
      <c r="A962" s="39"/>
      <c r="B962" s="41"/>
      <c r="C962" s="40"/>
      <c r="D962" s="40"/>
      <c r="E962" s="40"/>
      <c r="F962" s="42"/>
      <c r="G962" s="39"/>
      <c r="H962" s="40"/>
      <c r="I962" s="40"/>
      <c r="J962" s="40"/>
      <c r="K962" s="41"/>
      <c r="L962" s="39"/>
      <c r="M962" s="48" t="str">
        <f aca="false">IF($E962="","",IFERROR(INDEX(Parâmetros!$C$15:$C$20,MATCH($P962,Parâmetros!$B$15:$B$20,0)),""))</f>
        <v/>
      </c>
      <c r="N962" s="46" t="str">
        <f aca="false">IF($E962="","",IF($P962="","",IF($P962&gt;=8,"Alta",IF($P962&gt;=5,"Média","Baixa"))))</f>
        <v/>
      </c>
      <c r="O962" s="46" t="str">
        <f aca="false">IF($E962="","",IF(AND(Parâmetros!$C$5&gt;0,$P962&lt;&gt;"",$P962&gt;=Parâmetros!$C$5),"Sim","Não"))</f>
        <v/>
      </c>
      <c r="P962" s="45" t="str">
        <f aca="false">IF($E962="","",IF($G962="","",IF($G962="NOK",$F962,0)))</f>
        <v/>
      </c>
      <c r="Q962" s="46" t="str">
        <f aca="false">IF($E962="","",IF($O962&lt;&gt;"Sim","",COUNTIF($O$3:$O962,"Sim")))</f>
        <v/>
      </c>
      <c r="R962" s="47" t="n">
        <f aca="false">IF($P962="",0,$P962)</f>
        <v>0</v>
      </c>
    </row>
    <row r="963" customFormat="false" ht="18" hidden="false" customHeight="true" outlineLevel="0" collapsed="false">
      <c r="A963" s="39"/>
      <c r="B963" s="41"/>
      <c r="C963" s="40"/>
      <c r="D963" s="40"/>
      <c r="E963" s="40"/>
      <c r="F963" s="42"/>
      <c r="G963" s="39"/>
      <c r="H963" s="40"/>
      <c r="I963" s="40"/>
      <c r="J963" s="40"/>
      <c r="K963" s="41"/>
      <c r="L963" s="39"/>
      <c r="M963" s="48" t="str">
        <f aca="false">IF($E963="","",IFERROR(INDEX(Parâmetros!$C$15:$C$20,MATCH($P963,Parâmetros!$B$15:$B$20,0)),""))</f>
        <v/>
      </c>
      <c r="N963" s="46" t="str">
        <f aca="false">IF($E963="","",IF($P963="","",IF($P963&gt;=8,"Alta",IF($P963&gt;=5,"Média","Baixa"))))</f>
        <v/>
      </c>
      <c r="O963" s="46" t="str">
        <f aca="false">IF($E963="","",IF(AND(Parâmetros!$C$5&gt;0,$P963&lt;&gt;"",$P963&gt;=Parâmetros!$C$5),"Sim","Não"))</f>
        <v/>
      </c>
      <c r="P963" s="45" t="str">
        <f aca="false">IF($E963="","",IF($G963="","",IF($G963="NOK",$F963,0)))</f>
        <v/>
      </c>
      <c r="Q963" s="46" t="str">
        <f aca="false">IF($E963="","",IF($O963&lt;&gt;"Sim","",COUNTIF($O$3:$O963,"Sim")))</f>
        <v/>
      </c>
      <c r="R963" s="47" t="n">
        <f aca="false">IF($P963="",0,$P963)</f>
        <v>0</v>
      </c>
    </row>
    <row r="964" customFormat="false" ht="18" hidden="false" customHeight="true" outlineLevel="0" collapsed="false">
      <c r="A964" s="39"/>
      <c r="B964" s="41"/>
      <c r="C964" s="40"/>
      <c r="D964" s="40"/>
      <c r="E964" s="40"/>
      <c r="F964" s="42"/>
      <c r="G964" s="39"/>
      <c r="H964" s="40"/>
      <c r="I964" s="40"/>
      <c r="J964" s="40"/>
      <c r="K964" s="41"/>
      <c r="L964" s="39"/>
      <c r="M964" s="48" t="str">
        <f aca="false">IF($E964="","",IFERROR(INDEX(Parâmetros!$C$15:$C$20,MATCH($P964,Parâmetros!$B$15:$B$20,0)),""))</f>
        <v/>
      </c>
      <c r="N964" s="46" t="str">
        <f aca="false">IF($E964="","",IF($P964="","",IF($P964&gt;=8,"Alta",IF($P964&gt;=5,"Média","Baixa"))))</f>
        <v/>
      </c>
      <c r="O964" s="46" t="str">
        <f aca="false">IF($E964="","",IF(AND(Parâmetros!$C$5&gt;0,$P964&lt;&gt;"",$P964&gt;=Parâmetros!$C$5),"Sim","Não"))</f>
        <v/>
      </c>
      <c r="P964" s="45" t="str">
        <f aca="false">IF($E964="","",IF($G964="","",IF($G964="NOK",$F964,0)))</f>
        <v/>
      </c>
      <c r="Q964" s="46" t="str">
        <f aca="false">IF($E964="","",IF($O964&lt;&gt;"Sim","",COUNTIF($O$3:$O964,"Sim")))</f>
        <v/>
      </c>
      <c r="R964" s="47" t="n">
        <f aca="false">IF($P964="",0,$P964)</f>
        <v>0</v>
      </c>
    </row>
    <row r="965" customFormat="false" ht="18" hidden="false" customHeight="true" outlineLevel="0" collapsed="false">
      <c r="A965" s="39"/>
      <c r="B965" s="41"/>
      <c r="C965" s="40"/>
      <c r="D965" s="40"/>
      <c r="E965" s="40"/>
      <c r="F965" s="42"/>
      <c r="G965" s="39"/>
      <c r="H965" s="40"/>
      <c r="I965" s="40"/>
      <c r="J965" s="40"/>
      <c r="K965" s="41"/>
      <c r="L965" s="39"/>
      <c r="M965" s="48" t="str">
        <f aca="false">IF($E965="","",IFERROR(INDEX(Parâmetros!$C$15:$C$20,MATCH($P965,Parâmetros!$B$15:$B$20,0)),""))</f>
        <v/>
      </c>
      <c r="N965" s="46" t="str">
        <f aca="false">IF($E965="","",IF($P965="","",IF($P965&gt;=8,"Alta",IF($P965&gt;=5,"Média","Baixa"))))</f>
        <v/>
      </c>
      <c r="O965" s="46" t="str">
        <f aca="false">IF($E965="","",IF(AND(Parâmetros!$C$5&gt;0,$P965&lt;&gt;"",$P965&gt;=Parâmetros!$C$5),"Sim","Não"))</f>
        <v/>
      </c>
      <c r="P965" s="45" t="str">
        <f aca="false">IF($E965="","",IF($G965="","",IF($G965="NOK",$F965,0)))</f>
        <v/>
      </c>
      <c r="Q965" s="46" t="str">
        <f aca="false">IF($E965="","",IF($O965&lt;&gt;"Sim","",COUNTIF($O$3:$O965,"Sim")))</f>
        <v/>
      </c>
      <c r="R965" s="47" t="n">
        <f aca="false">IF($P965="",0,$P965)</f>
        <v>0</v>
      </c>
    </row>
    <row r="966" customFormat="false" ht="18" hidden="false" customHeight="true" outlineLevel="0" collapsed="false">
      <c r="A966" s="39"/>
      <c r="B966" s="41"/>
      <c r="C966" s="40"/>
      <c r="D966" s="40"/>
      <c r="E966" s="40"/>
      <c r="F966" s="42"/>
      <c r="G966" s="39"/>
      <c r="H966" s="40"/>
      <c r="I966" s="40"/>
      <c r="J966" s="40"/>
      <c r="K966" s="41"/>
      <c r="L966" s="39"/>
      <c r="M966" s="48" t="str">
        <f aca="false">IF($E966="","",IFERROR(INDEX(Parâmetros!$C$15:$C$20,MATCH($P966,Parâmetros!$B$15:$B$20,0)),""))</f>
        <v/>
      </c>
      <c r="N966" s="46" t="str">
        <f aca="false">IF($E966="","",IF($P966="","",IF($P966&gt;=8,"Alta",IF($P966&gt;=5,"Média","Baixa"))))</f>
        <v/>
      </c>
      <c r="O966" s="46" t="str">
        <f aca="false">IF($E966="","",IF(AND(Parâmetros!$C$5&gt;0,$P966&lt;&gt;"",$P966&gt;=Parâmetros!$C$5),"Sim","Não"))</f>
        <v/>
      </c>
      <c r="P966" s="45" t="str">
        <f aca="false">IF($E966="","",IF($G966="","",IF($G966="NOK",$F966,0)))</f>
        <v/>
      </c>
      <c r="Q966" s="46" t="str">
        <f aca="false">IF($E966="","",IF($O966&lt;&gt;"Sim","",COUNTIF($O$3:$O966,"Sim")))</f>
        <v/>
      </c>
      <c r="R966" s="47" t="n">
        <f aca="false">IF($P966="",0,$P966)</f>
        <v>0</v>
      </c>
    </row>
    <row r="967" customFormat="false" ht="18" hidden="false" customHeight="true" outlineLevel="0" collapsed="false">
      <c r="A967" s="39"/>
      <c r="B967" s="41"/>
      <c r="C967" s="40"/>
      <c r="D967" s="40"/>
      <c r="E967" s="40"/>
      <c r="F967" s="42"/>
      <c r="G967" s="39"/>
      <c r="H967" s="40"/>
      <c r="I967" s="40"/>
      <c r="J967" s="40"/>
      <c r="K967" s="41"/>
      <c r="L967" s="39"/>
      <c r="M967" s="48" t="str">
        <f aca="false">IF($E967="","",IFERROR(INDEX(Parâmetros!$C$15:$C$20,MATCH($P967,Parâmetros!$B$15:$B$20,0)),""))</f>
        <v/>
      </c>
      <c r="N967" s="46" t="str">
        <f aca="false">IF($E967="","",IF($P967="","",IF($P967&gt;=8,"Alta",IF($P967&gt;=5,"Média","Baixa"))))</f>
        <v/>
      </c>
      <c r="O967" s="46" t="str">
        <f aca="false">IF($E967="","",IF(AND(Parâmetros!$C$5&gt;0,$P967&lt;&gt;"",$P967&gt;=Parâmetros!$C$5),"Sim","Não"))</f>
        <v/>
      </c>
      <c r="P967" s="45" t="str">
        <f aca="false">IF($E967="","",IF($G967="","",IF($G967="NOK",$F967,0)))</f>
        <v/>
      </c>
      <c r="Q967" s="46" t="str">
        <f aca="false">IF($E967="","",IF($O967&lt;&gt;"Sim","",COUNTIF($O$3:$O967,"Sim")))</f>
        <v/>
      </c>
      <c r="R967" s="47" t="n">
        <f aca="false">IF($P967="",0,$P967)</f>
        <v>0</v>
      </c>
    </row>
    <row r="968" customFormat="false" ht="18" hidden="false" customHeight="true" outlineLevel="0" collapsed="false">
      <c r="A968" s="39"/>
      <c r="B968" s="41"/>
      <c r="C968" s="40"/>
      <c r="D968" s="40"/>
      <c r="E968" s="40"/>
      <c r="F968" s="42"/>
      <c r="G968" s="39"/>
      <c r="H968" s="40"/>
      <c r="I968" s="40"/>
      <c r="J968" s="40"/>
      <c r="K968" s="41"/>
      <c r="L968" s="39"/>
      <c r="M968" s="48" t="str">
        <f aca="false">IF($E968="","",IFERROR(INDEX(Parâmetros!$C$15:$C$20,MATCH($P968,Parâmetros!$B$15:$B$20,0)),""))</f>
        <v/>
      </c>
      <c r="N968" s="46" t="str">
        <f aca="false">IF($E968="","",IF($P968="","",IF($P968&gt;=8,"Alta",IF($P968&gt;=5,"Média","Baixa"))))</f>
        <v/>
      </c>
      <c r="O968" s="46" t="str">
        <f aca="false">IF($E968="","",IF(AND(Parâmetros!$C$5&gt;0,$P968&lt;&gt;"",$P968&gt;=Parâmetros!$C$5),"Sim","Não"))</f>
        <v/>
      </c>
      <c r="P968" s="45" t="str">
        <f aca="false">IF($E968="","",IF($G968="","",IF($G968="NOK",$F968,0)))</f>
        <v/>
      </c>
      <c r="Q968" s="46" t="str">
        <f aca="false">IF($E968="","",IF($O968&lt;&gt;"Sim","",COUNTIF($O$3:$O968,"Sim")))</f>
        <v/>
      </c>
      <c r="R968" s="47" t="n">
        <f aca="false">IF($P968="",0,$P968)</f>
        <v>0</v>
      </c>
    </row>
    <row r="969" customFormat="false" ht="18" hidden="false" customHeight="true" outlineLevel="0" collapsed="false">
      <c r="A969" s="39"/>
      <c r="B969" s="41"/>
      <c r="C969" s="40"/>
      <c r="D969" s="40"/>
      <c r="E969" s="40"/>
      <c r="F969" s="42"/>
      <c r="G969" s="39"/>
      <c r="H969" s="40"/>
      <c r="I969" s="40"/>
      <c r="J969" s="40"/>
      <c r="K969" s="41"/>
      <c r="L969" s="39"/>
      <c r="M969" s="48" t="str">
        <f aca="false">IF($E969="","",IFERROR(INDEX(Parâmetros!$C$15:$C$20,MATCH($P969,Parâmetros!$B$15:$B$20,0)),""))</f>
        <v/>
      </c>
      <c r="N969" s="46" t="str">
        <f aca="false">IF($E969="","",IF($P969="","",IF($P969&gt;=8,"Alta",IF($P969&gt;=5,"Média","Baixa"))))</f>
        <v/>
      </c>
      <c r="O969" s="46" t="str">
        <f aca="false">IF($E969="","",IF(AND(Parâmetros!$C$5&gt;0,$P969&lt;&gt;"",$P969&gt;=Parâmetros!$C$5),"Sim","Não"))</f>
        <v/>
      </c>
      <c r="P969" s="45" t="str">
        <f aca="false">IF($E969="","",IF($G969="","",IF($G969="NOK",$F969,0)))</f>
        <v/>
      </c>
      <c r="Q969" s="46" t="str">
        <f aca="false">IF($E969="","",IF($O969&lt;&gt;"Sim","",COUNTIF($O$3:$O969,"Sim")))</f>
        <v/>
      </c>
      <c r="R969" s="47" t="n">
        <f aca="false">IF($P969="",0,$P969)</f>
        <v>0</v>
      </c>
    </row>
    <row r="970" customFormat="false" ht="18" hidden="false" customHeight="true" outlineLevel="0" collapsed="false">
      <c r="A970" s="39"/>
      <c r="B970" s="41"/>
      <c r="C970" s="40"/>
      <c r="D970" s="40"/>
      <c r="E970" s="40"/>
      <c r="F970" s="42"/>
      <c r="G970" s="39"/>
      <c r="H970" s="40"/>
      <c r="I970" s="40"/>
      <c r="J970" s="40"/>
      <c r="K970" s="41"/>
      <c r="L970" s="39"/>
      <c r="M970" s="48" t="str">
        <f aca="false">IF($E970="","",IFERROR(INDEX(Parâmetros!$C$15:$C$20,MATCH($P970,Parâmetros!$B$15:$B$20,0)),""))</f>
        <v/>
      </c>
      <c r="N970" s="46" t="str">
        <f aca="false">IF($E970="","",IF($P970="","",IF($P970&gt;=8,"Alta",IF($P970&gt;=5,"Média","Baixa"))))</f>
        <v/>
      </c>
      <c r="O970" s="46" t="str">
        <f aca="false">IF($E970="","",IF(AND(Parâmetros!$C$5&gt;0,$P970&lt;&gt;"",$P970&gt;=Parâmetros!$C$5),"Sim","Não"))</f>
        <v/>
      </c>
      <c r="P970" s="45" t="str">
        <f aca="false">IF($E970="","",IF($G970="","",IF($G970="NOK",$F970,0)))</f>
        <v/>
      </c>
      <c r="Q970" s="46" t="str">
        <f aca="false">IF($E970="","",IF($O970&lt;&gt;"Sim","",COUNTIF($O$3:$O970,"Sim")))</f>
        <v/>
      </c>
      <c r="R970" s="47" t="n">
        <f aca="false">IF($P970="",0,$P970)</f>
        <v>0</v>
      </c>
    </row>
    <row r="971" customFormat="false" ht="18" hidden="false" customHeight="true" outlineLevel="0" collapsed="false">
      <c r="A971" s="39"/>
      <c r="B971" s="41"/>
      <c r="C971" s="40"/>
      <c r="D971" s="40"/>
      <c r="E971" s="40"/>
      <c r="F971" s="42"/>
      <c r="G971" s="39"/>
      <c r="H971" s="40"/>
      <c r="I971" s="40"/>
      <c r="J971" s="40"/>
      <c r="K971" s="41"/>
      <c r="L971" s="39"/>
      <c r="M971" s="48" t="str">
        <f aca="false">IF($E971="","",IFERROR(INDEX(Parâmetros!$C$15:$C$20,MATCH($P971,Parâmetros!$B$15:$B$20,0)),""))</f>
        <v/>
      </c>
      <c r="N971" s="46" t="str">
        <f aca="false">IF($E971="","",IF($P971="","",IF($P971&gt;=8,"Alta",IF($P971&gt;=5,"Média","Baixa"))))</f>
        <v/>
      </c>
      <c r="O971" s="46" t="str">
        <f aca="false">IF($E971="","",IF(AND(Parâmetros!$C$5&gt;0,$P971&lt;&gt;"",$P971&gt;=Parâmetros!$C$5),"Sim","Não"))</f>
        <v/>
      </c>
      <c r="P971" s="45" t="str">
        <f aca="false">IF($E971="","",IF($G971="","",IF($G971="NOK",$F971,0)))</f>
        <v/>
      </c>
      <c r="Q971" s="46" t="str">
        <f aca="false">IF($E971="","",IF($O971&lt;&gt;"Sim","",COUNTIF($O$3:$O971,"Sim")))</f>
        <v/>
      </c>
      <c r="R971" s="47" t="n">
        <f aca="false">IF($P971="",0,$P971)</f>
        <v>0</v>
      </c>
    </row>
    <row r="972" customFormat="false" ht="18" hidden="false" customHeight="true" outlineLevel="0" collapsed="false">
      <c r="A972" s="39"/>
      <c r="B972" s="41"/>
      <c r="C972" s="40"/>
      <c r="D972" s="40"/>
      <c r="E972" s="40"/>
      <c r="F972" s="42"/>
      <c r="G972" s="39"/>
      <c r="H972" s="40"/>
      <c r="I972" s="40"/>
      <c r="J972" s="40"/>
      <c r="K972" s="41"/>
      <c r="L972" s="39"/>
      <c r="M972" s="48" t="str">
        <f aca="false">IF($E972="","",IFERROR(INDEX(Parâmetros!$C$15:$C$20,MATCH($P972,Parâmetros!$B$15:$B$20,0)),""))</f>
        <v/>
      </c>
      <c r="N972" s="46" t="str">
        <f aca="false">IF($E972="","",IF($P972="","",IF($P972&gt;=8,"Alta",IF($P972&gt;=5,"Média","Baixa"))))</f>
        <v/>
      </c>
      <c r="O972" s="46" t="str">
        <f aca="false">IF($E972="","",IF(AND(Parâmetros!$C$5&gt;0,$P972&lt;&gt;"",$P972&gt;=Parâmetros!$C$5),"Sim","Não"))</f>
        <v/>
      </c>
      <c r="P972" s="45" t="str">
        <f aca="false">IF($E972="","",IF($G972="","",IF($G972="NOK",$F972,0)))</f>
        <v/>
      </c>
      <c r="Q972" s="46" t="str">
        <f aca="false">IF($E972="","",IF($O972&lt;&gt;"Sim","",COUNTIF($O$3:$O972,"Sim")))</f>
        <v/>
      </c>
      <c r="R972" s="47" t="n">
        <f aca="false">IF($P972="",0,$P972)</f>
        <v>0</v>
      </c>
    </row>
    <row r="973" customFormat="false" ht="18" hidden="false" customHeight="true" outlineLevel="0" collapsed="false">
      <c r="A973" s="39"/>
      <c r="B973" s="41"/>
      <c r="C973" s="40"/>
      <c r="D973" s="40"/>
      <c r="E973" s="40"/>
      <c r="F973" s="42"/>
      <c r="G973" s="39"/>
      <c r="H973" s="40"/>
      <c r="I973" s="40"/>
      <c r="J973" s="40"/>
      <c r="K973" s="41"/>
      <c r="L973" s="39"/>
      <c r="M973" s="48" t="str">
        <f aca="false">IF($E973="","",IFERROR(INDEX(Parâmetros!$C$15:$C$20,MATCH($P973,Parâmetros!$B$15:$B$20,0)),""))</f>
        <v/>
      </c>
      <c r="N973" s="46" t="str">
        <f aca="false">IF($E973="","",IF($P973="","",IF($P973&gt;=8,"Alta",IF($P973&gt;=5,"Média","Baixa"))))</f>
        <v/>
      </c>
      <c r="O973" s="46" t="str">
        <f aca="false">IF($E973="","",IF(AND(Parâmetros!$C$5&gt;0,$P973&lt;&gt;"",$P973&gt;=Parâmetros!$C$5),"Sim","Não"))</f>
        <v/>
      </c>
      <c r="P973" s="45" t="str">
        <f aca="false">IF($E973="","",IF($G973="","",IF($G973="NOK",$F973,0)))</f>
        <v/>
      </c>
      <c r="Q973" s="46" t="str">
        <f aca="false">IF($E973="","",IF($O973&lt;&gt;"Sim","",COUNTIF($O$3:$O973,"Sim")))</f>
        <v/>
      </c>
      <c r="R973" s="47" t="n">
        <f aca="false">IF($P973="",0,$P973)</f>
        <v>0</v>
      </c>
    </row>
    <row r="974" customFormat="false" ht="18" hidden="false" customHeight="true" outlineLevel="0" collapsed="false">
      <c r="A974" s="39"/>
      <c r="B974" s="41"/>
      <c r="C974" s="40"/>
      <c r="D974" s="40"/>
      <c r="E974" s="40"/>
      <c r="F974" s="42"/>
      <c r="G974" s="39"/>
      <c r="H974" s="40"/>
      <c r="I974" s="40"/>
      <c r="J974" s="40"/>
      <c r="K974" s="41"/>
      <c r="L974" s="39"/>
      <c r="M974" s="48" t="str">
        <f aca="false">IF($E974="","",IFERROR(INDEX(Parâmetros!$C$15:$C$20,MATCH($P974,Parâmetros!$B$15:$B$20,0)),""))</f>
        <v/>
      </c>
      <c r="N974" s="46" t="str">
        <f aca="false">IF($E974="","",IF($P974="","",IF($P974&gt;=8,"Alta",IF($P974&gt;=5,"Média","Baixa"))))</f>
        <v/>
      </c>
      <c r="O974" s="46" t="str">
        <f aca="false">IF($E974="","",IF(AND(Parâmetros!$C$5&gt;0,$P974&lt;&gt;"",$P974&gt;=Parâmetros!$C$5),"Sim","Não"))</f>
        <v/>
      </c>
      <c r="P974" s="45" t="str">
        <f aca="false">IF($E974="","",IF($G974="","",IF($G974="NOK",$F974,0)))</f>
        <v/>
      </c>
      <c r="Q974" s="46" t="str">
        <f aca="false">IF($E974="","",IF($O974&lt;&gt;"Sim","",COUNTIF($O$3:$O974,"Sim")))</f>
        <v/>
      </c>
      <c r="R974" s="47" t="n">
        <f aca="false">IF($P974="",0,$P974)</f>
        <v>0</v>
      </c>
    </row>
    <row r="975" customFormat="false" ht="18" hidden="false" customHeight="true" outlineLevel="0" collapsed="false">
      <c r="A975" s="39"/>
      <c r="B975" s="41"/>
      <c r="C975" s="40"/>
      <c r="D975" s="40"/>
      <c r="E975" s="40"/>
      <c r="F975" s="42"/>
      <c r="G975" s="39"/>
      <c r="H975" s="40"/>
      <c r="I975" s="40"/>
      <c r="J975" s="40"/>
      <c r="K975" s="41"/>
      <c r="L975" s="39"/>
      <c r="M975" s="48" t="str">
        <f aca="false">IF($E975="","",IFERROR(INDEX(Parâmetros!$C$15:$C$20,MATCH($P975,Parâmetros!$B$15:$B$20,0)),""))</f>
        <v/>
      </c>
      <c r="N975" s="46" t="str">
        <f aca="false">IF($E975="","",IF($P975="","",IF($P975&gt;=8,"Alta",IF($P975&gt;=5,"Média","Baixa"))))</f>
        <v/>
      </c>
      <c r="O975" s="46" t="str">
        <f aca="false">IF($E975="","",IF(AND(Parâmetros!$C$5&gt;0,$P975&lt;&gt;"",$P975&gt;=Parâmetros!$C$5),"Sim","Não"))</f>
        <v/>
      </c>
      <c r="P975" s="45" t="str">
        <f aca="false">IF($E975="","",IF($G975="","",IF($G975="NOK",$F975,0)))</f>
        <v/>
      </c>
      <c r="Q975" s="46" t="str">
        <f aca="false">IF($E975="","",IF($O975&lt;&gt;"Sim","",COUNTIF($O$3:$O975,"Sim")))</f>
        <v/>
      </c>
      <c r="R975" s="47" t="n">
        <f aca="false">IF($P975="",0,$P975)</f>
        <v>0</v>
      </c>
    </row>
    <row r="976" customFormat="false" ht="18" hidden="false" customHeight="true" outlineLevel="0" collapsed="false">
      <c r="A976" s="39"/>
      <c r="B976" s="41"/>
      <c r="C976" s="40"/>
      <c r="D976" s="40"/>
      <c r="E976" s="40"/>
      <c r="F976" s="42"/>
      <c r="G976" s="39"/>
      <c r="H976" s="40"/>
      <c r="I976" s="40"/>
      <c r="J976" s="40"/>
      <c r="K976" s="41"/>
      <c r="L976" s="39"/>
      <c r="M976" s="48" t="str">
        <f aca="false">IF($E976="","",IFERROR(INDEX(Parâmetros!$C$15:$C$20,MATCH($P976,Parâmetros!$B$15:$B$20,0)),""))</f>
        <v/>
      </c>
      <c r="N976" s="46" t="str">
        <f aca="false">IF($E976="","",IF($P976="","",IF($P976&gt;=8,"Alta",IF($P976&gt;=5,"Média","Baixa"))))</f>
        <v/>
      </c>
      <c r="O976" s="46" t="str">
        <f aca="false">IF($E976="","",IF(AND(Parâmetros!$C$5&gt;0,$P976&lt;&gt;"",$P976&gt;=Parâmetros!$C$5),"Sim","Não"))</f>
        <v/>
      </c>
      <c r="P976" s="45" t="str">
        <f aca="false">IF($E976="","",IF($G976="","",IF($G976="NOK",$F976,0)))</f>
        <v/>
      </c>
      <c r="Q976" s="46" t="str">
        <f aca="false">IF($E976="","",IF($O976&lt;&gt;"Sim","",COUNTIF($O$3:$O976,"Sim")))</f>
        <v/>
      </c>
      <c r="R976" s="47" t="n">
        <f aca="false">IF($P976="",0,$P976)</f>
        <v>0</v>
      </c>
    </row>
    <row r="977" customFormat="false" ht="18" hidden="false" customHeight="true" outlineLevel="0" collapsed="false">
      <c r="A977" s="39"/>
      <c r="B977" s="41"/>
      <c r="C977" s="40"/>
      <c r="D977" s="40"/>
      <c r="E977" s="40"/>
      <c r="F977" s="42"/>
      <c r="G977" s="39"/>
      <c r="H977" s="40"/>
      <c r="I977" s="40"/>
      <c r="J977" s="40"/>
      <c r="K977" s="41"/>
      <c r="L977" s="39"/>
      <c r="M977" s="48" t="str">
        <f aca="false">IF($E977="","",IFERROR(INDEX(Parâmetros!$C$15:$C$20,MATCH($P977,Parâmetros!$B$15:$B$20,0)),""))</f>
        <v/>
      </c>
      <c r="N977" s="46" t="str">
        <f aca="false">IF($E977="","",IF($P977="","",IF($P977&gt;=8,"Alta",IF($P977&gt;=5,"Média","Baixa"))))</f>
        <v/>
      </c>
      <c r="O977" s="46" t="str">
        <f aca="false">IF($E977="","",IF(AND(Parâmetros!$C$5&gt;0,$P977&lt;&gt;"",$P977&gt;=Parâmetros!$C$5),"Sim","Não"))</f>
        <v/>
      </c>
      <c r="P977" s="45" t="str">
        <f aca="false">IF($E977="","",IF($G977="","",IF($G977="NOK",$F977,0)))</f>
        <v/>
      </c>
      <c r="Q977" s="46" t="str">
        <f aca="false">IF($E977="","",IF($O977&lt;&gt;"Sim","",COUNTIF($O$3:$O977,"Sim")))</f>
        <v/>
      </c>
      <c r="R977" s="47" t="n">
        <f aca="false">IF($P977="",0,$P977)</f>
        <v>0</v>
      </c>
    </row>
    <row r="978" customFormat="false" ht="18" hidden="false" customHeight="true" outlineLevel="0" collapsed="false">
      <c r="A978" s="39"/>
      <c r="B978" s="41"/>
      <c r="C978" s="40"/>
      <c r="D978" s="40"/>
      <c r="E978" s="40"/>
      <c r="F978" s="42"/>
      <c r="G978" s="39"/>
      <c r="H978" s="40"/>
      <c r="I978" s="40"/>
      <c r="J978" s="40"/>
      <c r="K978" s="41"/>
      <c r="L978" s="39"/>
      <c r="M978" s="48" t="str">
        <f aca="false">IF($E978="","",IFERROR(INDEX(Parâmetros!$C$15:$C$20,MATCH($P978,Parâmetros!$B$15:$B$20,0)),""))</f>
        <v/>
      </c>
      <c r="N978" s="46" t="str">
        <f aca="false">IF($E978="","",IF($P978="","",IF($P978&gt;=8,"Alta",IF($P978&gt;=5,"Média","Baixa"))))</f>
        <v/>
      </c>
      <c r="O978" s="46" t="str">
        <f aca="false">IF($E978="","",IF(AND(Parâmetros!$C$5&gt;0,$P978&lt;&gt;"",$P978&gt;=Parâmetros!$C$5),"Sim","Não"))</f>
        <v/>
      </c>
      <c r="P978" s="45" t="str">
        <f aca="false">IF($E978="","",IF($G978="","",IF($G978="NOK",$F978,0)))</f>
        <v/>
      </c>
      <c r="Q978" s="46" t="str">
        <f aca="false">IF($E978="","",IF($O978&lt;&gt;"Sim","",COUNTIF($O$3:$O978,"Sim")))</f>
        <v/>
      </c>
      <c r="R978" s="47" t="n">
        <f aca="false">IF($P978="",0,$P978)</f>
        <v>0</v>
      </c>
    </row>
    <row r="979" customFormat="false" ht="18" hidden="false" customHeight="true" outlineLevel="0" collapsed="false">
      <c r="A979" s="39"/>
      <c r="B979" s="41"/>
      <c r="C979" s="40"/>
      <c r="D979" s="40"/>
      <c r="E979" s="40"/>
      <c r="F979" s="42"/>
      <c r="G979" s="39"/>
      <c r="H979" s="40"/>
      <c r="I979" s="40"/>
      <c r="J979" s="40"/>
      <c r="K979" s="41"/>
      <c r="L979" s="39"/>
      <c r="M979" s="48" t="str">
        <f aca="false">IF($E979="","",IFERROR(INDEX(Parâmetros!$C$15:$C$20,MATCH($P979,Parâmetros!$B$15:$B$20,0)),""))</f>
        <v/>
      </c>
      <c r="N979" s="46" t="str">
        <f aca="false">IF($E979="","",IF($P979="","",IF($P979&gt;=8,"Alta",IF($P979&gt;=5,"Média","Baixa"))))</f>
        <v/>
      </c>
      <c r="O979" s="46" t="str">
        <f aca="false">IF($E979="","",IF(AND(Parâmetros!$C$5&gt;0,$P979&lt;&gt;"",$P979&gt;=Parâmetros!$C$5),"Sim","Não"))</f>
        <v/>
      </c>
      <c r="P979" s="45" t="str">
        <f aca="false">IF($E979="","",IF($G979="","",IF($G979="NOK",$F979,0)))</f>
        <v/>
      </c>
      <c r="Q979" s="46" t="str">
        <f aca="false">IF($E979="","",IF($O979&lt;&gt;"Sim","",COUNTIF($O$3:$O979,"Sim")))</f>
        <v/>
      </c>
      <c r="R979" s="47" t="n">
        <f aca="false">IF($P979="",0,$P979)</f>
        <v>0</v>
      </c>
    </row>
    <row r="980" customFormat="false" ht="18" hidden="false" customHeight="true" outlineLevel="0" collapsed="false">
      <c r="A980" s="39"/>
      <c r="B980" s="41"/>
      <c r="C980" s="40"/>
      <c r="D980" s="40"/>
      <c r="E980" s="40"/>
      <c r="F980" s="42"/>
      <c r="G980" s="39"/>
      <c r="H980" s="40"/>
      <c r="I980" s="40"/>
      <c r="J980" s="40"/>
      <c r="K980" s="41"/>
      <c r="L980" s="39"/>
      <c r="M980" s="48" t="str">
        <f aca="false">IF($E980="","",IFERROR(INDEX(Parâmetros!$C$15:$C$20,MATCH($P980,Parâmetros!$B$15:$B$20,0)),""))</f>
        <v/>
      </c>
      <c r="N980" s="46" t="str">
        <f aca="false">IF($E980="","",IF($P980="","",IF($P980&gt;=8,"Alta",IF($P980&gt;=5,"Média","Baixa"))))</f>
        <v/>
      </c>
      <c r="O980" s="46" t="str">
        <f aca="false">IF($E980="","",IF(AND(Parâmetros!$C$5&gt;0,$P980&lt;&gt;"",$P980&gt;=Parâmetros!$C$5),"Sim","Não"))</f>
        <v/>
      </c>
      <c r="P980" s="45" t="str">
        <f aca="false">IF($E980="","",IF($G980="","",IF($G980="NOK",$F980,0)))</f>
        <v/>
      </c>
      <c r="Q980" s="46" t="str">
        <f aca="false">IF($E980="","",IF($O980&lt;&gt;"Sim","",COUNTIF($O$3:$O980,"Sim")))</f>
        <v/>
      </c>
      <c r="R980" s="47" t="n">
        <f aca="false">IF($P980="",0,$P980)</f>
        <v>0</v>
      </c>
    </row>
    <row r="981" customFormat="false" ht="18" hidden="false" customHeight="true" outlineLevel="0" collapsed="false">
      <c r="A981" s="39"/>
      <c r="B981" s="41"/>
      <c r="C981" s="40"/>
      <c r="D981" s="40"/>
      <c r="E981" s="40"/>
      <c r="F981" s="42"/>
      <c r="G981" s="39"/>
      <c r="H981" s="40"/>
      <c r="I981" s="40"/>
      <c r="J981" s="40"/>
      <c r="K981" s="41"/>
      <c r="L981" s="39"/>
      <c r="M981" s="48" t="str">
        <f aca="false">IF($E981="","",IFERROR(INDEX(Parâmetros!$C$15:$C$20,MATCH($P981,Parâmetros!$B$15:$B$20,0)),""))</f>
        <v/>
      </c>
      <c r="N981" s="46" t="str">
        <f aca="false">IF($E981="","",IF($P981="","",IF($P981&gt;=8,"Alta",IF($P981&gt;=5,"Média","Baixa"))))</f>
        <v/>
      </c>
      <c r="O981" s="46" t="str">
        <f aca="false">IF($E981="","",IF(AND(Parâmetros!$C$5&gt;0,$P981&lt;&gt;"",$P981&gt;=Parâmetros!$C$5),"Sim","Não"))</f>
        <v/>
      </c>
      <c r="P981" s="45" t="str">
        <f aca="false">IF($E981="","",IF($G981="","",IF($G981="NOK",$F981,0)))</f>
        <v/>
      </c>
      <c r="Q981" s="46" t="str">
        <f aca="false">IF($E981="","",IF($O981&lt;&gt;"Sim","",COUNTIF($O$3:$O981,"Sim")))</f>
        <v/>
      </c>
      <c r="R981" s="47" t="n">
        <f aca="false">IF($P981="",0,$P981)</f>
        <v>0</v>
      </c>
    </row>
    <row r="982" customFormat="false" ht="18" hidden="false" customHeight="true" outlineLevel="0" collapsed="false">
      <c r="A982" s="39"/>
      <c r="B982" s="41"/>
      <c r="C982" s="40"/>
      <c r="D982" s="40"/>
      <c r="E982" s="40"/>
      <c r="F982" s="42"/>
      <c r="G982" s="39"/>
      <c r="H982" s="40"/>
      <c r="I982" s="40"/>
      <c r="J982" s="40"/>
      <c r="K982" s="41"/>
      <c r="L982" s="39"/>
      <c r="M982" s="48" t="str">
        <f aca="false">IF($E982="","",IFERROR(INDEX(Parâmetros!$C$15:$C$20,MATCH($P982,Parâmetros!$B$15:$B$20,0)),""))</f>
        <v/>
      </c>
      <c r="N982" s="46" t="str">
        <f aca="false">IF($E982="","",IF($P982="","",IF($P982&gt;=8,"Alta",IF($P982&gt;=5,"Média","Baixa"))))</f>
        <v/>
      </c>
      <c r="O982" s="46" t="str">
        <f aca="false">IF($E982="","",IF(AND(Parâmetros!$C$5&gt;0,$P982&lt;&gt;"",$P982&gt;=Parâmetros!$C$5),"Sim","Não"))</f>
        <v/>
      </c>
      <c r="P982" s="45" t="str">
        <f aca="false">IF($E982="","",IF($G982="","",IF($G982="NOK",$F982,0)))</f>
        <v/>
      </c>
      <c r="Q982" s="46" t="str">
        <f aca="false">IF($E982="","",IF($O982&lt;&gt;"Sim","",COUNTIF($O$3:$O982,"Sim")))</f>
        <v/>
      </c>
      <c r="R982" s="47" t="n">
        <f aca="false">IF($P982="",0,$P982)</f>
        <v>0</v>
      </c>
    </row>
    <row r="983" customFormat="false" ht="18" hidden="false" customHeight="true" outlineLevel="0" collapsed="false">
      <c r="A983" s="39"/>
      <c r="B983" s="41"/>
      <c r="C983" s="40"/>
      <c r="D983" s="40"/>
      <c r="E983" s="40"/>
      <c r="F983" s="42"/>
      <c r="G983" s="39"/>
      <c r="H983" s="40"/>
      <c r="I983" s="40"/>
      <c r="J983" s="40"/>
      <c r="K983" s="41"/>
      <c r="L983" s="39"/>
      <c r="M983" s="48" t="str">
        <f aca="false">IF($E983="","",IFERROR(INDEX(Parâmetros!$C$15:$C$20,MATCH($P983,Parâmetros!$B$15:$B$20,0)),""))</f>
        <v/>
      </c>
      <c r="N983" s="46" t="str">
        <f aca="false">IF($E983="","",IF($P983="","",IF($P983&gt;=8,"Alta",IF($P983&gt;=5,"Média","Baixa"))))</f>
        <v/>
      </c>
      <c r="O983" s="46" t="str">
        <f aca="false">IF($E983="","",IF(AND(Parâmetros!$C$5&gt;0,$P983&lt;&gt;"",$P983&gt;=Parâmetros!$C$5),"Sim","Não"))</f>
        <v/>
      </c>
      <c r="P983" s="45" t="str">
        <f aca="false">IF($E983="","",IF($G983="","",IF($G983="NOK",$F983,0)))</f>
        <v/>
      </c>
      <c r="Q983" s="46" t="str">
        <f aca="false">IF($E983="","",IF($O983&lt;&gt;"Sim","",COUNTIF($O$3:$O983,"Sim")))</f>
        <v/>
      </c>
      <c r="R983" s="47" t="n">
        <f aca="false">IF($P983="",0,$P983)</f>
        <v>0</v>
      </c>
    </row>
    <row r="984" customFormat="false" ht="18" hidden="false" customHeight="true" outlineLevel="0" collapsed="false">
      <c r="A984" s="39"/>
      <c r="B984" s="41"/>
      <c r="C984" s="40"/>
      <c r="D984" s="40"/>
      <c r="E984" s="40"/>
      <c r="F984" s="42"/>
      <c r="G984" s="39"/>
      <c r="H984" s="40"/>
      <c r="I984" s="40"/>
      <c r="J984" s="40"/>
      <c r="K984" s="41"/>
      <c r="L984" s="39"/>
      <c r="M984" s="48" t="str">
        <f aca="false">IF($E984="","",IFERROR(INDEX(Parâmetros!$C$15:$C$20,MATCH($P984,Parâmetros!$B$15:$B$20,0)),""))</f>
        <v/>
      </c>
      <c r="N984" s="46" t="str">
        <f aca="false">IF($E984="","",IF($P984="","",IF($P984&gt;=8,"Alta",IF($P984&gt;=5,"Média","Baixa"))))</f>
        <v/>
      </c>
      <c r="O984" s="46" t="str">
        <f aca="false">IF($E984="","",IF(AND(Parâmetros!$C$5&gt;0,$P984&lt;&gt;"",$P984&gt;=Parâmetros!$C$5),"Sim","Não"))</f>
        <v/>
      </c>
      <c r="P984" s="45" t="str">
        <f aca="false">IF($E984="","",IF($G984="","",IF($G984="NOK",$F984,0)))</f>
        <v/>
      </c>
      <c r="Q984" s="46" t="str">
        <f aca="false">IF($E984="","",IF($O984&lt;&gt;"Sim","",COUNTIF($O$3:$O984,"Sim")))</f>
        <v/>
      </c>
      <c r="R984" s="47" t="n">
        <f aca="false">IF($P984="",0,$P984)</f>
        <v>0</v>
      </c>
    </row>
    <row r="985" customFormat="false" ht="18" hidden="false" customHeight="true" outlineLevel="0" collapsed="false">
      <c r="A985" s="39"/>
      <c r="B985" s="41"/>
      <c r="C985" s="40"/>
      <c r="D985" s="40"/>
      <c r="E985" s="40"/>
      <c r="F985" s="42"/>
      <c r="G985" s="39"/>
      <c r="H985" s="40"/>
      <c r="I985" s="40"/>
      <c r="J985" s="40"/>
      <c r="K985" s="41"/>
      <c r="L985" s="39"/>
      <c r="M985" s="48" t="str">
        <f aca="false">IF($E985="","",IFERROR(INDEX(Parâmetros!$C$15:$C$20,MATCH($P985,Parâmetros!$B$15:$B$20,0)),""))</f>
        <v/>
      </c>
      <c r="N985" s="46" t="str">
        <f aca="false">IF($E985="","",IF($P985="","",IF($P985&gt;=8,"Alta",IF($P985&gt;=5,"Média","Baixa"))))</f>
        <v/>
      </c>
      <c r="O985" s="46" t="str">
        <f aca="false">IF($E985="","",IF(AND(Parâmetros!$C$5&gt;0,$P985&lt;&gt;"",$P985&gt;=Parâmetros!$C$5),"Sim","Não"))</f>
        <v/>
      </c>
      <c r="P985" s="45" t="str">
        <f aca="false">IF($E985="","",IF($G985="","",IF($G985="NOK",$F985,0)))</f>
        <v/>
      </c>
      <c r="Q985" s="46" t="str">
        <f aca="false">IF($E985="","",IF($O985&lt;&gt;"Sim","",COUNTIF($O$3:$O985,"Sim")))</f>
        <v/>
      </c>
      <c r="R985" s="47" t="n">
        <f aca="false">IF($P985="",0,$P985)</f>
        <v>0</v>
      </c>
    </row>
    <row r="986" customFormat="false" ht="18" hidden="false" customHeight="true" outlineLevel="0" collapsed="false">
      <c r="A986" s="39"/>
      <c r="B986" s="41"/>
      <c r="C986" s="40"/>
      <c r="D986" s="40"/>
      <c r="E986" s="40"/>
      <c r="F986" s="42"/>
      <c r="G986" s="39"/>
      <c r="H986" s="40"/>
      <c r="I986" s="40"/>
      <c r="J986" s="40"/>
      <c r="K986" s="41"/>
      <c r="L986" s="39"/>
      <c r="M986" s="48" t="str">
        <f aca="false">IF($E986="","",IFERROR(INDEX(Parâmetros!$C$15:$C$20,MATCH($P986,Parâmetros!$B$15:$B$20,0)),""))</f>
        <v/>
      </c>
      <c r="N986" s="46" t="str">
        <f aca="false">IF($E986="","",IF($P986="","",IF($P986&gt;=8,"Alta",IF($P986&gt;=5,"Média","Baixa"))))</f>
        <v/>
      </c>
      <c r="O986" s="46" t="str">
        <f aca="false">IF($E986="","",IF(AND(Parâmetros!$C$5&gt;0,$P986&lt;&gt;"",$P986&gt;=Parâmetros!$C$5),"Sim","Não"))</f>
        <v/>
      </c>
      <c r="P986" s="45" t="str">
        <f aca="false">IF($E986="","",IF($G986="","",IF($G986="NOK",$F986,0)))</f>
        <v/>
      </c>
      <c r="Q986" s="46" t="str">
        <f aca="false">IF($E986="","",IF($O986&lt;&gt;"Sim","",COUNTIF($O$3:$O986,"Sim")))</f>
        <v/>
      </c>
      <c r="R986" s="47" t="n">
        <f aca="false">IF($P986="",0,$P986)</f>
        <v>0</v>
      </c>
    </row>
    <row r="987" customFormat="false" ht="18" hidden="false" customHeight="true" outlineLevel="0" collapsed="false">
      <c r="A987" s="39"/>
      <c r="B987" s="41"/>
      <c r="C987" s="40"/>
      <c r="D987" s="40"/>
      <c r="E987" s="40"/>
      <c r="F987" s="42"/>
      <c r="G987" s="39"/>
      <c r="H987" s="40"/>
      <c r="I987" s="40"/>
      <c r="J987" s="40"/>
      <c r="K987" s="41"/>
      <c r="L987" s="39"/>
      <c r="M987" s="48" t="str">
        <f aca="false">IF($E987="","",IFERROR(INDEX(Parâmetros!$C$15:$C$20,MATCH($P987,Parâmetros!$B$15:$B$20,0)),""))</f>
        <v/>
      </c>
      <c r="N987" s="46" t="str">
        <f aca="false">IF($E987="","",IF($P987="","",IF($P987&gt;=8,"Alta",IF($P987&gt;=5,"Média","Baixa"))))</f>
        <v/>
      </c>
      <c r="O987" s="46" t="str">
        <f aca="false">IF($E987="","",IF(AND(Parâmetros!$C$5&gt;0,$P987&lt;&gt;"",$P987&gt;=Parâmetros!$C$5),"Sim","Não"))</f>
        <v/>
      </c>
      <c r="P987" s="45" t="str">
        <f aca="false">IF($E987="","",IF($G987="","",IF($G987="NOK",$F987,0)))</f>
        <v/>
      </c>
      <c r="Q987" s="46" t="str">
        <f aca="false">IF($E987="","",IF($O987&lt;&gt;"Sim","",COUNTIF($O$3:$O987,"Sim")))</f>
        <v/>
      </c>
      <c r="R987" s="47" t="n">
        <f aca="false">IF($P987="",0,$P987)</f>
        <v>0</v>
      </c>
    </row>
    <row r="988" customFormat="false" ht="18" hidden="false" customHeight="true" outlineLevel="0" collapsed="false">
      <c r="A988" s="39"/>
      <c r="B988" s="41"/>
      <c r="C988" s="40"/>
      <c r="D988" s="40"/>
      <c r="E988" s="40"/>
      <c r="F988" s="42"/>
      <c r="G988" s="39"/>
      <c r="H988" s="40"/>
      <c r="I988" s="40"/>
      <c r="J988" s="40"/>
      <c r="K988" s="41"/>
      <c r="L988" s="39"/>
      <c r="M988" s="48" t="str">
        <f aca="false">IF($E988="","",IFERROR(INDEX(Parâmetros!$C$15:$C$20,MATCH($P988,Parâmetros!$B$15:$B$20,0)),""))</f>
        <v/>
      </c>
      <c r="N988" s="46" t="str">
        <f aca="false">IF($E988="","",IF($P988="","",IF($P988&gt;=8,"Alta",IF($P988&gt;=5,"Média","Baixa"))))</f>
        <v/>
      </c>
      <c r="O988" s="46" t="str">
        <f aca="false">IF($E988="","",IF(AND(Parâmetros!$C$5&gt;0,$P988&lt;&gt;"",$P988&gt;=Parâmetros!$C$5),"Sim","Não"))</f>
        <v/>
      </c>
      <c r="P988" s="45" t="str">
        <f aca="false">IF($E988="","",IF($G988="","",IF($G988="NOK",$F988,0)))</f>
        <v/>
      </c>
      <c r="Q988" s="46" t="str">
        <f aca="false">IF($E988="","",IF($O988&lt;&gt;"Sim","",COUNTIF($O$3:$O988,"Sim")))</f>
        <v/>
      </c>
      <c r="R988" s="47" t="n">
        <f aca="false">IF($P988="",0,$P988)</f>
        <v>0</v>
      </c>
    </row>
    <row r="989" customFormat="false" ht="18" hidden="false" customHeight="true" outlineLevel="0" collapsed="false">
      <c r="A989" s="39"/>
      <c r="B989" s="41"/>
      <c r="C989" s="40"/>
      <c r="D989" s="40"/>
      <c r="E989" s="40"/>
      <c r="F989" s="42"/>
      <c r="G989" s="39"/>
      <c r="H989" s="40"/>
      <c r="I989" s="40"/>
      <c r="J989" s="40"/>
      <c r="K989" s="41"/>
      <c r="L989" s="39"/>
      <c r="M989" s="48" t="str">
        <f aca="false">IF($E989="","",IFERROR(INDEX(Parâmetros!$C$15:$C$20,MATCH($P989,Parâmetros!$B$15:$B$20,0)),""))</f>
        <v/>
      </c>
      <c r="N989" s="46" t="str">
        <f aca="false">IF($E989="","",IF($P989="","",IF($P989&gt;=8,"Alta",IF($P989&gt;=5,"Média","Baixa"))))</f>
        <v/>
      </c>
      <c r="O989" s="46" t="str">
        <f aca="false">IF($E989="","",IF(AND(Parâmetros!$C$5&gt;0,$P989&lt;&gt;"",$P989&gt;=Parâmetros!$C$5),"Sim","Não"))</f>
        <v/>
      </c>
      <c r="P989" s="45" t="str">
        <f aca="false">IF($E989="","",IF($G989="","",IF($G989="NOK",$F989,0)))</f>
        <v/>
      </c>
      <c r="Q989" s="46" t="str">
        <f aca="false">IF($E989="","",IF($O989&lt;&gt;"Sim","",COUNTIF($O$3:$O989,"Sim")))</f>
        <v/>
      </c>
      <c r="R989" s="47" t="n">
        <f aca="false">IF($P989="",0,$P989)</f>
        <v>0</v>
      </c>
    </row>
    <row r="990" customFormat="false" ht="18" hidden="false" customHeight="true" outlineLevel="0" collapsed="false">
      <c r="A990" s="39"/>
      <c r="B990" s="41"/>
      <c r="C990" s="40"/>
      <c r="D990" s="40"/>
      <c r="E990" s="40"/>
      <c r="F990" s="42"/>
      <c r="G990" s="39"/>
      <c r="H990" s="40"/>
      <c r="I990" s="40"/>
      <c r="J990" s="40"/>
      <c r="K990" s="41"/>
      <c r="L990" s="39"/>
      <c r="M990" s="48" t="str">
        <f aca="false">IF($E990="","",IFERROR(INDEX(Parâmetros!$C$15:$C$20,MATCH($P990,Parâmetros!$B$15:$B$20,0)),""))</f>
        <v/>
      </c>
      <c r="N990" s="46" t="str">
        <f aca="false">IF($E990="","",IF($P990="","",IF($P990&gt;=8,"Alta",IF($P990&gt;=5,"Média","Baixa"))))</f>
        <v/>
      </c>
      <c r="O990" s="46" t="str">
        <f aca="false">IF($E990="","",IF(AND(Parâmetros!$C$5&gt;0,$P990&lt;&gt;"",$P990&gt;=Parâmetros!$C$5),"Sim","Não"))</f>
        <v/>
      </c>
      <c r="P990" s="45" t="str">
        <f aca="false">IF($E990="","",IF($G990="","",IF($G990="NOK",$F990,0)))</f>
        <v/>
      </c>
      <c r="Q990" s="46" t="str">
        <f aca="false">IF($E990="","",IF($O990&lt;&gt;"Sim","",COUNTIF($O$3:$O990,"Sim")))</f>
        <v/>
      </c>
      <c r="R990" s="47" t="n">
        <f aca="false">IF($P990="",0,$P990)</f>
        <v>0</v>
      </c>
    </row>
    <row r="991" customFormat="false" ht="18" hidden="false" customHeight="true" outlineLevel="0" collapsed="false">
      <c r="A991" s="39"/>
      <c r="B991" s="41"/>
      <c r="C991" s="40"/>
      <c r="D991" s="40"/>
      <c r="E991" s="40"/>
      <c r="F991" s="42"/>
      <c r="G991" s="39"/>
      <c r="H991" s="40"/>
      <c r="I991" s="40"/>
      <c r="J991" s="40"/>
      <c r="K991" s="41"/>
      <c r="L991" s="39"/>
      <c r="M991" s="48" t="str">
        <f aca="false">IF($E991="","",IFERROR(INDEX(Parâmetros!$C$15:$C$20,MATCH($P991,Parâmetros!$B$15:$B$20,0)),""))</f>
        <v/>
      </c>
      <c r="N991" s="46" t="str">
        <f aca="false">IF($E991="","",IF($P991="","",IF($P991&gt;=8,"Alta",IF($P991&gt;=5,"Média","Baixa"))))</f>
        <v/>
      </c>
      <c r="O991" s="46" t="str">
        <f aca="false">IF($E991="","",IF(AND(Parâmetros!$C$5&gt;0,$P991&lt;&gt;"",$P991&gt;=Parâmetros!$C$5),"Sim","Não"))</f>
        <v/>
      </c>
      <c r="P991" s="45" t="str">
        <f aca="false">IF($E991="","",IF($G991="","",IF($G991="NOK",$F991,0)))</f>
        <v/>
      </c>
      <c r="Q991" s="46" t="str">
        <f aca="false">IF($E991="","",IF($O991&lt;&gt;"Sim","",COUNTIF($O$3:$O991,"Sim")))</f>
        <v/>
      </c>
      <c r="R991" s="47" t="n">
        <f aca="false">IF($P991="",0,$P991)</f>
        <v>0</v>
      </c>
    </row>
    <row r="992" customFormat="false" ht="18" hidden="false" customHeight="true" outlineLevel="0" collapsed="false">
      <c r="A992" s="39"/>
      <c r="B992" s="41"/>
      <c r="C992" s="40"/>
      <c r="D992" s="40"/>
      <c r="E992" s="40"/>
      <c r="F992" s="42"/>
      <c r="G992" s="39"/>
      <c r="H992" s="40"/>
      <c r="I992" s="40"/>
      <c r="J992" s="40"/>
      <c r="K992" s="41"/>
      <c r="L992" s="39"/>
      <c r="M992" s="48" t="str">
        <f aca="false">IF($E992="","",IFERROR(INDEX(Parâmetros!$C$15:$C$20,MATCH($P992,Parâmetros!$B$15:$B$20,0)),""))</f>
        <v/>
      </c>
      <c r="N992" s="46" t="str">
        <f aca="false">IF($E992="","",IF($P992="","",IF($P992&gt;=8,"Alta",IF($P992&gt;=5,"Média","Baixa"))))</f>
        <v/>
      </c>
      <c r="O992" s="46" t="str">
        <f aca="false">IF($E992="","",IF(AND(Parâmetros!$C$5&gt;0,$P992&lt;&gt;"",$P992&gt;=Parâmetros!$C$5),"Sim","Não"))</f>
        <v/>
      </c>
      <c r="P992" s="45" t="str">
        <f aca="false">IF($E992="","",IF($G992="","",IF($G992="NOK",$F992,0)))</f>
        <v/>
      </c>
      <c r="Q992" s="46" t="str">
        <f aca="false">IF($E992="","",IF($O992&lt;&gt;"Sim","",COUNTIF($O$3:$O992,"Sim")))</f>
        <v/>
      </c>
      <c r="R992" s="47" t="n">
        <f aca="false">IF($P992="",0,$P992)</f>
        <v>0</v>
      </c>
    </row>
    <row r="993" customFormat="false" ht="18" hidden="false" customHeight="true" outlineLevel="0" collapsed="false">
      <c r="A993" s="39"/>
      <c r="B993" s="41"/>
      <c r="C993" s="40"/>
      <c r="D993" s="40"/>
      <c r="E993" s="40"/>
      <c r="F993" s="42"/>
      <c r="G993" s="39"/>
      <c r="H993" s="40"/>
      <c r="I993" s="40"/>
      <c r="J993" s="40"/>
      <c r="K993" s="41"/>
      <c r="L993" s="39"/>
      <c r="M993" s="48" t="str">
        <f aca="false">IF($E993="","",IFERROR(INDEX(Parâmetros!$C$15:$C$20,MATCH($P993,Parâmetros!$B$15:$B$20,0)),""))</f>
        <v/>
      </c>
      <c r="N993" s="46" t="str">
        <f aca="false">IF($E993="","",IF($P993="","",IF($P993&gt;=8,"Alta",IF($P993&gt;=5,"Média","Baixa"))))</f>
        <v/>
      </c>
      <c r="O993" s="46" t="str">
        <f aca="false">IF($E993="","",IF(AND(Parâmetros!$C$5&gt;0,$P993&lt;&gt;"",$P993&gt;=Parâmetros!$C$5),"Sim","Não"))</f>
        <v/>
      </c>
      <c r="P993" s="45" t="str">
        <f aca="false">IF($E993="","",IF($G993="","",IF($G993="NOK",$F993,0)))</f>
        <v/>
      </c>
      <c r="Q993" s="46" t="str">
        <f aca="false">IF($E993="","",IF($O993&lt;&gt;"Sim","",COUNTIF($O$3:$O993,"Sim")))</f>
        <v/>
      </c>
      <c r="R993" s="47" t="n">
        <f aca="false">IF($P993="",0,$P993)</f>
        <v>0</v>
      </c>
    </row>
    <row r="994" customFormat="false" ht="18" hidden="false" customHeight="true" outlineLevel="0" collapsed="false">
      <c r="A994" s="39"/>
      <c r="B994" s="41"/>
      <c r="C994" s="40"/>
      <c r="D994" s="40"/>
      <c r="E994" s="40"/>
      <c r="F994" s="42"/>
      <c r="G994" s="39"/>
      <c r="H994" s="40"/>
      <c r="I994" s="40"/>
      <c r="J994" s="40"/>
      <c r="K994" s="41"/>
      <c r="L994" s="39"/>
      <c r="M994" s="48" t="str">
        <f aca="false">IF($E994="","",IFERROR(INDEX(Parâmetros!$C$15:$C$20,MATCH($P994,Parâmetros!$B$15:$B$20,0)),""))</f>
        <v/>
      </c>
      <c r="N994" s="46" t="str">
        <f aca="false">IF($E994="","",IF($P994="","",IF($P994&gt;=8,"Alta",IF($P994&gt;=5,"Média","Baixa"))))</f>
        <v/>
      </c>
      <c r="O994" s="46" t="str">
        <f aca="false">IF($E994="","",IF(AND(Parâmetros!$C$5&gt;0,$P994&lt;&gt;"",$P994&gt;=Parâmetros!$C$5),"Sim","Não"))</f>
        <v/>
      </c>
      <c r="P994" s="45" t="str">
        <f aca="false">IF($E994="","",IF($G994="","",IF($G994="NOK",$F994,0)))</f>
        <v/>
      </c>
      <c r="Q994" s="46" t="str">
        <f aca="false">IF($E994="","",IF($O994&lt;&gt;"Sim","",COUNTIF($O$3:$O994,"Sim")))</f>
        <v/>
      </c>
      <c r="R994" s="47" t="n">
        <f aca="false">IF($P994="",0,$P994)</f>
        <v>0</v>
      </c>
    </row>
    <row r="995" customFormat="false" ht="18" hidden="false" customHeight="true" outlineLevel="0" collapsed="false">
      <c r="A995" s="39"/>
      <c r="B995" s="41"/>
      <c r="C995" s="40"/>
      <c r="D995" s="40"/>
      <c r="E995" s="40"/>
      <c r="F995" s="42"/>
      <c r="G995" s="39"/>
      <c r="H995" s="40"/>
      <c r="I995" s="40"/>
      <c r="J995" s="40"/>
      <c r="K995" s="41"/>
      <c r="L995" s="39"/>
      <c r="M995" s="48" t="str">
        <f aca="false">IF($E995="","",IFERROR(INDEX(Parâmetros!$C$15:$C$20,MATCH($P995,Parâmetros!$B$15:$B$20,0)),""))</f>
        <v/>
      </c>
      <c r="N995" s="46" t="str">
        <f aca="false">IF($E995="","",IF($P995="","",IF($P995&gt;=8,"Alta",IF($P995&gt;=5,"Média","Baixa"))))</f>
        <v/>
      </c>
      <c r="O995" s="46" t="str">
        <f aca="false">IF($E995="","",IF(AND(Parâmetros!$C$5&gt;0,$P995&lt;&gt;"",$P995&gt;=Parâmetros!$C$5),"Sim","Não"))</f>
        <v/>
      </c>
      <c r="P995" s="45" t="str">
        <f aca="false">IF($E995="","",IF($G995="","",IF($G995="NOK",$F995,0)))</f>
        <v/>
      </c>
      <c r="Q995" s="46" t="str">
        <f aca="false">IF($E995="","",IF($O995&lt;&gt;"Sim","",COUNTIF($O$3:$O995,"Sim")))</f>
        <v/>
      </c>
      <c r="R995" s="47" t="n">
        <f aca="false">IF($P995="",0,$P995)</f>
        <v>0</v>
      </c>
    </row>
    <row r="996" customFormat="false" ht="18" hidden="false" customHeight="true" outlineLevel="0" collapsed="false">
      <c r="A996" s="39"/>
      <c r="B996" s="41"/>
      <c r="C996" s="40"/>
      <c r="D996" s="40"/>
      <c r="E996" s="40"/>
      <c r="F996" s="42"/>
      <c r="G996" s="39"/>
      <c r="H996" s="40"/>
      <c r="I996" s="40"/>
      <c r="J996" s="40"/>
      <c r="K996" s="41"/>
      <c r="L996" s="39"/>
      <c r="M996" s="48" t="str">
        <f aca="false">IF($E996="","",IFERROR(INDEX(Parâmetros!$C$15:$C$20,MATCH($P996,Parâmetros!$B$15:$B$20,0)),""))</f>
        <v/>
      </c>
      <c r="N996" s="46" t="str">
        <f aca="false">IF($E996="","",IF($P996="","",IF($P996&gt;=8,"Alta",IF($P996&gt;=5,"Média","Baixa"))))</f>
        <v/>
      </c>
      <c r="O996" s="46" t="str">
        <f aca="false">IF($E996="","",IF(AND(Parâmetros!$C$5&gt;0,$P996&lt;&gt;"",$P996&gt;=Parâmetros!$C$5),"Sim","Não"))</f>
        <v/>
      </c>
      <c r="P996" s="45" t="str">
        <f aca="false">IF($E996="","",IF($G996="","",IF($G996="NOK",$F996,0)))</f>
        <v/>
      </c>
      <c r="Q996" s="46" t="str">
        <f aca="false">IF($E996="","",IF($O996&lt;&gt;"Sim","",COUNTIF($O$3:$O996,"Sim")))</f>
        <v/>
      </c>
      <c r="R996" s="47" t="n">
        <f aca="false">IF($P996="",0,$P996)</f>
        <v>0</v>
      </c>
    </row>
    <row r="997" customFormat="false" ht="18" hidden="false" customHeight="true" outlineLevel="0" collapsed="false">
      <c r="A997" s="39"/>
      <c r="B997" s="41"/>
      <c r="C997" s="40"/>
      <c r="D997" s="40"/>
      <c r="E997" s="40"/>
      <c r="F997" s="42"/>
      <c r="G997" s="39"/>
      <c r="H997" s="40"/>
      <c r="I997" s="40"/>
      <c r="J997" s="40"/>
      <c r="K997" s="41"/>
      <c r="L997" s="39"/>
      <c r="M997" s="48" t="str">
        <f aca="false">IF($E997="","",IFERROR(INDEX(Parâmetros!$C$15:$C$20,MATCH($P997,Parâmetros!$B$15:$B$20,0)),""))</f>
        <v/>
      </c>
      <c r="N997" s="46" t="str">
        <f aca="false">IF($E997="","",IF($P997="","",IF($P997&gt;=8,"Alta",IF($P997&gt;=5,"Média","Baixa"))))</f>
        <v/>
      </c>
      <c r="O997" s="46" t="str">
        <f aca="false">IF($E997="","",IF(AND(Parâmetros!$C$5&gt;0,$P997&lt;&gt;"",$P997&gt;=Parâmetros!$C$5),"Sim","Não"))</f>
        <v/>
      </c>
      <c r="P997" s="45" t="str">
        <f aca="false">IF($E997="","",IF($G997="","",IF($G997="NOK",$F997,0)))</f>
        <v/>
      </c>
      <c r="Q997" s="46" t="str">
        <f aca="false">IF($E997="","",IF($O997&lt;&gt;"Sim","",COUNTIF($O$3:$O997,"Sim")))</f>
        <v/>
      </c>
      <c r="R997" s="47" t="n">
        <f aca="false">IF($P997="",0,$P997)</f>
        <v>0</v>
      </c>
    </row>
    <row r="998" customFormat="false" ht="18" hidden="false" customHeight="true" outlineLevel="0" collapsed="false">
      <c r="A998" s="39"/>
      <c r="B998" s="41"/>
      <c r="C998" s="40"/>
      <c r="D998" s="40"/>
      <c r="E998" s="40"/>
      <c r="F998" s="42"/>
      <c r="G998" s="39"/>
      <c r="H998" s="40"/>
      <c r="I998" s="40"/>
      <c r="J998" s="40"/>
      <c r="K998" s="41"/>
      <c r="L998" s="39"/>
      <c r="M998" s="48" t="str">
        <f aca="false">IF($E998="","",IFERROR(INDEX(Parâmetros!$C$15:$C$20,MATCH($P998,Parâmetros!$B$15:$B$20,0)),""))</f>
        <v/>
      </c>
      <c r="N998" s="46" t="str">
        <f aca="false">IF($E998="","",IF($P998="","",IF($P998&gt;=8,"Alta",IF($P998&gt;=5,"Média","Baixa"))))</f>
        <v/>
      </c>
      <c r="O998" s="46" t="str">
        <f aca="false">IF($E998="","",IF(AND(Parâmetros!$C$5&gt;0,$P998&lt;&gt;"",$P998&gt;=Parâmetros!$C$5),"Sim","Não"))</f>
        <v/>
      </c>
      <c r="P998" s="45" t="str">
        <f aca="false">IF($E998="","",IF($G998="","",IF($G998="NOK",$F998,0)))</f>
        <v/>
      </c>
      <c r="Q998" s="46" t="str">
        <f aca="false">IF($E998="","",IF($O998&lt;&gt;"Sim","",COUNTIF($O$3:$O998,"Sim")))</f>
        <v/>
      </c>
      <c r="R998" s="47" t="n">
        <f aca="false">IF($P998="",0,$P998)</f>
        <v>0</v>
      </c>
    </row>
    <row r="999" customFormat="false" ht="18" hidden="false" customHeight="true" outlineLevel="0" collapsed="false">
      <c r="A999" s="39"/>
      <c r="B999" s="41"/>
      <c r="C999" s="40"/>
      <c r="D999" s="40"/>
      <c r="E999" s="40"/>
      <c r="F999" s="42"/>
      <c r="G999" s="39"/>
      <c r="H999" s="40"/>
      <c r="I999" s="40"/>
      <c r="J999" s="40"/>
      <c r="K999" s="41"/>
      <c r="L999" s="39"/>
      <c r="M999" s="48" t="str">
        <f aca="false">IF($E999="","",IFERROR(INDEX(Parâmetros!$C$15:$C$20,MATCH($P999,Parâmetros!$B$15:$B$20,0)),""))</f>
        <v/>
      </c>
      <c r="N999" s="46" t="str">
        <f aca="false">IF($E999="","",IF($P999="","",IF($P999&gt;=8,"Alta",IF($P999&gt;=5,"Média","Baixa"))))</f>
        <v/>
      </c>
      <c r="O999" s="46" t="str">
        <f aca="false">IF($E999="","",IF(AND(Parâmetros!$C$5&gt;0,$P999&lt;&gt;"",$P999&gt;=Parâmetros!$C$5),"Sim","Não"))</f>
        <v/>
      </c>
      <c r="P999" s="45" t="str">
        <f aca="false">IF($E999="","",IF($G999="","",IF($G999="NOK",$F999,0)))</f>
        <v/>
      </c>
      <c r="Q999" s="46" t="str">
        <f aca="false">IF($E999="","",IF($O999&lt;&gt;"Sim","",COUNTIF($O$3:$O999,"Sim")))</f>
        <v/>
      </c>
      <c r="R999" s="47" t="n">
        <f aca="false">IF($P999="",0,$P999)</f>
        <v>0</v>
      </c>
    </row>
    <row r="1000" customFormat="false" ht="18" hidden="false" customHeight="true" outlineLevel="0" collapsed="false">
      <c r="A1000" s="39"/>
      <c r="B1000" s="41"/>
      <c r="C1000" s="40"/>
      <c r="D1000" s="40"/>
      <c r="E1000" s="40"/>
      <c r="F1000" s="42"/>
      <c r="G1000" s="39"/>
      <c r="H1000" s="40"/>
      <c r="I1000" s="40"/>
      <c r="J1000" s="40"/>
      <c r="K1000" s="41"/>
      <c r="L1000" s="39"/>
      <c r="M1000" s="48" t="str">
        <f aca="false">IF($E1000="","",IFERROR(INDEX(Parâmetros!$C$15:$C$20,MATCH($P1000,Parâmetros!$B$15:$B$20,0)),""))</f>
        <v/>
      </c>
      <c r="N1000" s="46" t="str">
        <f aca="false">IF($E1000="","",IF($P1000="","",IF($P1000&gt;=8,"Alta",IF($P1000&gt;=5,"Média","Baixa"))))</f>
        <v/>
      </c>
      <c r="O1000" s="46" t="str">
        <f aca="false">IF($E1000="","",IF(AND(Parâmetros!$C$5&gt;0,$P1000&lt;&gt;"",$P1000&gt;=Parâmetros!$C$5),"Sim","Não"))</f>
        <v/>
      </c>
      <c r="P1000" s="45" t="str">
        <f aca="false">IF($E1000="","",IF($G1000="","",IF($G1000="NOK",$F1000,0)))</f>
        <v/>
      </c>
      <c r="Q1000" s="46" t="str">
        <f aca="false">IF($E1000="","",IF($O1000&lt;&gt;"Sim","",COUNTIF($O$3:$O1000,"Sim")))</f>
        <v/>
      </c>
      <c r="R1000" s="47" t="n">
        <f aca="false">IF($P1000="",0,$P1000)</f>
        <v>0</v>
      </c>
    </row>
    <row r="1001" customFormat="false" ht="18" hidden="false" customHeight="true" outlineLevel="0" collapsed="false">
      <c r="A1001" s="39"/>
      <c r="B1001" s="41"/>
      <c r="C1001" s="40"/>
      <c r="D1001" s="40"/>
      <c r="E1001" s="40"/>
      <c r="F1001" s="42"/>
      <c r="G1001" s="39"/>
      <c r="H1001" s="40"/>
      <c r="I1001" s="40"/>
      <c r="J1001" s="40"/>
      <c r="K1001" s="41"/>
      <c r="L1001" s="39"/>
      <c r="M1001" s="48" t="str">
        <f aca="false">IF($E1001="","",IFERROR(INDEX(Parâmetros!$C$15:$C$20,MATCH($P1001,Parâmetros!$B$15:$B$20,0)),""))</f>
        <v/>
      </c>
      <c r="N1001" s="46" t="str">
        <f aca="false">IF($E1001="","",IF($P1001="","",IF($P1001&gt;=8,"Alta",IF($P1001&gt;=5,"Média","Baixa"))))</f>
        <v/>
      </c>
      <c r="O1001" s="46" t="str">
        <f aca="false">IF($E1001="","",IF(AND(Parâmetros!$C$5&gt;0,$P1001&lt;&gt;"",$P1001&gt;=Parâmetros!$C$5),"Sim","Não"))</f>
        <v/>
      </c>
      <c r="P1001" s="45" t="str">
        <f aca="false">IF($E1001="","",IF($G1001="","",IF($G1001="NOK",$F1001,0)))</f>
        <v/>
      </c>
      <c r="Q1001" s="46" t="str">
        <f aca="false">IF($E1001="","",IF($O1001&lt;&gt;"Sim","",COUNTIF($O$3:$O1001,"Sim")))</f>
        <v/>
      </c>
      <c r="R1001" s="47" t="n">
        <f aca="false">IF($P1001="",0,$P1001)</f>
        <v>0</v>
      </c>
    </row>
    <row r="1002" customFormat="false" ht="18" hidden="false" customHeight="true" outlineLevel="0" collapsed="false">
      <c r="A1002" s="39"/>
      <c r="B1002" s="41"/>
      <c r="C1002" s="40"/>
      <c r="D1002" s="40"/>
      <c r="E1002" s="40"/>
      <c r="F1002" s="42"/>
      <c r="G1002" s="39"/>
      <c r="H1002" s="40"/>
      <c r="I1002" s="40"/>
      <c r="J1002" s="40"/>
      <c r="K1002" s="41"/>
      <c r="L1002" s="39"/>
      <c r="M1002" s="48" t="str">
        <f aca="false">IF($E1002="","",IFERROR(INDEX(Parâmetros!$C$15:$C$20,MATCH($P1002,Parâmetros!$B$15:$B$20,0)),""))</f>
        <v/>
      </c>
      <c r="N1002" s="46" t="str">
        <f aca="false">IF($E1002="","",IF($P1002="","",IF($P1002&gt;=8,"Alta",IF($P1002&gt;=5,"Média","Baixa"))))</f>
        <v/>
      </c>
      <c r="O1002" s="46" t="str">
        <f aca="false">IF($E1002="","",IF(AND(Parâmetros!$C$5&gt;0,$P1002&lt;&gt;"",$P1002&gt;=Parâmetros!$C$5),"Sim","Não"))</f>
        <v/>
      </c>
      <c r="P1002" s="45" t="str">
        <f aca="false">IF($E1002="","",IF($G1002="","",IF($G1002="NOK",$F1002,0)))</f>
        <v/>
      </c>
      <c r="Q1002" s="46" t="str">
        <f aca="false">IF($E1002="","",IF($O1002&lt;&gt;"Sim","",COUNTIF($O$3:$O1002,"Sim")))</f>
        <v/>
      </c>
      <c r="R1002" s="47" t="n">
        <f aca="false">IF($P1002="",0,$P1002)</f>
        <v>0</v>
      </c>
    </row>
    <row r="1003" customFormat="false" ht="18" hidden="false" customHeight="true" outlineLevel="0" collapsed="false">
      <c r="A1003" s="39"/>
      <c r="B1003" s="41"/>
      <c r="C1003" s="40"/>
      <c r="D1003" s="40"/>
      <c r="E1003" s="40"/>
      <c r="F1003" s="42"/>
      <c r="G1003" s="39"/>
      <c r="H1003" s="40"/>
      <c r="I1003" s="40"/>
      <c r="J1003" s="40"/>
      <c r="K1003" s="41"/>
      <c r="L1003" s="39"/>
      <c r="M1003" s="48" t="str">
        <f aca="false">IF($E1003="","",IFERROR(INDEX(Parâmetros!$C$15:$C$20,MATCH($P1003,Parâmetros!$B$15:$B$20,0)),""))</f>
        <v/>
      </c>
      <c r="N1003" s="46" t="str">
        <f aca="false">IF($E1003="","",IF($P1003="","",IF($P1003&gt;=8,"Alta",IF($P1003&gt;=5,"Média","Baixa"))))</f>
        <v/>
      </c>
      <c r="O1003" s="46" t="str">
        <f aca="false">IF($E1003="","",IF(AND(Parâmetros!$C$5&gt;0,$P1003&lt;&gt;"",$P1003&gt;=Parâmetros!$C$5),"Sim","Não"))</f>
        <v/>
      </c>
      <c r="P1003" s="45" t="str">
        <f aca="false">IF($E1003="","",IF($G1003="","",IF($G1003="NOK",$F1003,0)))</f>
        <v/>
      </c>
      <c r="Q1003" s="46" t="str">
        <f aca="false">IF($E1003="","",IF($O1003&lt;&gt;"Sim","",COUNTIF($O$3:$O1003,"Sim")))</f>
        <v/>
      </c>
      <c r="R1003" s="47" t="n">
        <f aca="false">IF($P1003="",0,$P1003)</f>
        <v>0</v>
      </c>
    </row>
    <row r="1004" customFormat="false" ht="18" hidden="false" customHeight="true" outlineLevel="0" collapsed="false">
      <c r="A1004" s="39"/>
      <c r="B1004" s="41"/>
      <c r="C1004" s="40"/>
      <c r="D1004" s="40"/>
      <c r="E1004" s="40"/>
      <c r="F1004" s="42"/>
      <c r="G1004" s="39"/>
      <c r="H1004" s="40"/>
      <c r="I1004" s="40"/>
      <c r="J1004" s="40"/>
      <c r="K1004" s="41"/>
      <c r="L1004" s="39"/>
      <c r="M1004" s="48" t="str">
        <f aca="false">IF($E1004="","",IFERROR(INDEX(Parâmetros!$C$15:$C$20,MATCH($P1004,Parâmetros!$B$15:$B$20,0)),""))</f>
        <v/>
      </c>
      <c r="N1004" s="46" t="str">
        <f aca="false">IF($E1004="","",IF($P1004="","",IF($P1004&gt;=8,"Alta",IF($P1004&gt;=5,"Média","Baixa"))))</f>
        <v/>
      </c>
      <c r="O1004" s="46" t="str">
        <f aca="false">IF($E1004="","",IF(AND(Parâmetros!$C$5&gt;0,$P1004&lt;&gt;"",$P1004&gt;=Parâmetros!$C$5),"Sim","Não"))</f>
        <v/>
      </c>
      <c r="P1004" s="45" t="str">
        <f aca="false">IF($E1004="","",IF($G1004="","",IF($G1004="NOK",$F1004,0)))</f>
        <v/>
      </c>
      <c r="Q1004" s="46" t="str">
        <f aca="false">IF($E1004="","",IF($O1004&lt;&gt;"Sim","",COUNTIF($O$3:$O1004,"Sim")))</f>
        <v/>
      </c>
      <c r="R1004" s="47" t="n">
        <f aca="false">IF($P1004="",0,$P1004)</f>
        <v>0</v>
      </c>
    </row>
    <row r="1005" customFormat="false" ht="18" hidden="false" customHeight="true" outlineLevel="0" collapsed="false">
      <c r="A1005" s="39"/>
      <c r="B1005" s="41"/>
      <c r="C1005" s="40"/>
      <c r="D1005" s="40"/>
      <c r="E1005" s="40"/>
      <c r="F1005" s="42"/>
      <c r="G1005" s="39"/>
      <c r="H1005" s="40"/>
      <c r="I1005" s="40"/>
      <c r="J1005" s="40"/>
      <c r="K1005" s="41"/>
      <c r="L1005" s="39"/>
      <c r="M1005" s="48" t="str">
        <f aca="false">IF($E1005="","",IFERROR(INDEX(Parâmetros!$C$15:$C$20,MATCH($P1005,Parâmetros!$B$15:$B$20,0)),""))</f>
        <v/>
      </c>
      <c r="N1005" s="46" t="str">
        <f aca="false">IF($E1005="","",IF($P1005="","",IF($P1005&gt;=8,"Alta",IF($P1005&gt;=5,"Média","Baixa"))))</f>
        <v/>
      </c>
      <c r="O1005" s="46" t="str">
        <f aca="false">IF($E1005="","",IF(AND(Parâmetros!$C$5&gt;0,$P1005&lt;&gt;"",$P1005&gt;=Parâmetros!$C$5),"Sim","Não"))</f>
        <v/>
      </c>
      <c r="P1005" s="45" t="str">
        <f aca="false">IF($E1005="","",IF($G1005="","",IF($G1005="NOK",$F1005,0)))</f>
        <v/>
      </c>
      <c r="Q1005" s="46" t="str">
        <f aca="false">IF($E1005="","",IF($O1005&lt;&gt;"Sim","",COUNTIF($O$3:$O1005,"Sim")))</f>
        <v/>
      </c>
      <c r="R1005" s="47" t="n">
        <f aca="false">IF($P1005="",0,$P1005)</f>
        <v>0</v>
      </c>
    </row>
    <row r="1006" customFormat="false" ht="18" hidden="false" customHeight="true" outlineLevel="0" collapsed="false">
      <c r="A1006" s="39"/>
      <c r="B1006" s="41"/>
      <c r="C1006" s="40"/>
      <c r="D1006" s="40"/>
      <c r="E1006" s="40"/>
      <c r="F1006" s="42"/>
      <c r="G1006" s="39"/>
      <c r="H1006" s="40"/>
      <c r="I1006" s="40"/>
      <c r="J1006" s="40"/>
      <c r="K1006" s="41"/>
      <c r="L1006" s="39"/>
      <c r="M1006" s="48" t="str">
        <f aca="false">IF($E1006="","",IFERROR(INDEX(Parâmetros!$C$15:$C$20,MATCH($P1006,Parâmetros!$B$15:$B$20,0)),""))</f>
        <v/>
      </c>
      <c r="N1006" s="46" t="str">
        <f aca="false">IF($E1006="","",IF($P1006="","",IF($P1006&gt;=8,"Alta",IF($P1006&gt;=5,"Média","Baixa"))))</f>
        <v/>
      </c>
      <c r="O1006" s="46" t="str">
        <f aca="false">IF($E1006="","",IF(AND(Parâmetros!$C$5&gt;0,$P1006&lt;&gt;"",$P1006&gt;=Parâmetros!$C$5),"Sim","Não"))</f>
        <v/>
      </c>
      <c r="P1006" s="45" t="str">
        <f aca="false">IF($E1006="","",IF($G1006="","",IF($G1006="NOK",$F1006,0)))</f>
        <v/>
      </c>
      <c r="Q1006" s="46" t="str">
        <f aca="false">IF($E1006="","",IF($O1006&lt;&gt;"Sim","",COUNTIF($O$3:$O1006,"Sim")))</f>
        <v/>
      </c>
      <c r="R1006" s="47" t="n">
        <f aca="false">IF($P1006="",0,$P1006)</f>
        <v>0</v>
      </c>
    </row>
    <row r="1007" customFormat="false" ht="18" hidden="false" customHeight="true" outlineLevel="0" collapsed="false">
      <c r="A1007" s="39"/>
      <c r="B1007" s="41"/>
      <c r="C1007" s="40"/>
      <c r="D1007" s="40"/>
      <c r="E1007" s="40"/>
      <c r="F1007" s="42"/>
      <c r="G1007" s="39"/>
      <c r="H1007" s="40"/>
      <c r="I1007" s="40"/>
      <c r="J1007" s="40"/>
      <c r="K1007" s="41"/>
      <c r="L1007" s="39"/>
      <c r="M1007" s="48" t="str">
        <f aca="false">IF($E1007="","",IFERROR(INDEX(Parâmetros!$C$15:$C$20,MATCH($P1007,Parâmetros!$B$15:$B$20,0)),""))</f>
        <v/>
      </c>
      <c r="N1007" s="46" t="str">
        <f aca="false">IF($E1007="","",IF($P1007="","",IF($P1007&gt;=8,"Alta",IF($P1007&gt;=5,"Média","Baixa"))))</f>
        <v/>
      </c>
      <c r="O1007" s="46" t="str">
        <f aca="false">IF($E1007="","",IF(AND(Parâmetros!$C$5&gt;0,$P1007&lt;&gt;"",$P1007&gt;=Parâmetros!$C$5),"Sim","Não"))</f>
        <v/>
      </c>
      <c r="P1007" s="45" t="str">
        <f aca="false">IF($E1007="","",IF($G1007="","",IF($G1007="NOK",$F1007,0)))</f>
        <v/>
      </c>
      <c r="Q1007" s="46" t="str">
        <f aca="false">IF($E1007="","",IF($O1007&lt;&gt;"Sim","",COUNTIF($O$3:$O1007,"Sim")))</f>
        <v/>
      </c>
      <c r="R1007" s="47" t="n">
        <f aca="false">IF($P1007="",0,$P1007)</f>
        <v>0</v>
      </c>
    </row>
    <row r="1008" customFormat="false" ht="18" hidden="false" customHeight="true" outlineLevel="0" collapsed="false">
      <c r="A1008" s="39"/>
      <c r="B1008" s="41"/>
      <c r="C1008" s="40"/>
      <c r="D1008" s="40"/>
      <c r="E1008" s="40"/>
      <c r="F1008" s="42"/>
      <c r="G1008" s="39"/>
      <c r="H1008" s="40"/>
      <c r="I1008" s="40"/>
      <c r="J1008" s="40"/>
      <c r="K1008" s="41"/>
      <c r="L1008" s="39"/>
      <c r="M1008" s="48" t="str">
        <f aca="false">IF($E1008="","",IFERROR(INDEX(Parâmetros!$C$15:$C$20,MATCH($P1008,Parâmetros!$B$15:$B$20,0)),""))</f>
        <v/>
      </c>
      <c r="N1008" s="46" t="str">
        <f aca="false">IF($E1008="","",IF($P1008="","",IF($P1008&gt;=8,"Alta",IF($P1008&gt;=5,"Média","Baixa"))))</f>
        <v/>
      </c>
      <c r="O1008" s="46" t="str">
        <f aca="false">IF($E1008="","",IF(AND(Parâmetros!$C$5&gt;0,$P1008&lt;&gt;"",$P1008&gt;=Parâmetros!$C$5),"Sim","Não"))</f>
        <v/>
      </c>
      <c r="P1008" s="45" t="str">
        <f aca="false">IF($E1008="","",IF($G1008="","",IF($G1008="NOK",$F1008,0)))</f>
        <v/>
      </c>
      <c r="Q1008" s="46" t="str">
        <f aca="false">IF($E1008="","",IF($O1008&lt;&gt;"Sim","",COUNTIF($O$3:$O1008,"Sim")))</f>
        <v/>
      </c>
      <c r="R1008" s="47" t="n">
        <f aca="false">IF($P1008="",0,$P1008)</f>
        <v>0</v>
      </c>
    </row>
    <row r="1009" customFormat="false" ht="18" hidden="false" customHeight="true" outlineLevel="0" collapsed="false">
      <c r="A1009" s="39"/>
      <c r="B1009" s="41"/>
      <c r="C1009" s="40"/>
      <c r="D1009" s="40"/>
      <c r="E1009" s="40"/>
      <c r="F1009" s="42"/>
      <c r="G1009" s="39"/>
      <c r="H1009" s="40"/>
      <c r="I1009" s="40"/>
      <c r="J1009" s="40"/>
      <c r="K1009" s="41"/>
      <c r="L1009" s="39"/>
      <c r="M1009" s="48" t="str">
        <f aca="false">IF($E1009="","",IFERROR(INDEX(Parâmetros!$C$15:$C$20,MATCH($P1009,Parâmetros!$B$15:$B$20,0)),""))</f>
        <v/>
      </c>
      <c r="N1009" s="46" t="str">
        <f aca="false">IF($E1009="","",IF($P1009="","",IF($P1009&gt;=8,"Alta",IF($P1009&gt;=5,"Média","Baixa"))))</f>
        <v/>
      </c>
      <c r="O1009" s="46" t="str">
        <f aca="false">IF($E1009="","",IF(AND(Parâmetros!$C$5&gt;0,$P1009&lt;&gt;"",$P1009&gt;=Parâmetros!$C$5),"Sim","Não"))</f>
        <v/>
      </c>
      <c r="P1009" s="45" t="str">
        <f aca="false">IF($E1009="","",IF($G1009="","",IF($G1009="NOK",$F1009,0)))</f>
        <v/>
      </c>
      <c r="Q1009" s="46" t="str">
        <f aca="false">IF($E1009="","",IF($O1009&lt;&gt;"Sim","",COUNTIF($O$3:$O1009,"Sim")))</f>
        <v/>
      </c>
      <c r="R1009" s="47" t="n">
        <f aca="false">IF($P1009="",0,$P1009)</f>
        <v>0</v>
      </c>
    </row>
    <row r="1010" customFormat="false" ht="18" hidden="false" customHeight="true" outlineLevel="0" collapsed="false">
      <c r="A1010" s="39"/>
      <c r="B1010" s="41"/>
      <c r="C1010" s="40"/>
      <c r="D1010" s="40"/>
      <c r="E1010" s="40"/>
      <c r="F1010" s="42"/>
      <c r="G1010" s="39"/>
      <c r="H1010" s="40"/>
      <c r="I1010" s="40"/>
      <c r="J1010" s="40"/>
      <c r="K1010" s="41"/>
      <c r="L1010" s="39"/>
      <c r="M1010" s="48" t="str">
        <f aca="false">IF($E1010="","",IFERROR(INDEX(Parâmetros!$C$15:$C$20,MATCH($P1010,Parâmetros!$B$15:$B$20,0)),""))</f>
        <v/>
      </c>
      <c r="N1010" s="46" t="str">
        <f aca="false">IF($E1010="","",IF($P1010="","",IF($P1010&gt;=8,"Alta",IF($P1010&gt;=5,"Média","Baixa"))))</f>
        <v/>
      </c>
      <c r="O1010" s="46" t="str">
        <f aca="false">IF($E1010="","",IF(AND(Parâmetros!$C$5&gt;0,$P1010&lt;&gt;"",$P1010&gt;=Parâmetros!$C$5),"Sim","Não"))</f>
        <v/>
      </c>
      <c r="P1010" s="45" t="str">
        <f aca="false">IF($E1010="","",IF($G1010="","",IF($G1010="NOK",$F1010,0)))</f>
        <v/>
      </c>
      <c r="Q1010" s="46" t="str">
        <f aca="false">IF($E1010="","",IF($O1010&lt;&gt;"Sim","",COUNTIF($O$3:$O1010,"Sim")))</f>
        <v/>
      </c>
      <c r="R1010" s="47" t="n">
        <f aca="false">IF($P1010="",0,$P1010)</f>
        <v>0</v>
      </c>
    </row>
    <row r="1011" customFormat="false" ht="18" hidden="false" customHeight="true" outlineLevel="0" collapsed="false">
      <c r="A1011" s="39"/>
      <c r="B1011" s="41"/>
      <c r="C1011" s="40"/>
      <c r="D1011" s="40"/>
      <c r="E1011" s="40"/>
      <c r="F1011" s="42"/>
      <c r="G1011" s="39"/>
      <c r="H1011" s="40"/>
      <c r="I1011" s="40"/>
      <c r="J1011" s="40"/>
      <c r="K1011" s="41"/>
      <c r="L1011" s="39"/>
      <c r="M1011" s="48" t="str">
        <f aca="false">IF($E1011="","",IFERROR(INDEX(Parâmetros!$C$15:$C$20,MATCH($P1011,Parâmetros!$B$15:$B$20,0)),""))</f>
        <v/>
      </c>
      <c r="N1011" s="46" t="str">
        <f aca="false">IF($E1011="","",IF($P1011="","",IF($P1011&gt;=8,"Alta",IF($P1011&gt;=5,"Média","Baixa"))))</f>
        <v/>
      </c>
      <c r="O1011" s="46" t="str">
        <f aca="false">IF($E1011="","",IF(AND(Parâmetros!$C$5&gt;0,$P1011&lt;&gt;"",$P1011&gt;=Parâmetros!$C$5),"Sim","Não"))</f>
        <v/>
      </c>
      <c r="P1011" s="45" t="str">
        <f aca="false">IF($E1011="","",IF($G1011="","",IF($G1011="NOK",$F1011,0)))</f>
        <v/>
      </c>
      <c r="Q1011" s="46" t="str">
        <f aca="false">IF($E1011="","",IF($O1011&lt;&gt;"Sim","",COUNTIF($O$3:$O1011,"Sim")))</f>
        <v/>
      </c>
      <c r="R1011" s="47" t="n">
        <f aca="false">IF($P1011="",0,$P1011)</f>
        <v>0</v>
      </c>
    </row>
    <row r="1012" customFormat="false" ht="18" hidden="false" customHeight="true" outlineLevel="0" collapsed="false">
      <c r="A1012" s="39"/>
      <c r="B1012" s="41"/>
      <c r="C1012" s="40"/>
      <c r="D1012" s="40"/>
      <c r="E1012" s="40"/>
      <c r="F1012" s="42"/>
      <c r="G1012" s="39"/>
      <c r="H1012" s="40"/>
      <c r="I1012" s="40"/>
      <c r="J1012" s="40"/>
      <c r="K1012" s="41"/>
      <c r="L1012" s="39"/>
      <c r="M1012" s="48" t="str">
        <f aca="false">IF($E1012="","",IFERROR(INDEX(Parâmetros!$C$15:$C$20,MATCH($P1012,Parâmetros!$B$15:$B$20,0)),""))</f>
        <v/>
      </c>
      <c r="N1012" s="46" t="str">
        <f aca="false">IF($E1012="","",IF($P1012="","",IF($P1012&gt;=8,"Alta",IF($P1012&gt;=5,"Média","Baixa"))))</f>
        <v/>
      </c>
      <c r="O1012" s="46" t="str">
        <f aca="false">IF($E1012="","",IF(AND(Parâmetros!$C$5&gt;0,$P1012&lt;&gt;"",$P1012&gt;=Parâmetros!$C$5),"Sim","Não"))</f>
        <v/>
      </c>
      <c r="P1012" s="45" t="str">
        <f aca="false">IF($E1012="","",IF($G1012="","",IF($G1012="NOK",$F1012,0)))</f>
        <v/>
      </c>
      <c r="Q1012" s="46" t="str">
        <f aca="false">IF($E1012="","",IF($O1012&lt;&gt;"Sim","",COUNTIF($O$3:$O1012,"Sim")))</f>
        <v/>
      </c>
      <c r="R1012" s="47" t="n">
        <f aca="false">IF($P1012="",0,$P1012)</f>
        <v>0</v>
      </c>
    </row>
    <row r="1013" customFormat="false" ht="18" hidden="false" customHeight="true" outlineLevel="0" collapsed="false">
      <c r="A1013" s="39"/>
      <c r="B1013" s="41"/>
      <c r="C1013" s="40"/>
      <c r="D1013" s="40"/>
      <c r="E1013" s="40"/>
      <c r="F1013" s="42"/>
      <c r="G1013" s="39"/>
      <c r="H1013" s="40"/>
      <c r="I1013" s="40"/>
      <c r="J1013" s="40"/>
      <c r="K1013" s="41"/>
      <c r="L1013" s="39"/>
      <c r="M1013" s="48" t="str">
        <f aca="false">IF($E1013="","",IFERROR(INDEX(Parâmetros!$C$15:$C$20,MATCH($P1013,Parâmetros!$B$15:$B$20,0)),""))</f>
        <v/>
      </c>
      <c r="N1013" s="46" t="str">
        <f aca="false">IF($E1013="","",IF($P1013="","",IF($P1013&gt;=8,"Alta",IF($P1013&gt;=5,"Média","Baixa"))))</f>
        <v/>
      </c>
      <c r="O1013" s="46" t="str">
        <f aca="false">IF($E1013="","",IF(AND(Parâmetros!$C$5&gt;0,$P1013&lt;&gt;"",$P1013&gt;=Parâmetros!$C$5),"Sim","Não"))</f>
        <v/>
      </c>
      <c r="P1013" s="45" t="str">
        <f aca="false">IF($E1013="","",IF($G1013="","",IF($G1013="NOK",$F1013,0)))</f>
        <v/>
      </c>
      <c r="Q1013" s="46" t="str">
        <f aca="false">IF($E1013="","",IF($O1013&lt;&gt;"Sim","",COUNTIF($O$3:$O1013,"Sim")))</f>
        <v/>
      </c>
      <c r="R1013" s="47" t="n">
        <f aca="false">IF($P1013="",0,$P1013)</f>
        <v>0</v>
      </c>
    </row>
    <row r="1014" customFormat="false" ht="18" hidden="false" customHeight="true" outlineLevel="0" collapsed="false">
      <c r="A1014" s="39"/>
      <c r="B1014" s="41"/>
      <c r="C1014" s="40"/>
      <c r="D1014" s="40"/>
      <c r="E1014" s="40"/>
      <c r="F1014" s="42"/>
      <c r="G1014" s="39"/>
      <c r="H1014" s="40"/>
      <c r="I1014" s="40"/>
      <c r="J1014" s="40"/>
      <c r="K1014" s="41"/>
      <c r="L1014" s="39"/>
      <c r="M1014" s="48" t="str">
        <f aca="false">IF($E1014="","",IFERROR(INDEX(Parâmetros!$C$15:$C$20,MATCH($P1014,Parâmetros!$B$15:$B$20,0)),""))</f>
        <v/>
      </c>
      <c r="N1014" s="46" t="str">
        <f aca="false">IF($E1014="","",IF($P1014="","",IF($P1014&gt;=8,"Alta",IF($P1014&gt;=5,"Média","Baixa"))))</f>
        <v/>
      </c>
      <c r="O1014" s="46" t="str">
        <f aca="false">IF($E1014="","",IF(AND(Parâmetros!$C$5&gt;0,$P1014&lt;&gt;"",$P1014&gt;=Parâmetros!$C$5),"Sim","Não"))</f>
        <v/>
      </c>
      <c r="P1014" s="45" t="str">
        <f aca="false">IF($E1014="","",IF($G1014="","",IF($G1014="NOK",$F1014,0)))</f>
        <v/>
      </c>
      <c r="Q1014" s="46" t="str">
        <f aca="false">IF($E1014="","",IF($O1014&lt;&gt;"Sim","",COUNTIF($O$3:$O1014,"Sim")))</f>
        <v/>
      </c>
      <c r="R1014" s="47" t="n">
        <f aca="false">IF($P1014="",0,$P1014)</f>
        <v>0</v>
      </c>
    </row>
    <row r="1015" customFormat="false" ht="18" hidden="false" customHeight="true" outlineLevel="0" collapsed="false">
      <c r="A1015" s="39"/>
      <c r="B1015" s="41"/>
      <c r="C1015" s="40"/>
      <c r="D1015" s="40"/>
      <c r="E1015" s="40"/>
      <c r="F1015" s="42"/>
      <c r="G1015" s="39"/>
      <c r="H1015" s="40"/>
      <c r="I1015" s="40"/>
      <c r="J1015" s="40"/>
      <c r="K1015" s="41"/>
      <c r="L1015" s="39"/>
      <c r="M1015" s="48" t="str">
        <f aca="false">IF($E1015="","",IFERROR(INDEX(Parâmetros!$C$15:$C$20,MATCH($P1015,Parâmetros!$B$15:$B$20,0)),""))</f>
        <v/>
      </c>
      <c r="N1015" s="46" t="str">
        <f aca="false">IF($E1015="","",IF($P1015="","",IF($P1015&gt;=8,"Alta",IF($P1015&gt;=5,"Média","Baixa"))))</f>
        <v/>
      </c>
      <c r="O1015" s="46" t="str">
        <f aca="false">IF($E1015="","",IF(AND(Parâmetros!$C$5&gt;0,$P1015&lt;&gt;"",$P1015&gt;=Parâmetros!$C$5),"Sim","Não"))</f>
        <v/>
      </c>
      <c r="P1015" s="45" t="str">
        <f aca="false">IF($E1015="","",IF($G1015="","",IF($G1015="NOK",$F1015,0)))</f>
        <v/>
      </c>
      <c r="Q1015" s="46" t="str">
        <f aca="false">IF($E1015="","",IF($O1015&lt;&gt;"Sim","",COUNTIF($O$3:$O1015,"Sim")))</f>
        <v/>
      </c>
      <c r="R1015" s="47" t="n">
        <f aca="false">IF($P1015="",0,$P1015)</f>
        <v>0</v>
      </c>
    </row>
    <row r="1016" customFormat="false" ht="18" hidden="false" customHeight="true" outlineLevel="0" collapsed="false">
      <c r="A1016" s="39"/>
      <c r="B1016" s="41"/>
      <c r="C1016" s="40"/>
      <c r="D1016" s="40"/>
      <c r="E1016" s="40"/>
      <c r="F1016" s="42"/>
      <c r="G1016" s="39"/>
      <c r="H1016" s="40"/>
      <c r="I1016" s="40"/>
      <c r="J1016" s="40"/>
      <c r="K1016" s="41"/>
      <c r="L1016" s="39"/>
      <c r="M1016" s="48" t="str">
        <f aca="false">IF($E1016="","",IFERROR(INDEX(Parâmetros!$C$15:$C$20,MATCH($P1016,Parâmetros!$B$15:$B$20,0)),""))</f>
        <v/>
      </c>
      <c r="N1016" s="46" t="str">
        <f aca="false">IF($E1016="","",IF($P1016="","",IF($P1016&gt;=8,"Alta",IF($P1016&gt;=5,"Média","Baixa"))))</f>
        <v/>
      </c>
      <c r="O1016" s="46" t="str">
        <f aca="false">IF($E1016="","",IF(AND(Parâmetros!$C$5&gt;0,$P1016&lt;&gt;"",$P1016&gt;=Parâmetros!$C$5),"Sim","Não"))</f>
        <v/>
      </c>
      <c r="P1016" s="45" t="str">
        <f aca="false">IF($E1016="","",IF($G1016="","",IF($G1016="NOK",$F1016,0)))</f>
        <v/>
      </c>
      <c r="Q1016" s="46" t="str">
        <f aca="false">IF($E1016="","",IF($O1016&lt;&gt;"Sim","",COUNTIF($O$3:$O1016,"Sim")))</f>
        <v/>
      </c>
      <c r="R1016" s="47" t="n">
        <f aca="false">IF($P1016="",0,$P1016)</f>
        <v>0</v>
      </c>
    </row>
    <row r="1017" customFormat="false" ht="18" hidden="false" customHeight="true" outlineLevel="0" collapsed="false">
      <c r="A1017" s="39"/>
      <c r="B1017" s="41"/>
      <c r="C1017" s="40"/>
      <c r="D1017" s="40"/>
      <c r="E1017" s="40"/>
      <c r="F1017" s="42"/>
      <c r="G1017" s="39"/>
      <c r="H1017" s="40"/>
      <c r="I1017" s="40"/>
      <c r="J1017" s="40"/>
      <c r="K1017" s="41"/>
      <c r="L1017" s="39"/>
      <c r="M1017" s="48" t="str">
        <f aca="false">IF($E1017="","",IFERROR(INDEX(Parâmetros!$C$15:$C$20,MATCH($P1017,Parâmetros!$B$15:$B$20,0)),""))</f>
        <v/>
      </c>
      <c r="N1017" s="46" t="str">
        <f aca="false">IF($E1017="","",IF($P1017="","",IF($P1017&gt;=8,"Alta",IF($P1017&gt;=5,"Média","Baixa"))))</f>
        <v/>
      </c>
      <c r="O1017" s="46" t="str">
        <f aca="false">IF($E1017="","",IF(AND(Parâmetros!$C$5&gt;0,$P1017&lt;&gt;"",$P1017&gt;=Parâmetros!$C$5),"Sim","Não"))</f>
        <v/>
      </c>
      <c r="P1017" s="45" t="str">
        <f aca="false">IF($E1017="","",IF($G1017="","",IF($G1017="NOK",$F1017,0)))</f>
        <v/>
      </c>
      <c r="Q1017" s="46" t="str">
        <f aca="false">IF($E1017="","",IF($O1017&lt;&gt;"Sim","",COUNTIF($O$3:$O1017,"Sim")))</f>
        <v/>
      </c>
      <c r="R1017" s="47" t="n">
        <f aca="false">IF($P1017="",0,$P1017)</f>
        <v>0</v>
      </c>
    </row>
    <row r="1018" customFormat="false" ht="18" hidden="false" customHeight="true" outlineLevel="0" collapsed="false">
      <c r="A1018" s="39"/>
      <c r="B1018" s="41"/>
      <c r="C1018" s="40"/>
      <c r="D1018" s="40"/>
      <c r="E1018" s="40"/>
      <c r="F1018" s="42"/>
      <c r="G1018" s="39"/>
      <c r="H1018" s="40"/>
      <c r="I1018" s="40"/>
      <c r="J1018" s="40"/>
      <c r="K1018" s="41"/>
      <c r="L1018" s="39"/>
      <c r="M1018" s="48" t="str">
        <f aca="false">IF($E1018="","",IFERROR(INDEX(Parâmetros!$C$15:$C$20,MATCH($P1018,Parâmetros!$B$15:$B$20,0)),""))</f>
        <v/>
      </c>
      <c r="N1018" s="46" t="str">
        <f aca="false">IF($E1018="","",IF($P1018="","",IF($P1018&gt;=8,"Alta",IF($P1018&gt;=5,"Média","Baixa"))))</f>
        <v/>
      </c>
      <c r="O1018" s="46" t="str">
        <f aca="false">IF($E1018="","",IF(AND(Parâmetros!$C$5&gt;0,$P1018&lt;&gt;"",$P1018&gt;=Parâmetros!$C$5),"Sim","Não"))</f>
        <v/>
      </c>
      <c r="P1018" s="45" t="str">
        <f aca="false">IF($E1018="","",IF($G1018="","",IF($G1018="NOK",$F1018,0)))</f>
        <v/>
      </c>
      <c r="Q1018" s="46" t="str">
        <f aca="false">IF($E1018="","",IF($O1018&lt;&gt;"Sim","",COUNTIF($O$3:$O1018,"Sim")))</f>
        <v/>
      </c>
      <c r="R1018" s="47" t="n">
        <f aca="false">IF($P1018="",0,$P1018)</f>
        <v>0</v>
      </c>
    </row>
    <row r="1019" customFormat="false" ht="18" hidden="false" customHeight="true" outlineLevel="0" collapsed="false">
      <c r="A1019" s="39"/>
      <c r="B1019" s="41"/>
      <c r="C1019" s="40"/>
      <c r="D1019" s="40"/>
      <c r="E1019" s="40"/>
      <c r="F1019" s="42"/>
      <c r="G1019" s="39"/>
      <c r="H1019" s="40"/>
      <c r="I1019" s="40"/>
      <c r="J1019" s="40"/>
      <c r="K1019" s="41"/>
      <c r="L1019" s="39"/>
      <c r="M1019" s="48" t="str">
        <f aca="false">IF($E1019="","",IFERROR(INDEX(Parâmetros!$C$15:$C$20,MATCH($P1019,Parâmetros!$B$15:$B$20,0)),""))</f>
        <v/>
      </c>
      <c r="N1019" s="46" t="str">
        <f aca="false">IF($E1019="","",IF($P1019="","",IF($P1019&gt;=8,"Alta",IF($P1019&gt;=5,"Média","Baixa"))))</f>
        <v/>
      </c>
      <c r="O1019" s="46" t="str">
        <f aca="false">IF($E1019="","",IF(AND(Parâmetros!$C$5&gt;0,$P1019&lt;&gt;"",$P1019&gt;=Parâmetros!$C$5),"Sim","Não"))</f>
        <v/>
      </c>
      <c r="P1019" s="45" t="str">
        <f aca="false">IF($E1019="","",IF($G1019="","",IF($G1019="NOK",$F1019,0)))</f>
        <v/>
      </c>
      <c r="Q1019" s="46" t="str">
        <f aca="false">IF($E1019="","",IF($O1019&lt;&gt;"Sim","",COUNTIF($O$3:$O1019,"Sim")))</f>
        <v/>
      </c>
      <c r="R1019" s="47" t="n">
        <f aca="false">IF($P1019="",0,$P1019)</f>
        <v>0</v>
      </c>
    </row>
    <row r="1020" customFormat="false" ht="18" hidden="false" customHeight="true" outlineLevel="0" collapsed="false">
      <c r="A1020" s="39"/>
      <c r="B1020" s="41"/>
      <c r="C1020" s="40"/>
      <c r="D1020" s="40"/>
      <c r="E1020" s="40"/>
      <c r="F1020" s="42"/>
      <c r="G1020" s="39"/>
      <c r="H1020" s="40"/>
      <c r="I1020" s="40"/>
      <c r="J1020" s="40"/>
      <c r="K1020" s="41"/>
      <c r="L1020" s="39"/>
      <c r="M1020" s="48" t="str">
        <f aca="false">IF($E1020="","",IFERROR(INDEX(Parâmetros!$C$15:$C$20,MATCH($P1020,Parâmetros!$B$15:$B$20,0)),""))</f>
        <v/>
      </c>
      <c r="N1020" s="46" t="str">
        <f aca="false">IF($E1020="","",IF($P1020="","",IF($P1020&gt;=8,"Alta",IF($P1020&gt;=5,"Média","Baixa"))))</f>
        <v/>
      </c>
      <c r="O1020" s="46" t="str">
        <f aca="false">IF($E1020="","",IF(AND(Parâmetros!$C$5&gt;0,$P1020&lt;&gt;"",$P1020&gt;=Parâmetros!$C$5),"Sim","Não"))</f>
        <v/>
      </c>
      <c r="P1020" s="45" t="str">
        <f aca="false">IF($E1020="","",IF($G1020="","",IF($G1020="NOK",$F1020,0)))</f>
        <v/>
      </c>
      <c r="Q1020" s="46" t="str">
        <f aca="false">IF($E1020="","",IF($O1020&lt;&gt;"Sim","",COUNTIF($O$3:$O1020,"Sim")))</f>
        <v/>
      </c>
      <c r="R1020" s="47" t="n">
        <f aca="false">IF($P1020="",0,$P1020)</f>
        <v>0</v>
      </c>
    </row>
    <row r="1021" customFormat="false" ht="18" hidden="false" customHeight="true" outlineLevel="0" collapsed="false">
      <c r="A1021" s="39"/>
      <c r="B1021" s="41"/>
      <c r="C1021" s="40"/>
      <c r="D1021" s="40"/>
      <c r="E1021" s="40"/>
      <c r="F1021" s="42"/>
      <c r="G1021" s="39"/>
      <c r="H1021" s="40"/>
      <c r="I1021" s="40"/>
      <c r="J1021" s="40"/>
      <c r="K1021" s="41"/>
      <c r="L1021" s="39"/>
      <c r="M1021" s="48" t="str">
        <f aca="false">IF($E1021="","",IFERROR(INDEX(Parâmetros!$C$15:$C$20,MATCH($P1021,Parâmetros!$B$15:$B$20,0)),""))</f>
        <v/>
      </c>
      <c r="N1021" s="46" t="str">
        <f aca="false">IF($E1021="","",IF($P1021="","",IF($P1021&gt;=8,"Alta",IF($P1021&gt;=5,"Média","Baixa"))))</f>
        <v/>
      </c>
      <c r="O1021" s="46" t="str">
        <f aca="false">IF($E1021="","",IF(AND(Parâmetros!$C$5&gt;0,$P1021&lt;&gt;"",$P1021&gt;=Parâmetros!$C$5),"Sim","Não"))</f>
        <v/>
      </c>
      <c r="P1021" s="45" t="str">
        <f aca="false">IF($E1021="","",IF($G1021="","",IF($G1021="NOK",$F1021,0)))</f>
        <v/>
      </c>
      <c r="Q1021" s="46" t="str">
        <f aca="false">IF($E1021="","",IF($O1021&lt;&gt;"Sim","",COUNTIF($O$3:$O1021,"Sim")))</f>
        <v/>
      </c>
      <c r="R1021" s="47" t="n">
        <f aca="false">IF($P1021="",0,$P1021)</f>
        <v>0</v>
      </c>
    </row>
    <row r="1022" customFormat="false" ht="18" hidden="false" customHeight="true" outlineLevel="0" collapsed="false">
      <c r="A1022" s="39"/>
      <c r="B1022" s="41"/>
      <c r="C1022" s="40"/>
      <c r="D1022" s="40"/>
      <c r="E1022" s="40"/>
      <c r="F1022" s="42"/>
      <c r="G1022" s="39"/>
      <c r="H1022" s="40"/>
      <c r="I1022" s="40"/>
      <c r="J1022" s="40"/>
      <c r="K1022" s="41"/>
      <c r="L1022" s="39"/>
      <c r="M1022" s="48" t="str">
        <f aca="false">IF($E1022="","",IFERROR(INDEX(Parâmetros!$C$15:$C$20,MATCH($P1022,Parâmetros!$B$15:$B$20,0)),""))</f>
        <v/>
      </c>
      <c r="N1022" s="46" t="str">
        <f aca="false">IF($E1022="","",IF($P1022="","",IF($P1022&gt;=8,"Alta",IF($P1022&gt;=5,"Média","Baixa"))))</f>
        <v/>
      </c>
      <c r="O1022" s="46" t="str">
        <f aca="false">IF($E1022="","",IF(AND(Parâmetros!$C$5&gt;0,$P1022&lt;&gt;"",$P1022&gt;=Parâmetros!$C$5),"Sim","Não"))</f>
        <v/>
      </c>
      <c r="P1022" s="45" t="str">
        <f aca="false">IF($E1022="","",IF($G1022="","",IF($G1022="NOK",$F1022,0)))</f>
        <v/>
      </c>
      <c r="Q1022" s="46" t="str">
        <f aca="false">IF($E1022="","",IF($O1022&lt;&gt;"Sim","",COUNTIF($O$3:$O1022,"Sim")))</f>
        <v/>
      </c>
      <c r="R1022" s="47" t="n">
        <f aca="false">IF($P1022="",0,$P1022)</f>
        <v>0</v>
      </c>
    </row>
    <row r="1023" customFormat="false" ht="18" hidden="false" customHeight="true" outlineLevel="0" collapsed="false">
      <c r="A1023" s="39"/>
      <c r="B1023" s="41"/>
      <c r="C1023" s="40"/>
      <c r="D1023" s="40"/>
      <c r="E1023" s="40"/>
      <c r="F1023" s="42"/>
      <c r="G1023" s="39"/>
      <c r="H1023" s="40"/>
      <c r="I1023" s="40"/>
      <c r="J1023" s="40"/>
      <c r="K1023" s="41"/>
      <c r="L1023" s="39"/>
      <c r="M1023" s="48" t="str">
        <f aca="false">IF($E1023="","",IFERROR(INDEX(Parâmetros!$C$15:$C$20,MATCH($P1023,Parâmetros!$B$15:$B$20,0)),""))</f>
        <v/>
      </c>
      <c r="N1023" s="46" t="str">
        <f aca="false">IF($E1023="","",IF($P1023="","",IF($P1023&gt;=8,"Alta",IF($P1023&gt;=5,"Média","Baixa"))))</f>
        <v/>
      </c>
      <c r="O1023" s="46" t="str">
        <f aca="false">IF($E1023="","",IF(AND(Parâmetros!$C$5&gt;0,$P1023&lt;&gt;"",$P1023&gt;=Parâmetros!$C$5),"Sim","Não"))</f>
        <v/>
      </c>
      <c r="P1023" s="45" t="str">
        <f aca="false">IF($E1023="","",IF($G1023="","",IF($G1023="NOK",$F1023,0)))</f>
        <v/>
      </c>
      <c r="Q1023" s="46" t="str">
        <f aca="false">IF($E1023="","",IF($O1023&lt;&gt;"Sim","",COUNTIF($O$3:$O1023,"Sim")))</f>
        <v/>
      </c>
      <c r="R1023" s="47" t="n">
        <f aca="false">IF($P1023="",0,$P1023)</f>
        <v>0</v>
      </c>
    </row>
    <row r="1024" customFormat="false" ht="18" hidden="false" customHeight="true" outlineLevel="0" collapsed="false">
      <c r="A1024" s="39"/>
      <c r="B1024" s="41"/>
      <c r="C1024" s="40"/>
      <c r="D1024" s="40"/>
      <c r="E1024" s="40"/>
      <c r="F1024" s="42"/>
      <c r="G1024" s="39"/>
      <c r="H1024" s="40"/>
      <c r="I1024" s="40"/>
      <c r="J1024" s="40"/>
      <c r="K1024" s="41"/>
      <c r="L1024" s="39"/>
      <c r="M1024" s="48" t="str">
        <f aca="false">IF($E1024="","",IFERROR(INDEX(Parâmetros!$C$15:$C$20,MATCH($P1024,Parâmetros!$B$15:$B$20,0)),""))</f>
        <v/>
      </c>
      <c r="N1024" s="46" t="str">
        <f aca="false">IF($E1024="","",IF($P1024="","",IF($P1024&gt;=8,"Alta",IF($P1024&gt;=5,"Média","Baixa"))))</f>
        <v/>
      </c>
      <c r="O1024" s="46" t="str">
        <f aca="false">IF($E1024="","",IF(AND(Parâmetros!$C$5&gt;0,$P1024&lt;&gt;"",$P1024&gt;=Parâmetros!$C$5),"Sim","Não"))</f>
        <v/>
      </c>
      <c r="P1024" s="45" t="str">
        <f aca="false">IF($E1024="","",IF($G1024="","",IF($G1024="NOK",$F1024,0)))</f>
        <v/>
      </c>
      <c r="Q1024" s="46" t="str">
        <f aca="false">IF($E1024="","",IF($O1024&lt;&gt;"Sim","",COUNTIF($O$3:$O1024,"Sim")))</f>
        <v/>
      </c>
      <c r="R1024" s="47" t="n">
        <f aca="false">IF($P1024="",0,$P1024)</f>
        <v>0</v>
      </c>
    </row>
    <row r="1025" customFormat="false" ht="18" hidden="false" customHeight="true" outlineLevel="0" collapsed="false">
      <c r="A1025" s="39"/>
      <c r="B1025" s="41"/>
      <c r="C1025" s="40"/>
      <c r="D1025" s="40"/>
      <c r="E1025" s="40"/>
      <c r="F1025" s="42"/>
      <c r="G1025" s="39"/>
      <c r="H1025" s="40"/>
      <c r="I1025" s="40"/>
      <c r="J1025" s="40"/>
      <c r="K1025" s="41"/>
      <c r="L1025" s="39"/>
      <c r="M1025" s="48" t="str">
        <f aca="false">IF($E1025="","",IFERROR(INDEX(Parâmetros!$C$15:$C$20,MATCH($P1025,Parâmetros!$B$15:$B$20,0)),""))</f>
        <v/>
      </c>
      <c r="N1025" s="46" t="str">
        <f aca="false">IF($E1025="","",IF($P1025="","",IF($P1025&gt;=8,"Alta",IF($P1025&gt;=5,"Média","Baixa"))))</f>
        <v/>
      </c>
      <c r="O1025" s="46" t="str">
        <f aca="false">IF($E1025="","",IF(AND(Parâmetros!$C$5&gt;0,$P1025&lt;&gt;"",$P1025&gt;=Parâmetros!$C$5),"Sim","Não"))</f>
        <v/>
      </c>
      <c r="P1025" s="45" t="str">
        <f aca="false">IF($E1025="","",IF($G1025="","",IF($G1025="NOK",$F1025,0)))</f>
        <v/>
      </c>
      <c r="Q1025" s="46" t="str">
        <f aca="false">IF($E1025="","",IF($O1025&lt;&gt;"Sim","",COUNTIF($O$3:$O1025,"Sim")))</f>
        <v/>
      </c>
      <c r="R1025" s="47" t="n">
        <f aca="false">IF($P1025="",0,$P1025)</f>
        <v>0</v>
      </c>
    </row>
    <row r="1026" customFormat="false" ht="18" hidden="false" customHeight="true" outlineLevel="0" collapsed="false">
      <c r="A1026" s="39"/>
      <c r="B1026" s="41"/>
      <c r="C1026" s="40"/>
      <c r="D1026" s="40"/>
      <c r="E1026" s="40"/>
      <c r="F1026" s="42"/>
      <c r="G1026" s="39"/>
      <c r="H1026" s="40"/>
      <c r="I1026" s="40"/>
      <c r="J1026" s="40"/>
      <c r="K1026" s="41"/>
      <c r="L1026" s="39"/>
      <c r="M1026" s="48" t="str">
        <f aca="false">IF($E1026="","",IFERROR(INDEX(Parâmetros!$C$15:$C$20,MATCH($P1026,Parâmetros!$B$15:$B$20,0)),""))</f>
        <v/>
      </c>
      <c r="N1026" s="46" t="str">
        <f aca="false">IF($E1026="","",IF($P1026="","",IF($P1026&gt;=8,"Alta",IF($P1026&gt;=5,"Média","Baixa"))))</f>
        <v/>
      </c>
      <c r="O1026" s="46" t="str">
        <f aca="false">IF($E1026="","",IF(AND(Parâmetros!$C$5&gt;0,$P1026&lt;&gt;"",$P1026&gt;=Parâmetros!$C$5),"Sim","Não"))</f>
        <v/>
      </c>
      <c r="P1026" s="45" t="str">
        <f aca="false">IF($E1026="","",IF($G1026="","",IF($G1026="NOK",$F1026,0)))</f>
        <v/>
      </c>
      <c r="Q1026" s="46" t="str">
        <f aca="false">IF($E1026="","",IF($O1026&lt;&gt;"Sim","",COUNTIF($O$3:$O1026,"Sim")))</f>
        <v/>
      </c>
      <c r="R1026" s="47" t="n">
        <f aca="false">IF($P1026="",0,$P1026)</f>
        <v>0</v>
      </c>
    </row>
    <row r="1027" customFormat="false" ht="18" hidden="false" customHeight="true" outlineLevel="0" collapsed="false">
      <c r="A1027" s="39"/>
      <c r="B1027" s="41"/>
      <c r="C1027" s="40"/>
      <c r="D1027" s="40"/>
      <c r="E1027" s="40"/>
      <c r="F1027" s="42"/>
      <c r="G1027" s="39"/>
      <c r="H1027" s="40"/>
      <c r="I1027" s="40"/>
      <c r="J1027" s="40"/>
      <c r="K1027" s="41"/>
      <c r="L1027" s="39"/>
      <c r="M1027" s="48" t="str">
        <f aca="false">IF($E1027="","",IFERROR(INDEX(Parâmetros!$C$15:$C$20,MATCH($P1027,Parâmetros!$B$15:$B$20,0)),""))</f>
        <v/>
      </c>
      <c r="N1027" s="46" t="str">
        <f aca="false">IF($E1027="","",IF($P1027="","",IF($P1027&gt;=8,"Alta",IF($P1027&gt;=5,"Média","Baixa"))))</f>
        <v/>
      </c>
      <c r="O1027" s="46" t="str">
        <f aca="false">IF($E1027="","",IF(AND(Parâmetros!$C$5&gt;0,$P1027&lt;&gt;"",$P1027&gt;=Parâmetros!$C$5),"Sim","Não"))</f>
        <v/>
      </c>
      <c r="P1027" s="45" t="str">
        <f aca="false">IF($E1027="","",IF($G1027="","",IF($G1027="NOK",$F1027,0)))</f>
        <v/>
      </c>
      <c r="Q1027" s="46" t="str">
        <f aca="false">IF($E1027="","",IF($O1027&lt;&gt;"Sim","",COUNTIF($O$3:$O1027,"Sim")))</f>
        <v/>
      </c>
      <c r="R1027" s="47" t="n">
        <f aca="false">IF($P1027="",0,$P1027)</f>
        <v>0</v>
      </c>
    </row>
    <row r="1028" customFormat="false" ht="18" hidden="false" customHeight="true" outlineLevel="0" collapsed="false">
      <c r="A1028" s="39"/>
      <c r="B1028" s="41"/>
      <c r="C1028" s="40"/>
      <c r="D1028" s="40"/>
      <c r="E1028" s="40"/>
      <c r="F1028" s="42"/>
      <c r="G1028" s="39"/>
      <c r="H1028" s="40"/>
      <c r="I1028" s="40"/>
      <c r="J1028" s="40"/>
      <c r="K1028" s="41"/>
      <c r="L1028" s="39"/>
      <c r="M1028" s="48" t="str">
        <f aca="false">IF($E1028="","",IFERROR(INDEX(Parâmetros!$C$15:$C$20,MATCH($P1028,Parâmetros!$B$15:$B$20,0)),""))</f>
        <v/>
      </c>
      <c r="N1028" s="46" t="str">
        <f aca="false">IF($E1028="","",IF($P1028="","",IF($P1028&gt;=8,"Alta",IF($P1028&gt;=5,"Média","Baixa"))))</f>
        <v/>
      </c>
      <c r="O1028" s="46" t="str">
        <f aca="false">IF($E1028="","",IF(AND(Parâmetros!$C$5&gt;0,$P1028&lt;&gt;"",$P1028&gt;=Parâmetros!$C$5),"Sim","Não"))</f>
        <v/>
      </c>
      <c r="P1028" s="45" t="str">
        <f aca="false">IF($E1028="","",IF($G1028="","",IF($G1028="NOK",$F1028,0)))</f>
        <v/>
      </c>
      <c r="Q1028" s="46" t="str">
        <f aca="false">IF($E1028="","",IF($O1028&lt;&gt;"Sim","",COUNTIF($O$3:$O1028,"Sim")))</f>
        <v/>
      </c>
      <c r="R1028" s="47" t="n">
        <f aca="false">IF($P1028="",0,$P1028)</f>
        <v>0</v>
      </c>
    </row>
    <row r="1029" customFormat="false" ht="18" hidden="false" customHeight="true" outlineLevel="0" collapsed="false">
      <c r="A1029" s="39"/>
      <c r="B1029" s="41"/>
      <c r="C1029" s="40"/>
      <c r="D1029" s="40"/>
      <c r="E1029" s="40"/>
      <c r="F1029" s="42"/>
      <c r="G1029" s="39"/>
      <c r="H1029" s="40"/>
      <c r="I1029" s="40"/>
      <c r="J1029" s="40"/>
      <c r="K1029" s="41"/>
      <c r="L1029" s="39"/>
      <c r="M1029" s="48" t="str">
        <f aca="false">IF($E1029="","",IFERROR(INDEX(Parâmetros!$C$15:$C$20,MATCH($P1029,Parâmetros!$B$15:$B$20,0)),""))</f>
        <v/>
      </c>
      <c r="N1029" s="46" t="str">
        <f aca="false">IF($E1029="","",IF($P1029="","",IF($P1029&gt;=8,"Alta",IF($P1029&gt;=5,"Média","Baixa"))))</f>
        <v/>
      </c>
      <c r="O1029" s="46" t="str">
        <f aca="false">IF($E1029="","",IF(AND(Parâmetros!$C$5&gt;0,$P1029&lt;&gt;"",$P1029&gt;=Parâmetros!$C$5),"Sim","Não"))</f>
        <v/>
      </c>
      <c r="P1029" s="45" t="str">
        <f aca="false">IF($E1029="","",IF($G1029="","",IF($G1029="NOK",$F1029,0)))</f>
        <v/>
      </c>
      <c r="Q1029" s="46" t="str">
        <f aca="false">IF($E1029="","",IF($O1029&lt;&gt;"Sim","",COUNTIF($O$3:$O1029,"Sim")))</f>
        <v/>
      </c>
      <c r="R1029" s="47" t="n">
        <f aca="false">IF($P1029="",0,$P1029)</f>
        <v>0</v>
      </c>
    </row>
    <row r="1030" customFormat="false" ht="18" hidden="false" customHeight="true" outlineLevel="0" collapsed="false">
      <c r="A1030" s="39"/>
      <c r="B1030" s="41"/>
      <c r="C1030" s="40"/>
      <c r="D1030" s="40"/>
      <c r="E1030" s="40"/>
      <c r="F1030" s="42"/>
      <c r="G1030" s="39"/>
      <c r="H1030" s="40"/>
      <c r="I1030" s="40"/>
      <c r="J1030" s="40"/>
      <c r="K1030" s="41"/>
      <c r="L1030" s="39"/>
      <c r="M1030" s="48" t="str">
        <f aca="false">IF($E1030="","",IFERROR(INDEX(Parâmetros!$C$15:$C$20,MATCH($P1030,Parâmetros!$B$15:$B$20,0)),""))</f>
        <v/>
      </c>
      <c r="N1030" s="46" t="str">
        <f aca="false">IF($E1030="","",IF($P1030="","",IF($P1030&gt;=8,"Alta",IF($P1030&gt;=5,"Média","Baixa"))))</f>
        <v/>
      </c>
      <c r="O1030" s="46" t="str">
        <f aca="false">IF($E1030="","",IF(AND(Parâmetros!$C$5&gt;0,$P1030&lt;&gt;"",$P1030&gt;=Parâmetros!$C$5),"Sim","Não"))</f>
        <v/>
      </c>
      <c r="P1030" s="45" t="str">
        <f aca="false">IF($E1030="","",IF($G1030="","",IF($G1030="NOK",$F1030,0)))</f>
        <v/>
      </c>
      <c r="Q1030" s="46" t="str">
        <f aca="false">IF($E1030="","",IF($O1030&lt;&gt;"Sim","",COUNTIF($O$3:$O1030,"Sim")))</f>
        <v/>
      </c>
      <c r="R1030" s="47" t="n">
        <f aca="false">IF($P1030="",0,$P1030)</f>
        <v>0</v>
      </c>
    </row>
    <row r="1031" customFormat="false" ht="18" hidden="false" customHeight="true" outlineLevel="0" collapsed="false">
      <c r="A1031" s="39"/>
      <c r="B1031" s="41"/>
      <c r="C1031" s="40"/>
      <c r="D1031" s="40"/>
      <c r="E1031" s="40"/>
      <c r="F1031" s="42"/>
      <c r="G1031" s="39"/>
      <c r="H1031" s="40"/>
      <c r="I1031" s="40"/>
      <c r="J1031" s="40"/>
      <c r="K1031" s="41"/>
      <c r="L1031" s="39"/>
      <c r="M1031" s="48" t="str">
        <f aca="false">IF($E1031="","",IFERROR(INDEX(Parâmetros!$C$15:$C$20,MATCH($P1031,Parâmetros!$B$15:$B$20,0)),""))</f>
        <v/>
      </c>
      <c r="N1031" s="46" t="str">
        <f aca="false">IF($E1031="","",IF($P1031="","",IF($P1031&gt;=8,"Alta",IF($P1031&gt;=5,"Média","Baixa"))))</f>
        <v/>
      </c>
      <c r="O1031" s="46" t="str">
        <f aca="false">IF($E1031="","",IF(AND(Parâmetros!$C$5&gt;0,$P1031&lt;&gt;"",$P1031&gt;=Parâmetros!$C$5),"Sim","Não"))</f>
        <v/>
      </c>
      <c r="P1031" s="45" t="str">
        <f aca="false">IF($E1031="","",IF($G1031="","",IF($G1031="NOK",$F1031,0)))</f>
        <v/>
      </c>
      <c r="Q1031" s="46" t="str">
        <f aca="false">IF($E1031="","",IF($O1031&lt;&gt;"Sim","",COUNTIF($O$3:$O1031,"Sim")))</f>
        <v/>
      </c>
      <c r="R1031" s="47" t="n">
        <f aca="false">IF($P1031="",0,$P1031)</f>
        <v>0</v>
      </c>
    </row>
    <row r="1032" customFormat="false" ht="18" hidden="false" customHeight="true" outlineLevel="0" collapsed="false">
      <c r="A1032" s="39"/>
      <c r="B1032" s="41"/>
      <c r="C1032" s="40"/>
      <c r="D1032" s="40"/>
      <c r="E1032" s="40"/>
      <c r="F1032" s="42"/>
      <c r="G1032" s="39"/>
      <c r="H1032" s="40"/>
      <c r="I1032" s="40"/>
      <c r="J1032" s="40"/>
      <c r="K1032" s="41"/>
      <c r="L1032" s="39"/>
      <c r="M1032" s="48" t="str">
        <f aca="false">IF($E1032="","",IFERROR(INDEX(Parâmetros!$C$15:$C$20,MATCH($P1032,Parâmetros!$B$15:$B$20,0)),""))</f>
        <v/>
      </c>
      <c r="N1032" s="46" t="str">
        <f aca="false">IF($E1032="","",IF($P1032="","",IF($P1032&gt;=8,"Alta",IF($P1032&gt;=5,"Média","Baixa"))))</f>
        <v/>
      </c>
      <c r="O1032" s="46" t="str">
        <f aca="false">IF($E1032="","",IF(AND(Parâmetros!$C$5&gt;0,$P1032&lt;&gt;"",$P1032&gt;=Parâmetros!$C$5),"Sim","Não"))</f>
        <v/>
      </c>
      <c r="P1032" s="45" t="str">
        <f aca="false">IF($E1032="","",IF($G1032="","",IF($G1032="NOK",$F1032,0)))</f>
        <v/>
      </c>
      <c r="Q1032" s="46" t="str">
        <f aca="false">IF($E1032="","",IF($O1032&lt;&gt;"Sim","",COUNTIF($O$3:$O1032,"Sim")))</f>
        <v/>
      </c>
      <c r="R1032" s="47" t="n">
        <f aca="false">IF($P1032="",0,$P1032)</f>
        <v>0</v>
      </c>
    </row>
    <row r="1033" customFormat="false" ht="18" hidden="false" customHeight="true" outlineLevel="0" collapsed="false">
      <c r="A1033" s="39"/>
      <c r="B1033" s="41"/>
      <c r="C1033" s="40"/>
      <c r="D1033" s="40"/>
      <c r="E1033" s="40"/>
      <c r="F1033" s="42"/>
      <c r="G1033" s="39"/>
      <c r="H1033" s="40"/>
      <c r="I1033" s="40"/>
      <c r="J1033" s="40"/>
      <c r="K1033" s="41"/>
      <c r="L1033" s="39"/>
      <c r="M1033" s="48" t="str">
        <f aca="false">IF($E1033="","",IFERROR(INDEX(Parâmetros!$C$15:$C$20,MATCH($P1033,Parâmetros!$B$15:$B$20,0)),""))</f>
        <v/>
      </c>
      <c r="N1033" s="46" t="str">
        <f aca="false">IF($E1033="","",IF($P1033="","",IF($P1033&gt;=8,"Alta",IF($P1033&gt;=5,"Média","Baixa"))))</f>
        <v/>
      </c>
      <c r="O1033" s="46" t="str">
        <f aca="false">IF($E1033="","",IF(AND(Parâmetros!$C$5&gt;0,$P1033&lt;&gt;"",$P1033&gt;=Parâmetros!$C$5),"Sim","Não"))</f>
        <v/>
      </c>
      <c r="P1033" s="45" t="str">
        <f aca="false">IF($E1033="","",IF($G1033="","",IF($G1033="NOK",$F1033,0)))</f>
        <v/>
      </c>
      <c r="Q1033" s="46" t="str">
        <f aca="false">IF($E1033="","",IF($O1033&lt;&gt;"Sim","",COUNTIF($O$3:$O1033,"Sim")))</f>
        <v/>
      </c>
      <c r="R1033" s="47" t="n">
        <f aca="false">IF($P1033="",0,$P1033)</f>
        <v>0</v>
      </c>
    </row>
    <row r="1034" customFormat="false" ht="18" hidden="false" customHeight="true" outlineLevel="0" collapsed="false">
      <c r="A1034" s="39"/>
      <c r="B1034" s="41"/>
      <c r="C1034" s="40"/>
      <c r="D1034" s="40"/>
      <c r="E1034" s="40"/>
      <c r="F1034" s="42"/>
      <c r="G1034" s="39"/>
      <c r="H1034" s="40"/>
      <c r="I1034" s="40"/>
      <c r="J1034" s="40"/>
      <c r="K1034" s="41"/>
      <c r="L1034" s="39"/>
      <c r="M1034" s="48" t="str">
        <f aca="false">IF($E1034="","",IFERROR(INDEX(Parâmetros!$C$15:$C$20,MATCH($P1034,Parâmetros!$B$15:$B$20,0)),""))</f>
        <v/>
      </c>
      <c r="N1034" s="46" t="str">
        <f aca="false">IF($E1034="","",IF($P1034="","",IF($P1034&gt;=8,"Alta",IF($P1034&gt;=5,"Média","Baixa"))))</f>
        <v/>
      </c>
      <c r="O1034" s="46" t="str">
        <f aca="false">IF($E1034="","",IF(AND(Parâmetros!$C$5&gt;0,$P1034&lt;&gt;"",$P1034&gt;=Parâmetros!$C$5),"Sim","Não"))</f>
        <v/>
      </c>
      <c r="P1034" s="45" t="str">
        <f aca="false">IF($E1034="","",IF($G1034="","",IF($G1034="NOK",$F1034,0)))</f>
        <v/>
      </c>
      <c r="Q1034" s="46" t="str">
        <f aca="false">IF($E1034="","",IF($O1034&lt;&gt;"Sim","",COUNTIF($O$3:$O1034,"Sim")))</f>
        <v/>
      </c>
      <c r="R1034" s="47" t="n">
        <f aca="false">IF($P1034="",0,$P1034)</f>
        <v>0</v>
      </c>
    </row>
    <row r="1035" customFormat="false" ht="18" hidden="false" customHeight="true" outlineLevel="0" collapsed="false">
      <c r="A1035" s="39"/>
      <c r="B1035" s="41"/>
      <c r="C1035" s="40"/>
      <c r="D1035" s="40"/>
      <c r="E1035" s="40"/>
      <c r="F1035" s="42"/>
      <c r="G1035" s="39"/>
      <c r="H1035" s="40"/>
      <c r="I1035" s="40"/>
      <c r="J1035" s="40"/>
      <c r="K1035" s="41"/>
      <c r="L1035" s="39"/>
      <c r="M1035" s="48" t="str">
        <f aca="false">IF($E1035="","",IFERROR(INDEX(Parâmetros!$C$15:$C$20,MATCH($P1035,Parâmetros!$B$15:$B$20,0)),""))</f>
        <v/>
      </c>
      <c r="N1035" s="46" t="str">
        <f aca="false">IF($E1035="","",IF($P1035="","",IF($P1035&gt;=8,"Alta",IF($P1035&gt;=5,"Média","Baixa"))))</f>
        <v/>
      </c>
      <c r="O1035" s="46" t="str">
        <f aca="false">IF($E1035="","",IF(AND(Parâmetros!$C$5&gt;0,$P1035&lt;&gt;"",$P1035&gt;=Parâmetros!$C$5),"Sim","Não"))</f>
        <v/>
      </c>
      <c r="P1035" s="45" t="str">
        <f aca="false">IF($E1035="","",IF($G1035="","",IF($G1035="NOK",$F1035,0)))</f>
        <v/>
      </c>
      <c r="Q1035" s="46" t="str">
        <f aca="false">IF($E1035="","",IF($O1035&lt;&gt;"Sim","",COUNTIF($O$3:$O1035,"Sim")))</f>
        <v/>
      </c>
      <c r="R1035" s="47" t="n">
        <f aca="false">IF($P1035="",0,$P1035)</f>
        <v>0</v>
      </c>
    </row>
    <row r="1036" customFormat="false" ht="18" hidden="false" customHeight="true" outlineLevel="0" collapsed="false">
      <c r="A1036" s="39"/>
      <c r="B1036" s="41"/>
      <c r="C1036" s="40"/>
      <c r="D1036" s="40"/>
      <c r="E1036" s="40"/>
      <c r="F1036" s="42"/>
      <c r="G1036" s="39"/>
      <c r="H1036" s="40"/>
      <c r="I1036" s="40"/>
      <c r="J1036" s="40"/>
      <c r="K1036" s="41"/>
      <c r="L1036" s="39"/>
      <c r="M1036" s="48" t="str">
        <f aca="false">IF($E1036="","",IFERROR(INDEX(Parâmetros!$C$15:$C$20,MATCH($P1036,Parâmetros!$B$15:$B$20,0)),""))</f>
        <v/>
      </c>
      <c r="N1036" s="46" t="str">
        <f aca="false">IF($E1036="","",IF($P1036="","",IF($P1036&gt;=8,"Alta",IF($P1036&gt;=5,"Média","Baixa"))))</f>
        <v/>
      </c>
      <c r="O1036" s="46" t="str">
        <f aca="false">IF($E1036="","",IF(AND(Parâmetros!$C$5&gt;0,$P1036&lt;&gt;"",$P1036&gt;=Parâmetros!$C$5),"Sim","Não"))</f>
        <v/>
      </c>
      <c r="P1036" s="45" t="str">
        <f aca="false">IF($E1036="","",IF($G1036="","",IF($G1036="NOK",$F1036,0)))</f>
        <v/>
      </c>
      <c r="Q1036" s="46" t="str">
        <f aca="false">IF($E1036="","",IF($O1036&lt;&gt;"Sim","",COUNTIF($O$3:$O1036,"Sim")))</f>
        <v/>
      </c>
      <c r="R1036" s="47" t="n">
        <f aca="false">IF($P1036="",0,$P1036)</f>
        <v>0</v>
      </c>
    </row>
    <row r="1037" customFormat="false" ht="18" hidden="false" customHeight="true" outlineLevel="0" collapsed="false">
      <c r="A1037" s="39"/>
      <c r="B1037" s="41"/>
      <c r="C1037" s="40"/>
      <c r="D1037" s="40"/>
      <c r="E1037" s="40"/>
      <c r="F1037" s="42"/>
      <c r="G1037" s="39"/>
      <c r="H1037" s="40"/>
      <c r="I1037" s="40"/>
      <c r="J1037" s="40"/>
      <c r="K1037" s="41"/>
      <c r="L1037" s="39"/>
      <c r="M1037" s="48" t="str">
        <f aca="false">IF($E1037="","",IFERROR(INDEX(Parâmetros!$C$15:$C$20,MATCH($P1037,Parâmetros!$B$15:$B$20,0)),""))</f>
        <v/>
      </c>
      <c r="N1037" s="46" t="str">
        <f aca="false">IF($E1037="","",IF($P1037="","",IF($P1037&gt;=8,"Alta",IF($P1037&gt;=5,"Média","Baixa"))))</f>
        <v/>
      </c>
      <c r="O1037" s="46" t="str">
        <f aca="false">IF($E1037="","",IF(AND(Parâmetros!$C$5&gt;0,$P1037&lt;&gt;"",$P1037&gt;=Parâmetros!$C$5),"Sim","Não"))</f>
        <v/>
      </c>
      <c r="P1037" s="45" t="str">
        <f aca="false">IF($E1037="","",IF($G1037="","",IF($G1037="NOK",$F1037,0)))</f>
        <v/>
      </c>
      <c r="Q1037" s="46" t="str">
        <f aca="false">IF($E1037="","",IF($O1037&lt;&gt;"Sim","",COUNTIF($O$3:$O1037,"Sim")))</f>
        <v/>
      </c>
      <c r="R1037" s="47" t="n">
        <f aca="false">IF($P1037="",0,$P1037)</f>
        <v>0</v>
      </c>
    </row>
    <row r="1038" customFormat="false" ht="18" hidden="false" customHeight="true" outlineLevel="0" collapsed="false">
      <c r="A1038" s="39"/>
      <c r="B1038" s="41"/>
      <c r="C1038" s="40"/>
      <c r="D1038" s="40"/>
      <c r="E1038" s="40"/>
      <c r="F1038" s="42"/>
      <c r="G1038" s="39"/>
      <c r="H1038" s="40"/>
      <c r="I1038" s="40"/>
      <c r="J1038" s="40"/>
      <c r="K1038" s="41"/>
      <c r="L1038" s="39"/>
      <c r="M1038" s="48" t="str">
        <f aca="false">IF($E1038="","",IFERROR(INDEX(Parâmetros!$C$15:$C$20,MATCH($P1038,Parâmetros!$B$15:$B$20,0)),""))</f>
        <v/>
      </c>
      <c r="N1038" s="46" t="str">
        <f aca="false">IF($E1038="","",IF($P1038="","",IF($P1038&gt;=8,"Alta",IF($P1038&gt;=5,"Média","Baixa"))))</f>
        <v/>
      </c>
      <c r="O1038" s="46" t="str">
        <f aca="false">IF($E1038="","",IF(AND(Parâmetros!$C$5&gt;0,$P1038&lt;&gt;"",$P1038&gt;=Parâmetros!$C$5),"Sim","Não"))</f>
        <v/>
      </c>
      <c r="P1038" s="45" t="str">
        <f aca="false">IF($E1038="","",IF($G1038="","",IF($G1038="NOK",$F1038,0)))</f>
        <v/>
      </c>
      <c r="Q1038" s="46" t="str">
        <f aca="false">IF($E1038="","",IF($O1038&lt;&gt;"Sim","",COUNTIF($O$3:$O1038,"Sim")))</f>
        <v/>
      </c>
      <c r="R1038" s="47" t="n">
        <f aca="false">IF($P1038="",0,$P1038)</f>
        <v>0</v>
      </c>
    </row>
    <row r="1039" customFormat="false" ht="18" hidden="false" customHeight="true" outlineLevel="0" collapsed="false">
      <c r="A1039" s="39"/>
      <c r="B1039" s="41"/>
      <c r="C1039" s="40"/>
      <c r="D1039" s="40"/>
      <c r="E1039" s="40"/>
      <c r="F1039" s="42"/>
      <c r="G1039" s="39"/>
      <c r="H1039" s="40"/>
      <c r="I1039" s="40"/>
      <c r="J1039" s="40"/>
      <c r="K1039" s="41"/>
      <c r="L1039" s="39"/>
      <c r="M1039" s="48" t="str">
        <f aca="false">IF($E1039="","",IFERROR(INDEX(Parâmetros!$C$15:$C$20,MATCH($P1039,Parâmetros!$B$15:$B$20,0)),""))</f>
        <v/>
      </c>
      <c r="N1039" s="46" t="str">
        <f aca="false">IF($E1039="","",IF($P1039="","",IF($P1039&gt;=8,"Alta",IF($P1039&gt;=5,"Média","Baixa"))))</f>
        <v/>
      </c>
      <c r="O1039" s="46" t="str">
        <f aca="false">IF($E1039="","",IF(AND(Parâmetros!$C$5&gt;0,$P1039&lt;&gt;"",$P1039&gt;=Parâmetros!$C$5),"Sim","Não"))</f>
        <v/>
      </c>
      <c r="P1039" s="45" t="str">
        <f aca="false">IF($E1039="","",IF($G1039="","",IF($G1039="NOK",$F1039,0)))</f>
        <v/>
      </c>
      <c r="Q1039" s="46" t="str">
        <f aca="false">IF($E1039="","",IF($O1039&lt;&gt;"Sim","",COUNTIF($O$3:$O1039,"Sim")))</f>
        <v/>
      </c>
      <c r="R1039" s="47" t="n">
        <f aca="false">IF($P1039="",0,$P1039)</f>
        <v>0</v>
      </c>
    </row>
    <row r="1040" customFormat="false" ht="18" hidden="false" customHeight="true" outlineLevel="0" collapsed="false">
      <c r="A1040" s="39"/>
      <c r="B1040" s="41"/>
      <c r="C1040" s="40"/>
      <c r="D1040" s="40"/>
      <c r="E1040" s="40"/>
      <c r="F1040" s="42"/>
      <c r="G1040" s="39"/>
      <c r="H1040" s="40"/>
      <c r="I1040" s="40"/>
      <c r="J1040" s="40"/>
      <c r="K1040" s="41"/>
      <c r="L1040" s="39"/>
      <c r="M1040" s="48" t="str">
        <f aca="false">IF($E1040="","",IFERROR(INDEX(Parâmetros!$C$15:$C$20,MATCH($P1040,Parâmetros!$B$15:$B$20,0)),""))</f>
        <v/>
      </c>
      <c r="N1040" s="46" t="str">
        <f aca="false">IF($E1040="","",IF($P1040="","",IF($P1040&gt;=8,"Alta",IF($P1040&gt;=5,"Média","Baixa"))))</f>
        <v/>
      </c>
      <c r="O1040" s="46" t="str">
        <f aca="false">IF($E1040="","",IF(AND(Parâmetros!$C$5&gt;0,$P1040&lt;&gt;"",$P1040&gt;=Parâmetros!$C$5),"Sim","Não"))</f>
        <v/>
      </c>
      <c r="P1040" s="45" t="str">
        <f aca="false">IF($E1040="","",IF($G1040="","",IF($G1040="NOK",$F1040,0)))</f>
        <v/>
      </c>
      <c r="Q1040" s="46" t="str">
        <f aca="false">IF($E1040="","",IF($O1040&lt;&gt;"Sim","",COUNTIF($O$3:$O1040,"Sim")))</f>
        <v/>
      </c>
      <c r="R1040" s="47" t="n">
        <f aca="false">IF($P1040="",0,$P1040)</f>
        <v>0</v>
      </c>
    </row>
    <row r="1041" customFormat="false" ht="18" hidden="false" customHeight="true" outlineLevel="0" collapsed="false">
      <c r="A1041" s="39"/>
      <c r="B1041" s="41"/>
      <c r="C1041" s="40"/>
      <c r="D1041" s="40"/>
      <c r="E1041" s="40"/>
      <c r="F1041" s="42"/>
      <c r="G1041" s="39"/>
      <c r="H1041" s="40"/>
      <c r="I1041" s="40"/>
      <c r="J1041" s="40"/>
      <c r="K1041" s="41"/>
      <c r="L1041" s="39"/>
      <c r="M1041" s="48" t="str">
        <f aca="false">IF($E1041="","",IFERROR(INDEX(Parâmetros!$C$15:$C$20,MATCH($P1041,Parâmetros!$B$15:$B$20,0)),""))</f>
        <v/>
      </c>
      <c r="N1041" s="46" t="str">
        <f aca="false">IF($E1041="","",IF($P1041="","",IF($P1041&gt;=8,"Alta",IF($P1041&gt;=5,"Média","Baixa"))))</f>
        <v/>
      </c>
      <c r="O1041" s="46" t="str">
        <f aca="false">IF($E1041="","",IF(AND(Parâmetros!$C$5&gt;0,$P1041&lt;&gt;"",$P1041&gt;=Parâmetros!$C$5),"Sim","Não"))</f>
        <v/>
      </c>
      <c r="P1041" s="45" t="str">
        <f aca="false">IF($E1041="","",IF($G1041="","",IF($G1041="NOK",$F1041,0)))</f>
        <v/>
      </c>
      <c r="Q1041" s="46" t="str">
        <f aca="false">IF($E1041="","",IF($O1041&lt;&gt;"Sim","",COUNTIF($O$3:$O1041,"Sim")))</f>
        <v/>
      </c>
      <c r="R1041" s="47" t="n">
        <f aca="false">IF($P1041="",0,$P1041)</f>
        <v>0</v>
      </c>
    </row>
    <row r="1042" customFormat="false" ht="18" hidden="false" customHeight="true" outlineLevel="0" collapsed="false">
      <c r="A1042" s="39"/>
      <c r="B1042" s="41"/>
      <c r="C1042" s="40"/>
      <c r="D1042" s="40"/>
      <c r="E1042" s="40"/>
      <c r="F1042" s="42"/>
      <c r="G1042" s="39"/>
      <c r="H1042" s="40"/>
      <c r="I1042" s="40"/>
      <c r="J1042" s="40"/>
      <c r="K1042" s="41"/>
      <c r="L1042" s="39"/>
      <c r="M1042" s="48" t="str">
        <f aca="false">IF($E1042="","",IFERROR(INDEX(Parâmetros!$C$15:$C$20,MATCH($P1042,Parâmetros!$B$15:$B$20,0)),""))</f>
        <v/>
      </c>
      <c r="N1042" s="46" t="str">
        <f aca="false">IF($E1042="","",IF($P1042="","",IF($P1042&gt;=8,"Alta",IF($P1042&gt;=5,"Média","Baixa"))))</f>
        <v/>
      </c>
      <c r="O1042" s="46" t="str">
        <f aca="false">IF($E1042="","",IF(AND(Parâmetros!$C$5&gt;0,$P1042&lt;&gt;"",$P1042&gt;=Parâmetros!$C$5),"Sim","Não"))</f>
        <v/>
      </c>
      <c r="P1042" s="45" t="str">
        <f aca="false">IF($E1042="","",IF($G1042="","",IF($G1042="NOK",$F1042,0)))</f>
        <v/>
      </c>
      <c r="Q1042" s="46" t="str">
        <f aca="false">IF($E1042="","",IF($O1042&lt;&gt;"Sim","",COUNTIF($O$3:$O1042,"Sim")))</f>
        <v/>
      </c>
      <c r="R1042" s="47" t="n">
        <f aca="false">IF($P1042="",0,$P1042)</f>
        <v>0</v>
      </c>
    </row>
    <row r="1043" customFormat="false" ht="18" hidden="false" customHeight="true" outlineLevel="0" collapsed="false">
      <c r="A1043" s="39"/>
      <c r="B1043" s="41"/>
      <c r="C1043" s="40"/>
      <c r="D1043" s="40"/>
      <c r="E1043" s="40"/>
      <c r="F1043" s="42"/>
      <c r="G1043" s="39"/>
      <c r="H1043" s="40"/>
      <c r="I1043" s="40"/>
      <c r="J1043" s="40"/>
      <c r="K1043" s="41"/>
      <c r="L1043" s="39"/>
      <c r="M1043" s="48" t="str">
        <f aca="false">IF($E1043="","",IFERROR(INDEX(Parâmetros!$C$15:$C$20,MATCH($P1043,Parâmetros!$B$15:$B$20,0)),""))</f>
        <v/>
      </c>
      <c r="N1043" s="46" t="str">
        <f aca="false">IF($E1043="","",IF($P1043="","",IF($P1043&gt;=8,"Alta",IF($P1043&gt;=5,"Média","Baixa"))))</f>
        <v/>
      </c>
      <c r="O1043" s="46" t="str">
        <f aca="false">IF($E1043="","",IF(AND(Parâmetros!$C$5&gt;0,$P1043&lt;&gt;"",$P1043&gt;=Parâmetros!$C$5),"Sim","Não"))</f>
        <v/>
      </c>
      <c r="P1043" s="45" t="str">
        <f aca="false">IF($E1043="","",IF($G1043="","",IF($G1043="NOK",$F1043,0)))</f>
        <v/>
      </c>
      <c r="Q1043" s="46" t="str">
        <f aca="false">IF($E1043="","",IF($O1043&lt;&gt;"Sim","",COUNTIF($O$3:$O1043,"Sim")))</f>
        <v/>
      </c>
      <c r="R1043" s="47" t="n">
        <f aca="false">IF($P1043="",0,$P1043)</f>
        <v>0</v>
      </c>
    </row>
    <row r="1044" customFormat="false" ht="18" hidden="false" customHeight="true" outlineLevel="0" collapsed="false">
      <c r="A1044" s="39"/>
      <c r="B1044" s="41"/>
      <c r="C1044" s="40"/>
      <c r="D1044" s="40"/>
      <c r="E1044" s="40"/>
      <c r="F1044" s="42"/>
      <c r="G1044" s="39"/>
      <c r="H1044" s="40"/>
      <c r="I1044" s="40"/>
      <c r="J1044" s="40"/>
      <c r="K1044" s="41"/>
      <c r="L1044" s="39"/>
      <c r="M1044" s="48" t="str">
        <f aca="false">IF($E1044="","",IFERROR(INDEX(Parâmetros!$C$15:$C$20,MATCH($P1044,Parâmetros!$B$15:$B$20,0)),""))</f>
        <v/>
      </c>
      <c r="N1044" s="46" t="str">
        <f aca="false">IF($E1044="","",IF($P1044="","",IF($P1044&gt;=8,"Alta",IF($P1044&gt;=5,"Média","Baixa"))))</f>
        <v/>
      </c>
      <c r="O1044" s="46" t="str">
        <f aca="false">IF($E1044="","",IF(AND(Parâmetros!$C$5&gt;0,$P1044&lt;&gt;"",$P1044&gt;=Parâmetros!$C$5),"Sim","Não"))</f>
        <v/>
      </c>
      <c r="P1044" s="45" t="str">
        <f aca="false">IF($E1044="","",IF($G1044="","",IF($G1044="NOK",$F1044,0)))</f>
        <v/>
      </c>
      <c r="Q1044" s="46" t="str">
        <f aca="false">IF($E1044="","",IF($O1044&lt;&gt;"Sim","",COUNTIF($O$3:$O1044,"Sim")))</f>
        <v/>
      </c>
      <c r="R1044" s="47" t="n">
        <f aca="false">IF($P1044="",0,$P1044)</f>
        <v>0</v>
      </c>
    </row>
    <row r="1045" customFormat="false" ht="18" hidden="false" customHeight="true" outlineLevel="0" collapsed="false">
      <c r="A1045" s="39"/>
      <c r="B1045" s="41"/>
      <c r="C1045" s="40"/>
      <c r="D1045" s="40"/>
      <c r="E1045" s="40"/>
      <c r="F1045" s="42"/>
      <c r="G1045" s="39"/>
      <c r="H1045" s="40"/>
      <c r="I1045" s="40"/>
      <c r="J1045" s="40"/>
      <c r="K1045" s="41"/>
      <c r="L1045" s="39"/>
      <c r="M1045" s="48" t="str">
        <f aca="false">IF($E1045="","",IFERROR(INDEX(Parâmetros!$C$15:$C$20,MATCH($P1045,Parâmetros!$B$15:$B$20,0)),""))</f>
        <v/>
      </c>
      <c r="N1045" s="46" t="str">
        <f aca="false">IF($E1045="","",IF($P1045="","",IF($P1045&gt;=8,"Alta",IF($P1045&gt;=5,"Média","Baixa"))))</f>
        <v/>
      </c>
      <c r="O1045" s="46" t="str">
        <f aca="false">IF($E1045="","",IF(AND(Parâmetros!$C$5&gt;0,$P1045&lt;&gt;"",$P1045&gt;=Parâmetros!$C$5),"Sim","Não"))</f>
        <v/>
      </c>
      <c r="P1045" s="45" t="str">
        <f aca="false">IF($E1045="","",IF($G1045="","",IF($G1045="NOK",$F1045,0)))</f>
        <v/>
      </c>
      <c r="Q1045" s="46" t="str">
        <f aca="false">IF($E1045="","",IF($O1045&lt;&gt;"Sim","",COUNTIF($O$3:$O1045,"Sim")))</f>
        <v/>
      </c>
      <c r="R1045" s="47" t="n">
        <f aca="false">IF($P1045="",0,$P1045)</f>
        <v>0</v>
      </c>
    </row>
    <row r="1046" customFormat="false" ht="18" hidden="false" customHeight="true" outlineLevel="0" collapsed="false">
      <c r="A1046" s="39"/>
      <c r="B1046" s="41"/>
      <c r="C1046" s="40"/>
      <c r="D1046" s="40"/>
      <c r="E1046" s="40"/>
      <c r="F1046" s="42"/>
      <c r="G1046" s="39"/>
      <c r="H1046" s="40"/>
      <c r="I1046" s="40"/>
      <c r="J1046" s="40"/>
      <c r="K1046" s="41"/>
      <c r="L1046" s="39"/>
      <c r="M1046" s="48" t="str">
        <f aca="false">IF($E1046="","",IFERROR(INDEX(Parâmetros!$C$15:$C$20,MATCH($P1046,Parâmetros!$B$15:$B$20,0)),""))</f>
        <v/>
      </c>
      <c r="N1046" s="46" t="str">
        <f aca="false">IF($E1046="","",IF($P1046="","",IF($P1046&gt;=8,"Alta",IF($P1046&gt;=5,"Média","Baixa"))))</f>
        <v/>
      </c>
      <c r="O1046" s="46" t="str">
        <f aca="false">IF($E1046="","",IF(AND(Parâmetros!$C$5&gt;0,$P1046&lt;&gt;"",$P1046&gt;=Parâmetros!$C$5),"Sim","Não"))</f>
        <v/>
      </c>
      <c r="P1046" s="45" t="str">
        <f aca="false">IF($E1046="","",IF($G1046="","",IF($G1046="NOK",$F1046,0)))</f>
        <v/>
      </c>
      <c r="Q1046" s="46" t="str">
        <f aca="false">IF($E1046="","",IF($O1046&lt;&gt;"Sim","",COUNTIF($O$3:$O1046,"Sim")))</f>
        <v/>
      </c>
      <c r="R1046" s="47" t="n">
        <f aca="false">IF($P1046="",0,$P1046)</f>
        <v>0</v>
      </c>
    </row>
    <row r="1047" customFormat="false" ht="18" hidden="false" customHeight="true" outlineLevel="0" collapsed="false">
      <c r="A1047" s="39"/>
      <c r="B1047" s="41"/>
      <c r="C1047" s="40"/>
      <c r="D1047" s="40"/>
      <c r="E1047" s="40"/>
      <c r="F1047" s="42"/>
      <c r="G1047" s="39"/>
      <c r="H1047" s="40"/>
      <c r="I1047" s="40"/>
      <c r="J1047" s="40"/>
      <c r="K1047" s="41"/>
      <c r="L1047" s="39"/>
      <c r="M1047" s="48" t="str">
        <f aca="false">IF($E1047="","",IFERROR(INDEX(Parâmetros!$C$15:$C$20,MATCH($P1047,Parâmetros!$B$15:$B$20,0)),""))</f>
        <v/>
      </c>
      <c r="N1047" s="46" t="str">
        <f aca="false">IF($E1047="","",IF($P1047="","",IF($P1047&gt;=8,"Alta",IF($P1047&gt;=5,"Média","Baixa"))))</f>
        <v/>
      </c>
      <c r="O1047" s="46" t="str">
        <f aca="false">IF($E1047="","",IF(AND(Parâmetros!$C$5&gt;0,$P1047&lt;&gt;"",$P1047&gt;=Parâmetros!$C$5),"Sim","Não"))</f>
        <v/>
      </c>
      <c r="P1047" s="45" t="str">
        <f aca="false">IF($E1047="","",IF($G1047="","",IF($G1047="NOK",$F1047,0)))</f>
        <v/>
      </c>
      <c r="Q1047" s="46" t="str">
        <f aca="false">IF($E1047="","",IF($O1047&lt;&gt;"Sim","",COUNTIF($O$3:$O1047,"Sim")))</f>
        <v/>
      </c>
      <c r="R1047" s="47" t="n">
        <f aca="false">IF($P1047="",0,$P1047)</f>
        <v>0</v>
      </c>
    </row>
    <row r="1048" customFormat="false" ht="18" hidden="false" customHeight="true" outlineLevel="0" collapsed="false">
      <c r="A1048" s="39"/>
      <c r="B1048" s="41"/>
      <c r="C1048" s="40"/>
      <c r="D1048" s="40"/>
      <c r="E1048" s="40"/>
      <c r="F1048" s="42"/>
      <c r="G1048" s="39"/>
      <c r="H1048" s="40"/>
      <c r="I1048" s="40"/>
      <c r="J1048" s="40"/>
      <c r="K1048" s="41"/>
      <c r="L1048" s="39"/>
      <c r="M1048" s="48" t="str">
        <f aca="false">IF($E1048="","",IFERROR(INDEX(Parâmetros!$C$15:$C$20,MATCH($P1048,Parâmetros!$B$15:$B$20,0)),""))</f>
        <v/>
      </c>
      <c r="N1048" s="46" t="str">
        <f aca="false">IF($E1048="","",IF($P1048="","",IF($P1048&gt;=8,"Alta",IF($P1048&gt;=5,"Média","Baixa"))))</f>
        <v/>
      </c>
      <c r="O1048" s="46" t="str">
        <f aca="false">IF($E1048="","",IF(AND(Parâmetros!$C$5&gt;0,$P1048&lt;&gt;"",$P1048&gt;=Parâmetros!$C$5),"Sim","Não"))</f>
        <v/>
      </c>
      <c r="P1048" s="45" t="str">
        <f aca="false">IF($E1048="","",IF($G1048="","",IF($G1048="NOK",$F1048,0)))</f>
        <v/>
      </c>
      <c r="Q1048" s="46" t="str">
        <f aca="false">IF($E1048="","",IF($O1048&lt;&gt;"Sim","",COUNTIF($O$3:$O1048,"Sim")))</f>
        <v/>
      </c>
      <c r="R1048" s="47" t="n">
        <f aca="false">IF($P1048="",0,$P1048)</f>
        <v>0</v>
      </c>
    </row>
    <row r="1049" customFormat="false" ht="18" hidden="false" customHeight="true" outlineLevel="0" collapsed="false">
      <c r="A1049" s="39"/>
      <c r="B1049" s="41"/>
      <c r="C1049" s="40"/>
      <c r="D1049" s="40"/>
      <c r="E1049" s="40"/>
      <c r="F1049" s="42"/>
      <c r="G1049" s="39"/>
      <c r="H1049" s="40"/>
      <c r="I1049" s="40"/>
      <c r="J1049" s="40"/>
      <c r="K1049" s="41"/>
      <c r="L1049" s="39"/>
      <c r="M1049" s="48" t="str">
        <f aca="false">IF($E1049="","",IFERROR(INDEX(Parâmetros!$C$15:$C$20,MATCH($P1049,Parâmetros!$B$15:$B$20,0)),""))</f>
        <v/>
      </c>
      <c r="N1049" s="46" t="str">
        <f aca="false">IF($E1049="","",IF($P1049="","",IF($P1049&gt;=8,"Alta",IF($P1049&gt;=5,"Média","Baixa"))))</f>
        <v/>
      </c>
      <c r="O1049" s="46" t="str">
        <f aca="false">IF($E1049="","",IF(AND(Parâmetros!$C$5&gt;0,$P1049&lt;&gt;"",$P1049&gt;=Parâmetros!$C$5),"Sim","Não"))</f>
        <v/>
      </c>
      <c r="P1049" s="45" t="str">
        <f aca="false">IF($E1049="","",IF($G1049="","",IF($G1049="NOK",$F1049,0)))</f>
        <v/>
      </c>
      <c r="Q1049" s="46" t="str">
        <f aca="false">IF($E1049="","",IF($O1049&lt;&gt;"Sim","",COUNTIF($O$3:$O1049,"Sim")))</f>
        <v/>
      </c>
      <c r="R1049" s="47" t="n">
        <f aca="false">IF($P1049="",0,$P1049)</f>
        <v>0</v>
      </c>
    </row>
    <row r="1050" customFormat="false" ht="18" hidden="false" customHeight="true" outlineLevel="0" collapsed="false">
      <c r="A1050" s="39"/>
      <c r="B1050" s="41"/>
      <c r="C1050" s="40"/>
      <c r="D1050" s="40"/>
      <c r="E1050" s="40"/>
      <c r="F1050" s="42"/>
      <c r="G1050" s="39"/>
      <c r="H1050" s="40"/>
      <c r="I1050" s="40"/>
      <c r="J1050" s="40"/>
      <c r="K1050" s="41"/>
      <c r="L1050" s="39"/>
      <c r="M1050" s="48" t="str">
        <f aca="false">IF($E1050="","",IFERROR(INDEX(Parâmetros!$C$15:$C$20,MATCH($P1050,Parâmetros!$B$15:$B$20,0)),""))</f>
        <v/>
      </c>
      <c r="N1050" s="46" t="str">
        <f aca="false">IF($E1050="","",IF($P1050="","",IF($P1050&gt;=8,"Alta",IF($P1050&gt;=5,"Média","Baixa"))))</f>
        <v/>
      </c>
      <c r="O1050" s="46" t="str">
        <f aca="false">IF($E1050="","",IF(AND(Parâmetros!$C$5&gt;0,$P1050&lt;&gt;"",$P1050&gt;=Parâmetros!$C$5),"Sim","Não"))</f>
        <v/>
      </c>
      <c r="P1050" s="45" t="str">
        <f aca="false">IF($E1050="","",IF($G1050="","",IF($G1050="NOK",$F1050,0)))</f>
        <v/>
      </c>
      <c r="Q1050" s="46" t="str">
        <f aca="false">IF($E1050="","",IF($O1050&lt;&gt;"Sim","",COUNTIF($O$3:$O1050,"Sim")))</f>
        <v/>
      </c>
      <c r="R1050" s="47" t="n">
        <f aca="false">IF($P1050="",0,$P1050)</f>
        <v>0</v>
      </c>
    </row>
    <row r="1051" customFormat="false" ht="18" hidden="false" customHeight="true" outlineLevel="0" collapsed="false">
      <c r="A1051" s="39"/>
      <c r="B1051" s="41"/>
      <c r="C1051" s="40"/>
      <c r="D1051" s="40"/>
      <c r="E1051" s="40"/>
      <c r="F1051" s="42"/>
      <c r="G1051" s="39"/>
      <c r="H1051" s="40"/>
      <c r="I1051" s="40"/>
      <c r="J1051" s="40"/>
      <c r="K1051" s="41"/>
      <c r="L1051" s="39"/>
      <c r="M1051" s="48" t="str">
        <f aca="false">IF($E1051="","",IFERROR(INDEX(Parâmetros!$C$15:$C$20,MATCH($P1051,Parâmetros!$B$15:$B$20,0)),""))</f>
        <v/>
      </c>
      <c r="N1051" s="46" t="str">
        <f aca="false">IF($E1051="","",IF($P1051="","",IF($P1051&gt;=8,"Alta",IF($P1051&gt;=5,"Média","Baixa"))))</f>
        <v/>
      </c>
      <c r="O1051" s="46" t="str">
        <f aca="false">IF($E1051="","",IF(AND(Parâmetros!$C$5&gt;0,$P1051&lt;&gt;"",$P1051&gt;=Parâmetros!$C$5),"Sim","Não"))</f>
        <v/>
      </c>
      <c r="P1051" s="45" t="str">
        <f aca="false">IF($E1051="","",IF($G1051="","",IF($G1051="NOK",$F1051,0)))</f>
        <v/>
      </c>
      <c r="Q1051" s="46" t="str">
        <f aca="false">IF($E1051="","",IF($O1051&lt;&gt;"Sim","",COUNTIF($O$3:$O1051,"Sim")))</f>
        <v/>
      </c>
      <c r="R1051" s="47" t="n">
        <f aca="false">IF($P1051="",0,$P1051)</f>
        <v>0</v>
      </c>
    </row>
    <row r="1052" customFormat="false" ht="18" hidden="false" customHeight="true" outlineLevel="0" collapsed="false">
      <c r="A1052" s="39"/>
      <c r="B1052" s="41"/>
      <c r="C1052" s="40"/>
      <c r="D1052" s="40"/>
      <c r="E1052" s="40"/>
      <c r="F1052" s="42"/>
      <c r="G1052" s="39"/>
      <c r="H1052" s="40"/>
      <c r="I1052" s="40"/>
      <c r="J1052" s="40"/>
      <c r="K1052" s="41"/>
      <c r="L1052" s="39"/>
      <c r="M1052" s="48" t="str">
        <f aca="false">IF($E1052="","",IFERROR(INDEX(Parâmetros!$C$15:$C$20,MATCH($P1052,Parâmetros!$B$15:$B$20,0)),""))</f>
        <v/>
      </c>
      <c r="N1052" s="46" t="str">
        <f aca="false">IF($E1052="","",IF($P1052="","",IF($P1052&gt;=8,"Alta",IF($P1052&gt;=5,"Média","Baixa"))))</f>
        <v/>
      </c>
      <c r="O1052" s="46" t="str">
        <f aca="false">IF($E1052="","",IF(AND(Parâmetros!$C$5&gt;0,$P1052&lt;&gt;"",$P1052&gt;=Parâmetros!$C$5),"Sim","Não"))</f>
        <v/>
      </c>
      <c r="P1052" s="45" t="str">
        <f aca="false">IF($E1052="","",IF($G1052="","",IF($G1052="NOK",$F1052,0)))</f>
        <v/>
      </c>
      <c r="Q1052" s="46" t="str">
        <f aca="false">IF($E1052="","",IF($O1052&lt;&gt;"Sim","",COUNTIF($O$3:$O1052,"Sim")))</f>
        <v/>
      </c>
      <c r="R1052" s="47" t="n">
        <f aca="false">IF($P1052="",0,$P1052)</f>
        <v>0</v>
      </c>
    </row>
    <row r="1053" customFormat="false" ht="18" hidden="false" customHeight="true" outlineLevel="0" collapsed="false">
      <c r="A1053" s="39"/>
      <c r="B1053" s="41"/>
      <c r="C1053" s="40"/>
      <c r="D1053" s="40"/>
      <c r="E1053" s="40"/>
      <c r="F1053" s="42"/>
      <c r="G1053" s="39"/>
      <c r="H1053" s="40"/>
      <c r="I1053" s="40"/>
      <c r="J1053" s="40"/>
      <c r="K1053" s="41"/>
      <c r="L1053" s="39"/>
      <c r="M1053" s="48" t="str">
        <f aca="false">IF($E1053="","",IFERROR(INDEX(Parâmetros!$C$15:$C$20,MATCH($P1053,Parâmetros!$B$15:$B$20,0)),""))</f>
        <v/>
      </c>
      <c r="N1053" s="46" t="str">
        <f aca="false">IF($E1053="","",IF($P1053="","",IF($P1053&gt;=8,"Alta",IF($P1053&gt;=5,"Média","Baixa"))))</f>
        <v/>
      </c>
      <c r="O1053" s="46" t="str">
        <f aca="false">IF($E1053="","",IF(AND(Parâmetros!$C$5&gt;0,$P1053&lt;&gt;"",$P1053&gt;=Parâmetros!$C$5),"Sim","Não"))</f>
        <v/>
      </c>
      <c r="P1053" s="45" t="str">
        <f aca="false">IF($E1053="","",IF($G1053="","",IF($G1053="NOK",$F1053,0)))</f>
        <v/>
      </c>
      <c r="Q1053" s="46" t="str">
        <f aca="false">IF($E1053="","",IF($O1053&lt;&gt;"Sim","",COUNTIF($O$3:$O1053,"Sim")))</f>
        <v/>
      </c>
      <c r="R1053" s="47" t="n">
        <f aca="false">IF($P1053="",0,$P1053)</f>
        <v>0</v>
      </c>
    </row>
    <row r="1054" customFormat="false" ht="18" hidden="false" customHeight="true" outlineLevel="0" collapsed="false">
      <c r="A1054" s="39"/>
      <c r="B1054" s="41"/>
      <c r="C1054" s="40"/>
      <c r="D1054" s="40"/>
      <c r="E1054" s="40"/>
      <c r="F1054" s="42"/>
      <c r="G1054" s="39"/>
      <c r="H1054" s="40"/>
      <c r="I1054" s="40"/>
      <c r="J1054" s="40"/>
      <c r="K1054" s="41"/>
      <c r="L1054" s="39"/>
      <c r="M1054" s="48" t="str">
        <f aca="false">IF($E1054="","",IFERROR(INDEX(Parâmetros!$C$15:$C$20,MATCH($P1054,Parâmetros!$B$15:$B$20,0)),""))</f>
        <v/>
      </c>
      <c r="N1054" s="46" t="str">
        <f aca="false">IF($E1054="","",IF($P1054="","",IF($P1054&gt;=8,"Alta",IF($P1054&gt;=5,"Média","Baixa"))))</f>
        <v/>
      </c>
      <c r="O1054" s="46" t="str">
        <f aca="false">IF($E1054="","",IF(AND(Parâmetros!$C$5&gt;0,$P1054&lt;&gt;"",$P1054&gt;=Parâmetros!$C$5),"Sim","Não"))</f>
        <v/>
      </c>
      <c r="P1054" s="45" t="str">
        <f aca="false">IF($E1054="","",IF($G1054="","",IF($G1054="NOK",$F1054,0)))</f>
        <v/>
      </c>
      <c r="Q1054" s="46" t="str">
        <f aca="false">IF($E1054="","",IF($O1054&lt;&gt;"Sim","",COUNTIF($O$3:$O1054,"Sim")))</f>
        <v/>
      </c>
      <c r="R1054" s="47" t="n">
        <f aca="false">IF($P1054="",0,$P1054)</f>
        <v>0</v>
      </c>
    </row>
    <row r="1055" customFormat="false" ht="18" hidden="false" customHeight="true" outlineLevel="0" collapsed="false">
      <c r="A1055" s="39"/>
      <c r="B1055" s="41"/>
      <c r="C1055" s="40"/>
      <c r="D1055" s="40"/>
      <c r="E1055" s="40"/>
      <c r="F1055" s="42"/>
      <c r="G1055" s="39"/>
      <c r="H1055" s="40"/>
      <c r="I1055" s="40"/>
      <c r="J1055" s="40"/>
      <c r="K1055" s="41"/>
      <c r="L1055" s="39"/>
      <c r="M1055" s="48" t="str">
        <f aca="false">IF($E1055="","",IFERROR(INDEX(Parâmetros!$C$15:$C$20,MATCH($P1055,Parâmetros!$B$15:$B$20,0)),""))</f>
        <v/>
      </c>
      <c r="N1055" s="46" t="str">
        <f aca="false">IF($E1055="","",IF($P1055="","",IF($P1055&gt;=8,"Alta",IF($P1055&gt;=5,"Média","Baixa"))))</f>
        <v/>
      </c>
      <c r="O1055" s="46" t="str">
        <f aca="false">IF($E1055="","",IF(AND(Parâmetros!$C$5&gt;0,$P1055&lt;&gt;"",$P1055&gt;=Parâmetros!$C$5),"Sim","Não"))</f>
        <v/>
      </c>
      <c r="P1055" s="45" t="str">
        <f aca="false">IF($E1055="","",IF($G1055="","",IF($G1055="NOK",$F1055,0)))</f>
        <v/>
      </c>
      <c r="Q1055" s="46" t="str">
        <f aca="false">IF($E1055="","",IF($O1055&lt;&gt;"Sim","",COUNTIF($O$3:$O1055,"Sim")))</f>
        <v/>
      </c>
      <c r="R1055" s="47" t="n">
        <f aca="false">IF($P1055="",0,$P1055)</f>
        <v>0</v>
      </c>
    </row>
    <row r="1056" customFormat="false" ht="18" hidden="false" customHeight="true" outlineLevel="0" collapsed="false">
      <c r="A1056" s="39"/>
      <c r="B1056" s="41"/>
      <c r="C1056" s="40"/>
      <c r="D1056" s="40"/>
      <c r="E1056" s="40"/>
      <c r="F1056" s="42"/>
      <c r="G1056" s="39"/>
      <c r="H1056" s="40"/>
      <c r="I1056" s="40"/>
      <c r="J1056" s="40"/>
      <c r="K1056" s="41"/>
      <c r="L1056" s="39"/>
      <c r="M1056" s="48" t="str">
        <f aca="false">IF($E1056="","",IFERROR(INDEX(Parâmetros!$C$15:$C$20,MATCH($P1056,Parâmetros!$B$15:$B$20,0)),""))</f>
        <v/>
      </c>
      <c r="N1056" s="46" t="str">
        <f aca="false">IF($E1056="","",IF($P1056="","",IF($P1056&gt;=8,"Alta",IF($P1056&gt;=5,"Média","Baixa"))))</f>
        <v/>
      </c>
      <c r="O1056" s="46" t="str">
        <f aca="false">IF($E1056="","",IF(AND(Parâmetros!$C$5&gt;0,$P1056&lt;&gt;"",$P1056&gt;=Parâmetros!$C$5),"Sim","Não"))</f>
        <v/>
      </c>
      <c r="P1056" s="45" t="str">
        <f aca="false">IF($E1056="","",IF($G1056="","",IF($G1056="NOK",$F1056,0)))</f>
        <v/>
      </c>
      <c r="Q1056" s="46" t="str">
        <f aca="false">IF($E1056="","",IF($O1056&lt;&gt;"Sim","",COUNTIF($O$3:$O1056,"Sim")))</f>
        <v/>
      </c>
      <c r="R1056" s="47" t="n">
        <f aca="false">IF($P1056="",0,$P1056)</f>
        <v>0</v>
      </c>
    </row>
    <row r="1057" customFormat="false" ht="18" hidden="false" customHeight="true" outlineLevel="0" collapsed="false">
      <c r="A1057" s="39"/>
      <c r="B1057" s="41"/>
      <c r="C1057" s="40"/>
      <c r="D1057" s="40"/>
      <c r="E1057" s="40"/>
      <c r="F1057" s="42"/>
      <c r="G1057" s="39"/>
      <c r="H1057" s="40"/>
      <c r="I1057" s="40"/>
      <c r="J1057" s="40"/>
      <c r="K1057" s="41"/>
      <c r="L1057" s="39"/>
      <c r="M1057" s="48" t="str">
        <f aca="false">IF($E1057="","",IFERROR(INDEX(Parâmetros!$C$15:$C$20,MATCH($P1057,Parâmetros!$B$15:$B$20,0)),""))</f>
        <v/>
      </c>
      <c r="N1057" s="46" t="str">
        <f aca="false">IF($E1057="","",IF($P1057="","",IF($P1057&gt;=8,"Alta",IF($P1057&gt;=5,"Média","Baixa"))))</f>
        <v/>
      </c>
      <c r="O1057" s="46" t="str">
        <f aca="false">IF($E1057="","",IF(AND(Parâmetros!$C$5&gt;0,$P1057&lt;&gt;"",$P1057&gt;=Parâmetros!$C$5),"Sim","Não"))</f>
        <v/>
      </c>
      <c r="P1057" s="45" t="str">
        <f aca="false">IF($E1057="","",IF($G1057="","",IF($G1057="NOK",$F1057,0)))</f>
        <v/>
      </c>
      <c r="Q1057" s="46" t="str">
        <f aca="false">IF($E1057="","",IF($O1057&lt;&gt;"Sim","",COUNTIF($O$3:$O1057,"Sim")))</f>
        <v/>
      </c>
      <c r="R1057" s="47" t="n">
        <f aca="false">IF($P1057="",0,$P1057)</f>
        <v>0</v>
      </c>
    </row>
    <row r="1058" customFormat="false" ht="18" hidden="false" customHeight="true" outlineLevel="0" collapsed="false">
      <c r="A1058" s="39"/>
      <c r="B1058" s="41"/>
      <c r="C1058" s="40"/>
      <c r="D1058" s="40"/>
      <c r="E1058" s="40"/>
      <c r="F1058" s="42"/>
      <c r="G1058" s="39"/>
      <c r="H1058" s="40"/>
      <c r="I1058" s="40"/>
      <c r="J1058" s="40"/>
      <c r="K1058" s="41"/>
      <c r="L1058" s="39"/>
      <c r="M1058" s="48" t="str">
        <f aca="false">IF($E1058="","",IFERROR(INDEX(Parâmetros!$C$15:$C$20,MATCH($P1058,Parâmetros!$B$15:$B$20,0)),""))</f>
        <v/>
      </c>
      <c r="N1058" s="46" t="str">
        <f aca="false">IF($E1058="","",IF($P1058="","",IF($P1058&gt;=8,"Alta",IF($P1058&gt;=5,"Média","Baixa"))))</f>
        <v/>
      </c>
      <c r="O1058" s="46" t="str">
        <f aca="false">IF($E1058="","",IF(AND(Parâmetros!$C$5&gt;0,$P1058&lt;&gt;"",$P1058&gt;=Parâmetros!$C$5),"Sim","Não"))</f>
        <v/>
      </c>
      <c r="P1058" s="45" t="str">
        <f aca="false">IF($E1058="","",IF($G1058="","",IF($G1058="NOK",$F1058,0)))</f>
        <v/>
      </c>
      <c r="Q1058" s="46" t="str">
        <f aca="false">IF($E1058="","",IF($O1058&lt;&gt;"Sim","",COUNTIF($O$3:$O1058,"Sim")))</f>
        <v/>
      </c>
      <c r="R1058" s="47" t="n">
        <f aca="false">IF($P1058="",0,$P1058)</f>
        <v>0</v>
      </c>
    </row>
    <row r="1059" customFormat="false" ht="18" hidden="false" customHeight="true" outlineLevel="0" collapsed="false">
      <c r="A1059" s="39"/>
      <c r="B1059" s="41"/>
      <c r="C1059" s="40"/>
      <c r="D1059" s="40"/>
      <c r="E1059" s="40"/>
      <c r="F1059" s="42"/>
      <c r="G1059" s="39"/>
      <c r="H1059" s="40"/>
      <c r="I1059" s="40"/>
      <c r="J1059" s="40"/>
      <c r="K1059" s="41"/>
      <c r="L1059" s="39"/>
      <c r="M1059" s="48" t="str">
        <f aca="false">IF($E1059="","",IFERROR(INDEX(Parâmetros!$C$15:$C$20,MATCH($P1059,Parâmetros!$B$15:$B$20,0)),""))</f>
        <v/>
      </c>
      <c r="N1059" s="46" t="str">
        <f aca="false">IF($E1059="","",IF($P1059="","",IF($P1059&gt;=8,"Alta",IF($P1059&gt;=5,"Média","Baixa"))))</f>
        <v/>
      </c>
      <c r="O1059" s="46" t="str">
        <f aca="false">IF($E1059="","",IF(AND(Parâmetros!$C$5&gt;0,$P1059&lt;&gt;"",$P1059&gt;=Parâmetros!$C$5),"Sim","Não"))</f>
        <v/>
      </c>
      <c r="P1059" s="45" t="str">
        <f aca="false">IF($E1059="","",IF($G1059="","",IF($G1059="NOK",$F1059,0)))</f>
        <v/>
      </c>
      <c r="Q1059" s="46" t="str">
        <f aca="false">IF($E1059="","",IF($O1059&lt;&gt;"Sim","",COUNTIF($O$3:$O1059,"Sim")))</f>
        <v/>
      </c>
      <c r="R1059" s="47" t="n">
        <f aca="false">IF($P1059="",0,$P1059)</f>
        <v>0</v>
      </c>
    </row>
    <row r="1060" customFormat="false" ht="18" hidden="false" customHeight="true" outlineLevel="0" collapsed="false">
      <c r="A1060" s="39"/>
      <c r="B1060" s="41"/>
      <c r="C1060" s="40"/>
      <c r="D1060" s="40"/>
      <c r="E1060" s="40"/>
      <c r="F1060" s="42"/>
      <c r="G1060" s="39"/>
      <c r="H1060" s="40"/>
      <c r="I1060" s="40"/>
      <c r="J1060" s="40"/>
      <c r="K1060" s="41"/>
      <c r="L1060" s="39"/>
      <c r="M1060" s="48" t="str">
        <f aca="false">IF($E1060="","",IFERROR(INDEX(Parâmetros!$C$15:$C$20,MATCH($P1060,Parâmetros!$B$15:$B$20,0)),""))</f>
        <v/>
      </c>
      <c r="N1060" s="46" t="str">
        <f aca="false">IF($E1060="","",IF($P1060="","",IF($P1060&gt;=8,"Alta",IF($P1060&gt;=5,"Média","Baixa"))))</f>
        <v/>
      </c>
      <c r="O1060" s="46" t="str">
        <f aca="false">IF($E1060="","",IF(AND(Parâmetros!$C$5&gt;0,$P1060&lt;&gt;"",$P1060&gt;=Parâmetros!$C$5),"Sim","Não"))</f>
        <v/>
      </c>
      <c r="P1060" s="45" t="str">
        <f aca="false">IF($E1060="","",IF($G1060="","",IF($G1060="NOK",$F1060,0)))</f>
        <v/>
      </c>
      <c r="Q1060" s="46" t="str">
        <f aca="false">IF($E1060="","",IF($O1060&lt;&gt;"Sim","",COUNTIF($O$3:$O1060,"Sim")))</f>
        <v/>
      </c>
      <c r="R1060" s="47" t="n">
        <f aca="false">IF($P1060="",0,$P1060)</f>
        <v>0</v>
      </c>
    </row>
    <row r="1061" customFormat="false" ht="18" hidden="false" customHeight="true" outlineLevel="0" collapsed="false">
      <c r="A1061" s="39"/>
      <c r="B1061" s="41"/>
      <c r="C1061" s="40"/>
      <c r="D1061" s="40"/>
      <c r="E1061" s="40"/>
      <c r="F1061" s="42"/>
      <c r="G1061" s="39"/>
      <c r="H1061" s="40"/>
      <c r="I1061" s="40"/>
      <c r="J1061" s="40"/>
      <c r="K1061" s="41"/>
      <c r="L1061" s="39"/>
      <c r="M1061" s="48" t="str">
        <f aca="false">IF($E1061="","",IFERROR(INDEX(Parâmetros!$C$15:$C$20,MATCH($P1061,Parâmetros!$B$15:$B$20,0)),""))</f>
        <v/>
      </c>
      <c r="N1061" s="46" t="str">
        <f aca="false">IF($E1061="","",IF($P1061="","",IF($P1061&gt;=8,"Alta",IF($P1061&gt;=5,"Média","Baixa"))))</f>
        <v/>
      </c>
      <c r="O1061" s="46" t="str">
        <f aca="false">IF($E1061="","",IF(AND(Parâmetros!$C$5&gt;0,$P1061&lt;&gt;"",$P1061&gt;=Parâmetros!$C$5),"Sim","Não"))</f>
        <v/>
      </c>
      <c r="P1061" s="45" t="str">
        <f aca="false">IF($E1061="","",IF($G1061="","",IF($G1061="NOK",$F1061,0)))</f>
        <v/>
      </c>
      <c r="Q1061" s="46" t="str">
        <f aca="false">IF($E1061="","",IF($O1061&lt;&gt;"Sim","",COUNTIF($O$3:$O1061,"Sim")))</f>
        <v/>
      </c>
      <c r="R1061" s="47" t="n">
        <f aca="false">IF($P1061="",0,$P1061)</f>
        <v>0</v>
      </c>
    </row>
    <row r="1062" customFormat="false" ht="18" hidden="false" customHeight="true" outlineLevel="0" collapsed="false">
      <c r="A1062" s="39"/>
      <c r="B1062" s="41"/>
      <c r="C1062" s="40"/>
      <c r="D1062" s="40"/>
      <c r="E1062" s="40"/>
      <c r="F1062" s="42"/>
      <c r="G1062" s="39"/>
      <c r="H1062" s="40"/>
      <c r="I1062" s="40"/>
      <c r="J1062" s="40"/>
      <c r="K1062" s="41"/>
      <c r="L1062" s="39"/>
      <c r="M1062" s="48" t="str">
        <f aca="false">IF($E1062="","",IFERROR(INDEX(Parâmetros!$C$15:$C$20,MATCH($P1062,Parâmetros!$B$15:$B$20,0)),""))</f>
        <v/>
      </c>
      <c r="N1062" s="46" t="str">
        <f aca="false">IF($E1062="","",IF($P1062="","",IF($P1062&gt;=8,"Alta",IF($P1062&gt;=5,"Média","Baixa"))))</f>
        <v/>
      </c>
      <c r="O1062" s="46" t="str">
        <f aca="false">IF($E1062="","",IF(AND(Parâmetros!$C$5&gt;0,$P1062&lt;&gt;"",$P1062&gt;=Parâmetros!$C$5),"Sim","Não"))</f>
        <v/>
      </c>
      <c r="P1062" s="45" t="str">
        <f aca="false">IF($E1062="","",IF($G1062="","",IF($G1062="NOK",$F1062,0)))</f>
        <v/>
      </c>
      <c r="Q1062" s="46" t="str">
        <f aca="false">IF($E1062="","",IF($O1062&lt;&gt;"Sim","",COUNTIF($O$3:$O1062,"Sim")))</f>
        <v/>
      </c>
      <c r="R1062" s="47" t="n">
        <f aca="false">IF($P1062="",0,$P1062)</f>
        <v>0</v>
      </c>
    </row>
    <row r="1063" customFormat="false" ht="18" hidden="false" customHeight="true" outlineLevel="0" collapsed="false">
      <c r="A1063" s="39"/>
      <c r="B1063" s="41"/>
      <c r="C1063" s="40"/>
      <c r="D1063" s="40"/>
      <c r="E1063" s="40"/>
      <c r="F1063" s="42"/>
      <c r="G1063" s="39"/>
      <c r="H1063" s="40"/>
      <c r="I1063" s="40"/>
      <c r="J1063" s="40"/>
      <c r="K1063" s="41"/>
      <c r="L1063" s="39"/>
      <c r="M1063" s="48" t="str">
        <f aca="false">IF($E1063="","",IFERROR(INDEX(Parâmetros!$C$15:$C$20,MATCH($P1063,Parâmetros!$B$15:$B$20,0)),""))</f>
        <v/>
      </c>
      <c r="N1063" s="46" t="str">
        <f aca="false">IF($E1063="","",IF($P1063="","",IF($P1063&gt;=8,"Alta",IF($P1063&gt;=5,"Média","Baixa"))))</f>
        <v/>
      </c>
      <c r="O1063" s="46" t="str">
        <f aca="false">IF($E1063="","",IF(AND(Parâmetros!$C$5&gt;0,$P1063&lt;&gt;"",$P1063&gt;=Parâmetros!$C$5),"Sim","Não"))</f>
        <v/>
      </c>
      <c r="P1063" s="45" t="str">
        <f aca="false">IF($E1063="","",IF($G1063="","",IF($G1063="NOK",$F1063,0)))</f>
        <v/>
      </c>
      <c r="Q1063" s="46" t="str">
        <f aca="false">IF($E1063="","",IF($O1063&lt;&gt;"Sim","",COUNTIF($O$3:$O1063,"Sim")))</f>
        <v/>
      </c>
      <c r="R1063" s="47" t="n">
        <f aca="false">IF($P1063="",0,$P1063)</f>
        <v>0</v>
      </c>
    </row>
    <row r="1064" customFormat="false" ht="18" hidden="false" customHeight="true" outlineLevel="0" collapsed="false">
      <c r="A1064" s="39"/>
      <c r="B1064" s="41"/>
      <c r="C1064" s="40"/>
      <c r="D1064" s="40"/>
      <c r="E1064" s="40"/>
      <c r="F1064" s="42"/>
      <c r="G1064" s="39"/>
      <c r="H1064" s="40"/>
      <c r="I1064" s="40"/>
      <c r="J1064" s="40"/>
      <c r="K1064" s="41"/>
      <c r="L1064" s="39"/>
      <c r="M1064" s="48" t="str">
        <f aca="false">IF($E1064="","",IFERROR(INDEX(Parâmetros!$C$15:$C$20,MATCH($P1064,Parâmetros!$B$15:$B$20,0)),""))</f>
        <v/>
      </c>
      <c r="N1064" s="46" t="str">
        <f aca="false">IF($E1064="","",IF($P1064="","",IF($P1064&gt;=8,"Alta",IF($P1064&gt;=5,"Média","Baixa"))))</f>
        <v/>
      </c>
      <c r="O1064" s="46" t="str">
        <f aca="false">IF($E1064="","",IF(AND(Parâmetros!$C$5&gt;0,$P1064&lt;&gt;"",$P1064&gt;=Parâmetros!$C$5),"Sim","Não"))</f>
        <v/>
      </c>
      <c r="P1064" s="45" t="str">
        <f aca="false">IF($E1064="","",IF($G1064="","",IF($G1064="NOK",$F1064,0)))</f>
        <v/>
      </c>
      <c r="Q1064" s="46" t="str">
        <f aca="false">IF($E1064="","",IF($O1064&lt;&gt;"Sim","",COUNTIF($O$3:$O1064,"Sim")))</f>
        <v/>
      </c>
      <c r="R1064" s="47" t="n">
        <f aca="false">IF($P1064="",0,$P1064)</f>
        <v>0</v>
      </c>
    </row>
    <row r="1065" customFormat="false" ht="18" hidden="false" customHeight="true" outlineLevel="0" collapsed="false">
      <c r="A1065" s="39"/>
      <c r="B1065" s="41"/>
      <c r="C1065" s="40"/>
      <c r="D1065" s="40"/>
      <c r="E1065" s="40"/>
      <c r="F1065" s="42"/>
      <c r="G1065" s="39"/>
      <c r="H1065" s="40"/>
      <c r="I1065" s="40"/>
      <c r="J1065" s="40"/>
      <c r="K1065" s="41"/>
      <c r="L1065" s="39"/>
      <c r="M1065" s="48" t="str">
        <f aca="false">IF($E1065="","",IFERROR(INDEX(Parâmetros!$C$15:$C$20,MATCH($P1065,Parâmetros!$B$15:$B$20,0)),""))</f>
        <v/>
      </c>
      <c r="N1065" s="46" t="str">
        <f aca="false">IF($E1065="","",IF($P1065="","",IF($P1065&gt;=8,"Alta",IF($P1065&gt;=5,"Média","Baixa"))))</f>
        <v/>
      </c>
      <c r="O1065" s="46" t="str">
        <f aca="false">IF($E1065="","",IF(AND(Parâmetros!$C$5&gt;0,$P1065&lt;&gt;"",$P1065&gt;=Parâmetros!$C$5),"Sim","Não"))</f>
        <v/>
      </c>
      <c r="P1065" s="45" t="str">
        <f aca="false">IF($E1065="","",IF($G1065="","",IF($G1065="NOK",$F1065,0)))</f>
        <v/>
      </c>
      <c r="Q1065" s="46" t="str">
        <f aca="false">IF($E1065="","",IF($O1065&lt;&gt;"Sim","",COUNTIF($O$3:$O1065,"Sim")))</f>
        <v/>
      </c>
      <c r="R1065" s="47" t="n">
        <f aca="false">IF($P1065="",0,$P1065)</f>
        <v>0</v>
      </c>
    </row>
    <row r="1066" customFormat="false" ht="18" hidden="false" customHeight="true" outlineLevel="0" collapsed="false">
      <c r="A1066" s="39"/>
      <c r="B1066" s="41"/>
      <c r="C1066" s="40"/>
      <c r="D1066" s="40"/>
      <c r="E1066" s="40"/>
      <c r="F1066" s="42"/>
      <c r="G1066" s="39"/>
      <c r="H1066" s="40"/>
      <c r="I1066" s="40"/>
      <c r="J1066" s="40"/>
      <c r="K1066" s="41"/>
      <c r="L1066" s="39"/>
      <c r="M1066" s="48" t="str">
        <f aca="false">IF($E1066="","",IFERROR(INDEX(Parâmetros!$C$15:$C$20,MATCH($P1066,Parâmetros!$B$15:$B$20,0)),""))</f>
        <v/>
      </c>
      <c r="N1066" s="46" t="str">
        <f aca="false">IF($E1066="","",IF($P1066="","",IF($P1066&gt;=8,"Alta",IF($P1066&gt;=5,"Média","Baixa"))))</f>
        <v/>
      </c>
      <c r="O1066" s="46" t="str">
        <f aca="false">IF($E1066="","",IF(AND(Parâmetros!$C$5&gt;0,$P1066&lt;&gt;"",$P1066&gt;=Parâmetros!$C$5),"Sim","Não"))</f>
        <v/>
      </c>
      <c r="P1066" s="45" t="str">
        <f aca="false">IF($E1066="","",IF($G1066="","",IF($G1066="NOK",$F1066,0)))</f>
        <v/>
      </c>
      <c r="Q1066" s="46" t="str">
        <f aca="false">IF($E1066="","",IF($O1066&lt;&gt;"Sim","",COUNTIF($O$3:$O1066,"Sim")))</f>
        <v/>
      </c>
      <c r="R1066" s="47" t="n">
        <f aca="false">IF($P1066="",0,$P1066)</f>
        <v>0</v>
      </c>
    </row>
    <row r="1067" customFormat="false" ht="18" hidden="false" customHeight="true" outlineLevel="0" collapsed="false">
      <c r="A1067" s="39"/>
      <c r="B1067" s="41"/>
      <c r="C1067" s="40"/>
      <c r="D1067" s="40"/>
      <c r="E1067" s="40"/>
      <c r="F1067" s="42"/>
      <c r="G1067" s="39"/>
      <c r="H1067" s="40"/>
      <c r="I1067" s="40"/>
      <c r="J1067" s="40"/>
      <c r="K1067" s="41"/>
      <c r="L1067" s="39"/>
      <c r="M1067" s="48" t="str">
        <f aca="false">IF($E1067="","",IFERROR(INDEX(Parâmetros!$C$15:$C$20,MATCH($P1067,Parâmetros!$B$15:$B$20,0)),""))</f>
        <v/>
      </c>
      <c r="N1067" s="46" t="str">
        <f aca="false">IF($E1067="","",IF($P1067="","",IF($P1067&gt;=8,"Alta",IF($P1067&gt;=5,"Média","Baixa"))))</f>
        <v/>
      </c>
      <c r="O1067" s="46" t="str">
        <f aca="false">IF($E1067="","",IF(AND(Parâmetros!$C$5&gt;0,$P1067&lt;&gt;"",$P1067&gt;=Parâmetros!$C$5),"Sim","Não"))</f>
        <v/>
      </c>
      <c r="P1067" s="45" t="str">
        <f aca="false">IF($E1067="","",IF($G1067="","",IF($G1067="NOK",$F1067,0)))</f>
        <v/>
      </c>
      <c r="Q1067" s="46" t="str">
        <f aca="false">IF($E1067="","",IF($O1067&lt;&gt;"Sim","",COUNTIF($O$3:$O1067,"Sim")))</f>
        <v/>
      </c>
      <c r="R1067" s="47" t="n">
        <f aca="false">IF($P1067="",0,$P1067)</f>
        <v>0</v>
      </c>
    </row>
    <row r="1068" customFormat="false" ht="18" hidden="false" customHeight="true" outlineLevel="0" collapsed="false">
      <c r="A1068" s="39"/>
      <c r="B1068" s="41"/>
      <c r="C1068" s="40"/>
      <c r="D1068" s="40"/>
      <c r="E1068" s="40"/>
      <c r="F1068" s="42"/>
      <c r="G1068" s="39"/>
      <c r="H1068" s="40"/>
      <c r="I1068" s="40"/>
      <c r="J1068" s="40"/>
      <c r="K1068" s="41"/>
      <c r="L1068" s="39"/>
      <c r="M1068" s="48" t="str">
        <f aca="false">IF($E1068="","",IFERROR(INDEX(Parâmetros!$C$15:$C$20,MATCH($P1068,Parâmetros!$B$15:$B$20,0)),""))</f>
        <v/>
      </c>
      <c r="N1068" s="46" t="str">
        <f aca="false">IF($E1068="","",IF($P1068="","",IF($P1068&gt;=8,"Alta",IF($P1068&gt;=5,"Média","Baixa"))))</f>
        <v/>
      </c>
      <c r="O1068" s="46" t="str">
        <f aca="false">IF($E1068="","",IF(AND(Parâmetros!$C$5&gt;0,$P1068&lt;&gt;"",$P1068&gt;=Parâmetros!$C$5),"Sim","Não"))</f>
        <v/>
      </c>
      <c r="P1068" s="45" t="str">
        <f aca="false">IF($E1068="","",IF($G1068="","",IF($G1068="NOK",$F1068,0)))</f>
        <v/>
      </c>
      <c r="Q1068" s="46" t="str">
        <f aca="false">IF($E1068="","",IF($O1068&lt;&gt;"Sim","",COUNTIF($O$3:$O1068,"Sim")))</f>
        <v/>
      </c>
      <c r="R1068" s="47" t="n">
        <f aca="false">IF($P1068="",0,$P1068)</f>
        <v>0</v>
      </c>
    </row>
    <row r="1069" customFormat="false" ht="18" hidden="false" customHeight="true" outlineLevel="0" collapsed="false">
      <c r="A1069" s="39"/>
      <c r="B1069" s="41"/>
      <c r="C1069" s="40"/>
      <c r="D1069" s="40"/>
      <c r="E1069" s="40"/>
      <c r="F1069" s="42"/>
      <c r="G1069" s="39"/>
      <c r="H1069" s="40"/>
      <c r="I1069" s="40"/>
      <c r="J1069" s="40"/>
      <c r="K1069" s="41"/>
      <c r="L1069" s="39"/>
      <c r="M1069" s="48" t="str">
        <f aca="false">IF($E1069="","",IFERROR(INDEX(Parâmetros!$C$15:$C$20,MATCH($P1069,Parâmetros!$B$15:$B$20,0)),""))</f>
        <v/>
      </c>
      <c r="N1069" s="46" t="str">
        <f aca="false">IF($E1069="","",IF($P1069="","",IF($P1069&gt;=8,"Alta",IF($P1069&gt;=5,"Média","Baixa"))))</f>
        <v/>
      </c>
      <c r="O1069" s="46" t="str">
        <f aca="false">IF($E1069="","",IF(AND(Parâmetros!$C$5&gt;0,$P1069&lt;&gt;"",$P1069&gt;=Parâmetros!$C$5),"Sim","Não"))</f>
        <v/>
      </c>
      <c r="P1069" s="45" t="str">
        <f aca="false">IF($E1069="","",IF($G1069="","",IF($G1069="NOK",$F1069,0)))</f>
        <v/>
      </c>
      <c r="Q1069" s="46" t="str">
        <f aca="false">IF($E1069="","",IF($O1069&lt;&gt;"Sim","",COUNTIF($O$3:$O1069,"Sim")))</f>
        <v/>
      </c>
      <c r="R1069" s="47" t="n">
        <f aca="false">IF($P1069="",0,$P1069)</f>
        <v>0</v>
      </c>
    </row>
    <row r="1070" customFormat="false" ht="18" hidden="false" customHeight="true" outlineLevel="0" collapsed="false">
      <c r="A1070" s="39"/>
      <c r="B1070" s="41"/>
      <c r="C1070" s="40"/>
      <c r="D1070" s="40"/>
      <c r="E1070" s="40"/>
      <c r="F1070" s="42"/>
      <c r="G1070" s="39"/>
      <c r="H1070" s="40"/>
      <c r="I1070" s="40"/>
      <c r="J1070" s="40"/>
      <c r="K1070" s="41"/>
      <c r="L1070" s="39"/>
      <c r="M1070" s="48" t="str">
        <f aca="false">IF($E1070="","",IFERROR(INDEX(Parâmetros!$C$15:$C$20,MATCH($P1070,Parâmetros!$B$15:$B$20,0)),""))</f>
        <v/>
      </c>
      <c r="N1070" s="46" t="str">
        <f aca="false">IF($E1070="","",IF($P1070="","",IF($P1070&gt;=8,"Alta",IF($P1070&gt;=5,"Média","Baixa"))))</f>
        <v/>
      </c>
      <c r="O1070" s="46" t="str">
        <f aca="false">IF($E1070="","",IF(AND(Parâmetros!$C$5&gt;0,$P1070&lt;&gt;"",$P1070&gt;=Parâmetros!$C$5),"Sim","Não"))</f>
        <v/>
      </c>
      <c r="P1070" s="45" t="str">
        <f aca="false">IF($E1070="","",IF($G1070="","",IF($G1070="NOK",$F1070,0)))</f>
        <v/>
      </c>
      <c r="Q1070" s="46" t="str">
        <f aca="false">IF($E1070="","",IF($O1070&lt;&gt;"Sim","",COUNTIF($O$3:$O1070,"Sim")))</f>
        <v/>
      </c>
      <c r="R1070" s="47" t="n">
        <f aca="false">IF($P1070="",0,$P1070)</f>
        <v>0</v>
      </c>
    </row>
    <row r="1071" customFormat="false" ht="18" hidden="false" customHeight="true" outlineLevel="0" collapsed="false">
      <c r="A1071" s="39"/>
      <c r="B1071" s="41"/>
      <c r="C1071" s="40"/>
      <c r="D1071" s="40"/>
      <c r="E1071" s="40"/>
      <c r="F1071" s="42"/>
      <c r="G1071" s="39"/>
      <c r="H1071" s="40"/>
      <c r="I1071" s="40"/>
      <c r="J1071" s="40"/>
      <c r="K1071" s="41"/>
      <c r="L1071" s="39"/>
      <c r="M1071" s="48" t="str">
        <f aca="false">IF($E1071="","",IFERROR(INDEX(Parâmetros!$C$15:$C$20,MATCH($P1071,Parâmetros!$B$15:$B$20,0)),""))</f>
        <v/>
      </c>
      <c r="N1071" s="46" t="str">
        <f aca="false">IF($E1071="","",IF($P1071="","",IF($P1071&gt;=8,"Alta",IF($P1071&gt;=5,"Média","Baixa"))))</f>
        <v/>
      </c>
      <c r="O1071" s="46" t="str">
        <f aca="false">IF($E1071="","",IF(AND(Parâmetros!$C$5&gt;0,$P1071&lt;&gt;"",$P1071&gt;=Parâmetros!$C$5),"Sim","Não"))</f>
        <v/>
      </c>
      <c r="P1071" s="45" t="str">
        <f aca="false">IF($E1071="","",IF($G1071="","",IF($G1071="NOK",$F1071,0)))</f>
        <v/>
      </c>
      <c r="Q1071" s="46" t="str">
        <f aca="false">IF($E1071="","",IF($O1071&lt;&gt;"Sim","",COUNTIF($O$3:$O1071,"Sim")))</f>
        <v/>
      </c>
      <c r="R1071" s="47" t="n">
        <f aca="false">IF($P1071="",0,$P1071)</f>
        <v>0</v>
      </c>
    </row>
    <row r="1072" customFormat="false" ht="18" hidden="false" customHeight="true" outlineLevel="0" collapsed="false">
      <c r="A1072" s="39"/>
      <c r="B1072" s="41"/>
      <c r="C1072" s="40"/>
      <c r="D1072" s="40"/>
      <c r="E1072" s="40"/>
      <c r="F1072" s="42"/>
      <c r="G1072" s="39"/>
      <c r="H1072" s="40"/>
      <c r="I1072" s="40"/>
      <c r="J1072" s="40"/>
      <c r="K1072" s="41"/>
      <c r="L1072" s="39"/>
      <c r="M1072" s="48" t="str">
        <f aca="false">IF($E1072="","",IFERROR(INDEX(Parâmetros!$C$15:$C$20,MATCH($P1072,Parâmetros!$B$15:$B$20,0)),""))</f>
        <v/>
      </c>
      <c r="N1072" s="46" t="str">
        <f aca="false">IF($E1072="","",IF($P1072="","",IF($P1072&gt;=8,"Alta",IF($P1072&gt;=5,"Média","Baixa"))))</f>
        <v/>
      </c>
      <c r="O1072" s="46" t="str">
        <f aca="false">IF($E1072="","",IF(AND(Parâmetros!$C$5&gt;0,$P1072&lt;&gt;"",$P1072&gt;=Parâmetros!$C$5),"Sim","Não"))</f>
        <v/>
      </c>
      <c r="P1072" s="45" t="str">
        <f aca="false">IF($E1072="","",IF($G1072="","",IF($G1072="NOK",$F1072,0)))</f>
        <v/>
      </c>
      <c r="Q1072" s="46" t="str">
        <f aca="false">IF($E1072="","",IF($O1072&lt;&gt;"Sim","",COUNTIF($O$3:$O1072,"Sim")))</f>
        <v/>
      </c>
      <c r="R1072" s="47" t="n">
        <f aca="false">IF($P1072="",0,$P1072)</f>
        <v>0</v>
      </c>
    </row>
    <row r="1073" customFormat="false" ht="18" hidden="false" customHeight="true" outlineLevel="0" collapsed="false">
      <c r="A1073" s="39"/>
      <c r="B1073" s="41"/>
      <c r="C1073" s="40"/>
      <c r="D1073" s="40"/>
      <c r="E1073" s="40"/>
      <c r="F1073" s="42"/>
      <c r="G1073" s="39"/>
      <c r="H1073" s="40"/>
      <c r="I1073" s="40"/>
      <c r="J1073" s="40"/>
      <c r="K1073" s="41"/>
      <c r="L1073" s="39"/>
      <c r="M1073" s="48" t="str">
        <f aca="false">IF($E1073="","",IFERROR(INDEX(Parâmetros!$C$15:$C$20,MATCH($P1073,Parâmetros!$B$15:$B$20,0)),""))</f>
        <v/>
      </c>
      <c r="N1073" s="46" t="str">
        <f aca="false">IF($E1073="","",IF($P1073="","",IF($P1073&gt;=8,"Alta",IF($P1073&gt;=5,"Média","Baixa"))))</f>
        <v/>
      </c>
      <c r="O1073" s="46" t="str">
        <f aca="false">IF($E1073="","",IF(AND(Parâmetros!$C$5&gt;0,$P1073&lt;&gt;"",$P1073&gt;=Parâmetros!$C$5),"Sim","Não"))</f>
        <v/>
      </c>
      <c r="P1073" s="45" t="str">
        <f aca="false">IF($E1073="","",IF($G1073="","",IF($G1073="NOK",$F1073,0)))</f>
        <v/>
      </c>
      <c r="Q1073" s="46" t="str">
        <f aca="false">IF($E1073="","",IF($O1073&lt;&gt;"Sim","",COUNTIF($O$3:$O1073,"Sim")))</f>
        <v/>
      </c>
      <c r="R1073" s="47" t="n">
        <f aca="false">IF($P1073="",0,$P1073)</f>
        <v>0</v>
      </c>
    </row>
    <row r="1074" customFormat="false" ht="18" hidden="false" customHeight="true" outlineLevel="0" collapsed="false">
      <c r="A1074" s="39"/>
      <c r="B1074" s="41"/>
      <c r="C1074" s="40"/>
      <c r="D1074" s="40"/>
      <c r="E1074" s="40"/>
      <c r="F1074" s="42"/>
      <c r="G1074" s="39"/>
      <c r="H1074" s="40"/>
      <c r="I1074" s="40"/>
      <c r="J1074" s="40"/>
      <c r="K1074" s="41"/>
      <c r="L1074" s="39"/>
      <c r="M1074" s="48" t="str">
        <f aca="false">IF($E1074="","",IFERROR(INDEX(Parâmetros!$C$15:$C$20,MATCH($P1074,Parâmetros!$B$15:$B$20,0)),""))</f>
        <v/>
      </c>
      <c r="N1074" s="46" t="str">
        <f aca="false">IF($E1074="","",IF($P1074="","",IF($P1074&gt;=8,"Alta",IF($P1074&gt;=5,"Média","Baixa"))))</f>
        <v/>
      </c>
      <c r="O1074" s="46" t="str">
        <f aca="false">IF($E1074="","",IF(AND(Parâmetros!$C$5&gt;0,$P1074&lt;&gt;"",$P1074&gt;=Parâmetros!$C$5),"Sim","Não"))</f>
        <v/>
      </c>
      <c r="P1074" s="45" t="str">
        <f aca="false">IF($E1074="","",IF($G1074="","",IF($G1074="NOK",$F1074,0)))</f>
        <v/>
      </c>
      <c r="Q1074" s="46" t="str">
        <f aca="false">IF($E1074="","",IF($O1074&lt;&gt;"Sim","",COUNTIF($O$3:$O1074,"Sim")))</f>
        <v/>
      </c>
      <c r="R1074" s="47" t="n">
        <f aca="false">IF($P1074="",0,$P1074)</f>
        <v>0</v>
      </c>
    </row>
    <row r="1075" customFormat="false" ht="18" hidden="false" customHeight="true" outlineLevel="0" collapsed="false">
      <c r="A1075" s="39"/>
      <c r="B1075" s="41"/>
      <c r="C1075" s="40"/>
      <c r="D1075" s="40"/>
      <c r="E1075" s="40"/>
      <c r="F1075" s="42"/>
      <c r="G1075" s="39"/>
      <c r="H1075" s="40"/>
      <c r="I1075" s="40"/>
      <c r="J1075" s="40"/>
      <c r="K1075" s="41"/>
      <c r="L1075" s="39"/>
      <c r="M1075" s="48" t="str">
        <f aca="false">IF($E1075="","",IFERROR(INDEX(Parâmetros!$C$15:$C$20,MATCH($P1075,Parâmetros!$B$15:$B$20,0)),""))</f>
        <v/>
      </c>
      <c r="N1075" s="46" t="str">
        <f aca="false">IF($E1075="","",IF($P1075="","",IF($P1075&gt;=8,"Alta",IF($P1075&gt;=5,"Média","Baixa"))))</f>
        <v/>
      </c>
      <c r="O1075" s="46" t="str">
        <f aca="false">IF($E1075="","",IF(AND(Parâmetros!$C$5&gt;0,$P1075&lt;&gt;"",$P1075&gt;=Parâmetros!$C$5),"Sim","Não"))</f>
        <v/>
      </c>
      <c r="P1075" s="45" t="str">
        <f aca="false">IF($E1075="","",IF($G1075="","",IF($G1075="NOK",$F1075,0)))</f>
        <v/>
      </c>
      <c r="Q1075" s="46" t="str">
        <f aca="false">IF($E1075="","",IF($O1075&lt;&gt;"Sim","",COUNTIF($O$3:$O1075,"Sim")))</f>
        <v/>
      </c>
      <c r="R1075" s="47" t="n">
        <f aca="false">IF($P1075="",0,$P1075)</f>
        <v>0</v>
      </c>
    </row>
    <row r="1076" customFormat="false" ht="18" hidden="false" customHeight="true" outlineLevel="0" collapsed="false">
      <c r="A1076" s="39"/>
      <c r="B1076" s="41"/>
      <c r="C1076" s="40"/>
      <c r="D1076" s="40"/>
      <c r="E1076" s="40"/>
      <c r="F1076" s="42"/>
      <c r="G1076" s="39"/>
      <c r="H1076" s="40"/>
      <c r="I1076" s="40"/>
      <c r="J1076" s="40"/>
      <c r="K1076" s="41"/>
      <c r="L1076" s="39"/>
      <c r="M1076" s="48" t="str">
        <f aca="false">IF($E1076="","",IFERROR(INDEX(Parâmetros!$C$15:$C$20,MATCH($P1076,Parâmetros!$B$15:$B$20,0)),""))</f>
        <v/>
      </c>
      <c r="N1076" s="46" t="str">
        <f aca="false">IF($E1076="","",IF($P1076="","",IF($P1076&gt;=8,"Alta",IF($P1076&gt;=5,"Média","Baixa"))))</f>
        <v/>
      </c>
      <c r="O1076" s="46" t="str">
        <f aca="false">IF($E1076="","",IF(AND(Parâmetros!$C$5&gt;0,$P1076&lt;&gt;"",$P1076&gt;=Parâmetros!$C$5),"Sim","Não"))</f>
        <v/>
      </c>
      <c r="P1076" s="45" t="str">
        <f aca="false">IF($E1076="","",IF($G1076="","",IF($G1076="NOK",$F1076,0)))</f>
        <v/>
      </c>
      <c r="Q1076" s="46" t="str">
        <f aca="false">IF($E1076="","",IF($O1076&lt;&gt;"Sim","",COUNTIF($O$3:$O1076,"Sim")))</f>
        <v/>
      </c>
      <c r="R1076" s="47" t="n">
        <f aca="false">IF($P1076="",0,$P1076)</f>
        <v>0</v>
      </c>
    </row>
    <row r="1077" customFormat="false" ht="18" hidden="false" customHeight="true" outlineLevel="0" collapsed="false">
      <c r="A1077" s="39"/>
      <c r="B1077" s="41"/>
      <c r="C1077" s="40"/>
      <c r="D1077" s="40"/>
      <c r="E1077" s="40"/>
      <c r="F1077" s="42"/>
      <c r="G1077" s="39"/>
      <c r="H1077" s="40"/>
      <c r="I1077" s="40"/>
      <c r="J1077" s="40"/>
      <c r="K1077" s="41"/>
      <c r="L1077" s="39"/>
      <c r="M1077" s="48" t="str">
        <f aca="false">IF($E1077="","",IFERROR(INDEX(Parâmetros!$C$15:$C$20,MATCH($P1077,Parâmetros!$B$15:$B$20,0)),""))</f>
        <v/>
      </c>
      <c r="N1077" s="46" t="str">
        <f aca="false">IF($E1077="","",IF($P1077="","",IF($P1077&gt;=8,"Alta",IF($P1077&gt;=5,"Média","Baixa"))))</f>
        <v/>
      </c>
      <c r="O1077" s="46" t="str">
        <f aca="false">IF($E1077="","",IF(AND(Parâmetros!$C$5&gt;0,$P1077&lt;&gt;"",$P1077&gt;=Parâmetros!$C$5),"Sim","Não"))</f>
        <v/>
      </c>
      <c r="P1077" s="45" t="str">
        <f aca="false">IF($E1077="","",IF($G1077="","",IF($G1077="NOK",$F1077,0)))</f>
        <v/>
      </c>
      <c r="Q1077" s="46" t="str">
        <f aca="false">IF($E1077="","",IF($O1077&lt;&gt;"Sim","",COUNTIF($O$3:$O1077,"Sim")))</f>
        <v/>
      </c>
      <c r="R1077" s="47" t="n">
        <f aca="false">IF($P1077="",0,$P1077)</f>
        <v>0</v>
      </c>
    </row>
    <row r="1078" customFormat="false" ht="18" hidden="false" customHeight="true" outlineLevel="0" collapsed="false">
      <c r="A1078" s="39"/>
      <c r="B1078" s="41"/>
      <c r="C1078" s="40"/>
      <c r="D1078" s="40"/>
      <c r="E1078" s="40"/>
      <c r="F1078" s="42"/>
      <c r="G1078" s="39"/>
      <c r="H1078" s="40"/>
      <c r="I1078" s="40"/>
      <c r="J1078" s="40"/>
      <c r="K1078" s="41"/>
      <c r="L1078" s="39"/>
      <c r="M1078" s="48" t="str">
        <f aca="false">IF($E1078="","",IFERROR(INDEX(Parâmetros!$C$15:$C$20,MATCH($P1078,Parâmetros!$B$15:$B$20,0)),""))</f>
        <v/>
      </c>
      <c r="N1078" s="46" t="str">
        <f aca="false">IF($E1078="","",IF($P1078="","",IF($P1078&gt;=8,"Alta",IF($P1078&gt;=5,"Média","Baixa"))))</f>
        <v/>
      </c>
      <c r="O1078" s="46" t="str">
        <f aca="false">IF($E1078="","",IF(AND(Parâmetros!$C$5&gt;0,$P1078&lt;&gt;"",$P1078&gt;=Parâmetros!$C$5),"Sim","Não"))</f>
        <v/>
      </c>
      <c r="P1078" s="45" t="str">
        <f aca="false">IF($E1078="","",IF($G1078="","",IF($G1078="NOK",$F1078,0)))</f>
        <v/>
      </c>
      <c r="Q1078" s="46" t="str">
        <f aca="false">IF($E1078="","",IF($O1078&lt;&gt;"Sim","",COUNTIF($O$3:$O1078,"Sim")))</f>
        <v/>
      </c>
      <c r="R1078" s="47" t="n">
        <f aca="false">IF($P1078="",0,$P1078)</f>
        <v>0</v>
      </c>
    </row>
    <row r="1079" customFormat="false" ht="18" hidden="false" customHeight="true" outlineLevel="0" collapsed="false">
      <c r="A1079" s="39"/>
      <c r="B1079" s="41"/>
      <c r="C1079" s="40"/>
      <c r="D1079" s="40"/>
      <c r="E1079" s="40"/>
      <c r="F1079" s="42"/>
      <c r="G1079" s="39"/>
      <c r="H1079" s="40"/>
      <c r="I1079" s="40"/>
      <c r="J1079" s="40"/>
      <c r="K1079" s="41"/>
      <c r="L1079" s="39"/>
      <c r="M1079" s="48" t="str">
        <f aca="false">IF($E1079="","",IFERROR(INDEX(Parâmetros!$C$15:$C$20,MATCH($P1079,Parâmetros!$B$15:$B$20,0)),""))</f>
        <v/>
      </c>
      <c r="N1079" s="46" t="str">
        <f aca="false">IF($E1079="","",IF($P1079="","",IF($P1079&gt;=8,"Alta",IF($P1079&gt;=5,"Média","Baixa"))))</f>
        <v/>
      </c>
      <c r="O1079" s="46" t="str">
        <f aca="false">IF($E1079="","",IF(AND(Parâmetros!$C$5&gt;0,$P1079&lt;&gt;"",$P1079&gt;=Parâmetros!$C$5),"Sim","Não"))</f>
        <v/>
      </c>
      <c r="P1079" s="45" t="str">
        <f aca="false">IF($E1079="","",IF($G1079="","",IF($G1079="NOK",$F1079,0)))</f>
        <v/>
      </c>
      <c r="Q1079" s="46" t="str">
        <f aca="false">IF($E1079="","",IF($O1079&lt;&gt;"Sim","",COUNTIF($O$3:$O1079,"Sim")))</f>
        <v/>
      </c>
      <c r="R1079" s="47" t="n">
        <f aca="false">IF($P1079="",0,$P1079)</f>
        <v>0</v>
      </c>
    </row>
    <row r="1080" customFormat="false" ht="18" hidden="false" customHeight="true" outlineLevel="0" collapsed="false">
      <c r="A1080" s="39"/>
      <c r="B1080" s="41"/>
      <c r="C1080" s="40"/>
      <c r="D1080" s="40"/>
      <c r="E1080" s="40"/>
      <c r="F1080" s="42"/>
      <c r="G1080" s="39"/>
      <c r="H1080" s="40"/>
      <c r="I1080" s="40"/>
      <c r="J1080" s="40"/>
      <c r="K1080" s="41"/>
      <c r="L1080" s="39"/>
      <c r="M1080" s="48" t="str">
        <f aca="false">IF($E1080="","",IFERROR(INDEX(Parâmetros!$C$15:$C$20,MATCH($P1080,Parâmetros!$B$15:$B$20,0)),""))</f>
        <v/>
      </c>
      <c r="N1080" s="46" t="str">
        <f aca="false">IF($E1080="","",IF($P1080="","",IF($P1080&gt;=8,"Alta",IF($P1080&gt;=5,"Média","Baixa"))))</f>
        <v/>
      </c>
      <c r="O1080" s="46" t="str">
        <f aca="false">IF($E1080="","",IF(AND(Parâmetros!$C$5&gt;0,$P1080&lt;&gt;"",$P1080&gt;=Parâmetros!$C$5),"Sim","Não"))</f>
        <v/>
      </c>
      <c r="P1080" s="45" t="str">
        <f aca="false">IF($E1080="","",IF($G1080="","",IF($G1080="NOK",$F1080,0)))</f>
        <v/>
      </c>
      <c r="Q1080" s="46" t="str">
        <f aca="false">IF($E1080="","",IF($O1080&lt;&gt;"Sim","",COUNTIF($O$3:$O1080,"Sim")))</f>
        <v/>
      </c>
      <c r="R1080" s="47" t="n">
        <f aca="false">IF($P1080="",0,$P1080)</f>
        <v>0</v>
      </c>
    </row>
    <row r="1081" customFormat="false" ht="18" hidden="false" customHeight="true" outlineLevel="0" collapsed="false">
      <c r="A1081" s="39"/>
      <c r="B1081" s="41"/>
      <c r="C1081" s="40"/>
      <c r="D1081" s="40"/>
      <c r="E1081" s="40"/>
      <c r="F1081" s="42"/>
      <c r="G1081" s="39"/>
      <c r="H1081" s="40"/>
      <c r="I1081" s="40"/>
      <c r="J1081" s="40"/>
      <c r="K1081" s="41"/>
      <c r="L1081" s="39"/>
      <c r="M1081" s="48" t="str">
        <f aca="false">IF($E1081="","",IFERROR(INDEX(Parâmetros!$C$15:$C$20,MATCH($P1081,Parâmetros!$B$15:$B$20,0)),""))</f>
        <v/>
      </c>
      <c r="N1081" s="46" t="str">
        <f aca="false">IF($E1081="","",IF($P1081="","",IF($P1081&gt;=8,"Alta",IF($P1081&gt;=5,"Média","Baixa"))))</f>
        <v/>
      </c>
      <c r="O1081" s="46" t="str">
        <f aca="false">IF($E1081="","",IF(AND(Parâmetros!$C$5&gt;0,$P1081&lt;&gt;"",$P1081&gt;=Parâmetros!$C$5),"Sim","Não"))</f>
        <v/>
      </c>
      <c r="P1081" s="45" t="str">
        <f aca="false">IF($E1081="","",IF($G1081="","",IF($G1081="NOK",$F1081,0)))</f>
        <v/>
      </c>
      <c r="Q1081" s="46" t="str">
        <f aca="false">IF($E1081="","",IF($O1081&lt;&gt;"Sim","",COUNTIF($O$3:$O1081,"Sim")))</f>
        <v/>
      </c>
      <c r="R1081" s="47" t="n">
        <f aca="false">IF($P1081="",0,$P1081)</f>
        <v>0</v>
      </c>
    </row>
    <row r="1082" customFormat="false" ht="18" hidden="false" customHeight="true" outlineLevel="0" collapsed="false">
      <c r="A1082" s="39"/>
      <c r="B1082" s="41"/>
      <c r="C1082" s="40"/>
      <c r="D1082" s="40"/>
      <c r="E1082" s="40"/>
      <c r="F1082" s="42"/>
      <c r="G1082" s="39"/>
      <c r="H1082" s="40"/>
      <c r="I1082" s="40"/>
      <c r="J1082" s="40"/>
      <c r="K1082" s="41"/>
      <c r="L1082" s="39"/>
      <c r="M1082" s="48" t="str">
        <f aca="false">IF($E1082="","",IFERROR(INDEX(Parâmetros!$C$15:$C$20,MATCH($P1082,Parâmetros!$B$15:$B$20,0)),""))</f>
        <v/>
      </c>
      <c r="N1082" s="46" t="str">
        <f aca="false">IF($E1082="","",IF($P1082="","",IF($P1082&gt;=8,"Alta",IF($P1082&gt;=5,"Média","Baixa"))))</f>
        <v/>
      </c>
      <c r="O1082" s="46" t="str">
        <f aca="false">IF($E1082="","",IF(AND(Parâmetros!$C$5&gt;0,$P1082&lt;&gt;"",$P1082&gt;=Parâmetros!$C$5),"Sim","Não"))</f>
        <v/>
      </c>
      <c r="P1082" s="45" t="str">
        <f aca="false">IF($E1082="","",IF($G1082="","",IF($G1082="NOK",$F1082,0)))</f>
        <v/>
      </c>
      <c r="Q1082" s="46" t="str">
        <f aca="false">IF($E1082="","",IF($O1082&lt;&gt;"Sim","",COUNTIF($O$3:$O1082,"Sim")))</f>
        <v/>
      </c>
      <c r="R1082" s="47" t="n">
        <f aca="false">IF($P1082="",0,$P1082)</f>
        <v>0</v>
      </c>
    </row>
    <row r="1083" customFormat="false" ht="18" hidden="false" customHeight="true" outlineLevel="0" collapsed="false">
      <c r="A1083" s="39"/>
      <c r="B1083" s="41"/>
      <c r="C1083" s="40"/>
      <c r="D1083" s="40"/>
      <c r="E1083" s="40"/>
      <c r="F1083" s="42"/>
      <c r="G1083" s="39"/>
      <c r="H1083" s="40"/>
      <c r="I1083" s="40"/>
      <c r="J1083" s="40"/>
      <c r="K1083" s="41"/>
      <c r="L1083" s="39"/>
      <c r="M1083" s="48" t="str">
        <f aca="false">IF($E1083="","",IFERROR(INDEX(Parâmetros!$C$15:$C$20,MATCH($P1083,Parâmetros!$B$15:$B$20,0)),""))</f>
        <v/>
      </c>
      <c r="N1083" s="46" t="str">
        <f aca="false">IF($E1083="","",IF($P1083="","",IF($P1083&gt;=8,"Alta",IF($P1083&gt;=5,"Média","Baixa"))))</f>
        <v/>
      </c>
      <c r="O1083" s="46" t="str">
        <f aca="false">IF($E1083="","",IF(AND(Parâmetros!$C$5&gt;0,$P1083&lt;&gt;"",$P1083&gt;=Parâmetros!$C$5),"Sim","Não"))</f>
        <v/>
      </c>
      <c r="P1083" s="45" t="str">
        <f aca="false">IF($E1083="","",IF($G1083="","",IF($G1083="NOK",$F1083,0)))</f>
        <v/>
      </c>
      <c r="Q1083" s="46" t="str">
        <f aca="false">IF($E1083="","",IF($O1083&lt;&gt;"Sim","",COUNTIF($O$3:$O1083,"Sim")))</f>
        <v/>
      </c>
      <c r="R1083" s="47" t="n">
        <f aca="false">IF($P1083="",0,$P1083)</f>
        <v>0</v>
      </c>
    </row>
    <row r="1084" customFormat="false" ht="18" hidden="false" customHeight="true" outlineLevel="0" collapsed="false">
      <c r="A1084" s="39"/>
      <c r="B1084" s="41"/>
      <c r="C1084" s="40"/>
      <c r="D1084" s="40"/>
      <c r="E1084" s="40"/>
      <c r="F1084" s="42"/>
      <c r="G1084" s="39"/>
      <c r="H1084" s="40"/>
      <c r="I1084" s="40"/>
      <c r="J1084" s="40"/>
      <c r="K1084" s="41"/>
      <c r="L1084" s="39"/>
      <c r="M1084" s="48" t="str">
        <f aca="false">IF($E1084="","",IFERROR(INDEX(Parâmetros!$C$15:$C$20,MATCH($P1084,Parâmetros!$B$15:$B$20,0)),""))</f>
        <v/>
      </c>
      <c r="N1084" s="46" t="str">
        <f aca="false">IF($E1084="","",IF($P1084="","",IF($P1084&gt;=8,"Alta",IF($P1084&gt;=5,"Média","Baixa"))))</f>
        <v/>
      </c>
      <c r="O1084" s="46" t="str">
        <f aca="false">IF($E1084="","",IF(AND(Parâmetros!$C$5&gt;0,$P1084&lt;&gt;"",$P1084&gt;=Parâmetros!$C$5),"Sim","Não"))</f>
        <v/>
      </c>
      <c r="P1084" s="45" t="str">
        <f aca="false">IF($E1084="","",IF($G1084="","",IF($G1084="NOK",$F1084,0)))</f>
        <v/>
      </c>
      <c r="Q1084" s="46" t="str">
        <f aca="false">IF($E1084="","",IF($O1084&lt;&gt;"Sim","",COUNTIF($O$3:$O1084,"Sim")))</f>
        <v/>
      </c>
      <c r="R1084" s="47" t="n">
        <f aca="false">IF($P1084="",0,$P1084)</f>
        <v>0</v>
      </c>
    </row>
    <row r="1085" customFormat="false" ht="18" hidden="false" customHeight="true" outlineLevel="0" collapsed="false">
      <c r="A1085" s="39"/>
      <c r="B1085" s="41"/>
      <c r="C1085" s="40"/>
      <c r="D1085" s="40"/>
      <c r="E1085" s="40"/>
      <c r="F1085" s="42"/>
      <c r="G1085" s="39"/>
      <c r="H1085" s="40"/>
      <c r="I1085" s="40"/>
      <c r="J1085" s="40"/>
      <c r="K1085" s="41"/>
      <c r="L1085" s="39"/>
      <c r="M1085" s="48" t="str">
        <f aca="false">IF($E1085="","",IFERROR(INDEX(Parâmetros!$C$15:$C$20,MATCH($P1085,Parâmetros!$B$15:$B$20,0)),""))</f>
        <v/>
      </c>
      <c r="N1085" s="46" t="str">
        <f aca="false">IF($E1085="","",IF($P1085="","",IF($P1085&gt;=8,"Alta",IF($P1085&gt;=5,"Média","Baixa"))))</f>
        <v/>
      </c>
      <c r="O1085" s="46" t="str">
        <f aca="false">IF($E1085="","",IF(AND(Parâmetros!$C$5&gt;0,$P1085&lt;&gt;"",$P1085&gt;=Parâmetros!$C$5),"Sim","Não"))</f>
        <v/>
      </c>
      <c r="P1085" s="45" t="str">
        <f aca="false">IF($E1085="","",IF($G1085="","",IF($G1085="NOK",$F1085,0)))</f>
        <v/>
      </c>
      <c r="Q1085" s="46" t="str">
        <f aca="false">IF($E1085="","",IF($O1085&lt;&gt;"Sim","",COUNTIF($O$3:$O1085,"Sim")))</f>
        <v/>
      </c>
      <c r="R1085" s="47" t="n">
        <f aca="false">IF($P1085="",0,$P1085)</f>
        <v>0</v>
      </c>
    </row>
    <row r="1086" customFormat="false" ht="18" hidden="false" customHeight="true" outlineLevel="0" collapsed="false">
      <c r="A1086" s="39"/>
      <c r="B1086" s="41"/>
      <c r="C1086" s="40"/>
      <c r="D1086" s="40"/>
      <c r="E1086" s="40"/>
      <c r="F1086" s="42"/>
      <c r="G1086" s="39"/>
      <c r="H1086" s="40"/>
      <c r="I1086" s="40"/>
      <c r="J1086" s="40"/>
      <c r="K1086" s="41"/>
      <c r="L1086" s="39"/>
      <c r="M1086" s="48" t="str">
        <f aca="false">IF($E1086="","",IFERROR(INDEX(Parâmetros!$C$15:$C$20,MATCH($P1086,Parâmetros!$B$15:$B$20,0)),""))</f>
        <v/>
      </c>
      <c r="N1086" s="46" t="str">
        <f aca="false">IF($E1086="","",IF($P1086="","",IF($P1086&gt;=8,"Alta",IF($P1086&gt;=5,"Média","Baixa"))))</f>
        <v/>
      </c>
      <c r="O1086" s="46" t="str">
        <f aca="false">IF($E1086="","",IF(AND(Parâmetros!$C$5&gt;0,$P1086&lt;&gt;"",$P1086&gt;=Parâmetros!$C$5),"Sim","Não"))</f>
        <v/>
      </c>
      <c r="P1086" s="45" t="str">
        <f aca="false">IF($E1086="","",IF($G1086="","",IF($G1086="NOK",$F1086,0)))</f>
        <v/>
      </c>
      <c r="Q1086" s="46" t="str">
        <f aca="false">IF($E1086="","",IF($O1086&lt;&gt;"Sim","",COUNTIF($O$3:$O1086,"Sim")))</f>
        <v/>
      </c>
      <c r="R1086" s="47" t="n">
        <f aca="false">IF($P1086="",0,$P1086)</f>
        <v>0</v>
      </c>
    </row>
    <row r="1087" customFormat="false" ht="18" hidden="false" customHeight="true" outlineLevel="0" collapsed="false">
      <c r="A1087" s="39"/>
      <c r="B1087" s="41"/>
      <c r="C1087" s="40"/>
      <c r="D1087" s="40"/>
      <c r="E1087" s="40"/>
      <c r="F1087" s="42"/>
      <c r="G1087" s="39"/>
      <c r="H1087" s="40"/>
      <c r="I1087" s="40"/>
      <c r="J1087" s="40"/>
      <c r="K1087" s="41"/>
      <c r="L1087" s="39"/>
      <c r="M1087" s="48" t="str">
        <f aca="false">IF($E1087="","",IFERROR(INDEX(Parâmetros!$C$15:$C$20,MATCH($P1087,Parâmetros!$B$15:$B$20,0)),""))</f>
        <v/>
      </c>
      <c r="N1087" s="46" t="str">
        <f aca="false">IF($E1087="","",IF($P1087="","",IF($P1087&gt;=8,"Alta",IF($P1087&gt;=5,"Média","Baixa"))))</f>
        <v/>
      </c>
      <c r="O1087" s="46" t="str">
        <f aca="false">IF($E1087="","",IF(AND(Parâmetros!$C$5&gt;0,$P1087&lt;&gt;"",$P1087&gt;=Parâmetros!$C$5),"Sim","Não"))</f>
        <v/>
      </c>
      <c r="P1087" s="45" t="str">
        <f aca="false">IF($E1087="","",IF($G1087="","",IF($G1087="NOK",$F1087,0)))</f>
        <v/>
      </c>
      <c r="Q1087" s="46" t="str">
        <f aca="false">IF($E1087="","",IF($O1087&lt;&gt;"Sim","",COUNTIF($O$3:$O1087,"Sim")))</f>
        <v/>
      </c>
      <c r="R1087" s="47" t="n">
        <f aca="false">IF($P1087="",0,$P1087)</f>
        <v>0</v>
      </c>
    </row>
    <row r="1088" customFormat="false" ht="18" hidden="false" customHeight="true" outlineLevel="0" collapsed="false">
      <c r="A1088" s="39"/>
      <c r="B1088" s="41"/>
      <c r="C1088" s="40"/>
      <c r="D1088" s="40"/>
      <c r="E1088" s="40"/>
      <c r="F1088" s="42"/>
      <c r="G1088" s="39"/>
      <c r="H1088" s="40"/>
      <c r="I1088" s="40"/>
      <c r="J1088" s="40"/>
      <c r="K1088" s="41"/>
      <c r="L1088" s="39"/>
      <c r="M1088" s="48" t="str">
        <f aca="false">IF($E1088="","",IFERROR(INDEX(Parâmetros!$C$15:$C$20,MATCH($P1088,Parâmetros!$B$15:$B$20,0)),""))</f>
        <v/>
      </c>
      <c r="N1088" s="46" t="str">
        <f aca="false">IF($E1088="","",IF($P1088="","",IF($P1088&gt;=8,"Alta",IF($P1088&gt;=5,"Média","Baixa"))))</f>
        <v/>
      </c>
      <c r="O1088" s="46" t="str">
        <f aca="false">IF($E1088="","",IF(AND(Parâmetros!$C$5&gt;0,$P1088&lt;&gt;"",$P1088&gt;=Parâmetros!$C$5),"Sim","Não"))</f>
        <v/>
      </c>
      <c r="P1088" s="45" t="str">
        <f aca="false">IF($E1088="","",IF($G1088="","",IF($G1088="NOK",$F1088,0)))</f>
        <v/>
      </c>
      <c r="Q1088" s="46" t="str">
        <f aca="false">IF($E1088="","",IF($O1088&lt;&gt;"Sim","",COUNTIF($O$3:$O1088,"Sim")))</f>
        <v/>
      </c>
      <c r="R1088" s="47" t="n">
        <f aca="false">IF($P1088="",0,$P1088)</f>
        <v>0</v>
      </c>
    </row>
    <row r="1089" customFormat="false" ht="18" hidden="false" customHeight="true" outlineLevel="0" collapsed="false">
      <c r="A1089" s="39"/>
      <c r="B1089" s="41"/>
      <c r="C1089" s="40"/>
      <c r="D1089" s="40"/>
      <c r="E1089" s="40"/>
      <c r="F1089" s="42"/>
      <c r="G1089" s="39"/>
      <c r="H1089" s="40"/>
      <c r="I1089" s="40"/>
      <c r="J1089" s="40"/>
      <c r="K1089" s="41"/>
      <c r="L1089" s="39"/>
      <c r="M1089" s="48" t="str">
        <f aca="false">IF($E1089="","",IFERROR(INDEX(Parâmetros!$C$15:$C$20,MATCH($P1089,Parâmetros!$B$15:$B$20,0)),""))</f>
        <v/>
      </c>
      <c r="N1089" s="46" t="str">
        <f aca="false">IF($E1089="","",IF($P1089="","",IF($P1089&gt;=8,"Alta",IF($P1089&gt;=5,"Média","Baixa"))))</f>
        <v/>
      </c>
      <c r="O1089" s="46" t="str">
        <f aca="false">IF($E1089="","",IF(AND(Parâmetros!$C$5&gt;0,$P1089&lt;&gt;"",$P1089&gt;=Parâmetros!$C$5),"Sim","Não"))</f>
        <v/>
      </c>
      <c r="P1089" s="45" t="str">
        <f aca="false">IF($E1089="","",IF($G1089="","",IF($G1089="NOK",$F1089,0)))</f>
        <v/>
      </c>
      <c r="Q1089" s="46" t="str">
        <f aca="false">IF($E1089="","",IF($O1089&lt;&gt;"Sim","",COUNTIF($O$3:$O1089,"Sim")))</f>
        <v/>
      </c>
      <c r="R1089" s="47" t="n">
        <f aca="false">IF($P1089="",0,$P1089)</f>
        <v>0</v>
      </c>
    </row>
    <row r="1090" customFormat="false" ht="18" hidden="false" customHeight="true" outlineLevel="0" collapsed="false">
      <c r="A1090" s="39"/>
      <c r="B1090" s="41"/>
      <c r="C1090" s="40"/>
      <c r="D1090" s="40"/>
      <c r="E1090" s="40"/>
      <c r="F1090" s="42"/>
      <c r="G1090" s="39"/>
      <c r="H1090" s="40"/>
      <c r="I1090" s="40"/>
      <c r="J1090" s="40"/>
      <c r="K1090" s="41"/>
      <c r="L1090" s="39"/>
      <c r="M1090" s="48" t="str">
        <f aca="false">IF($E1090="","",IFERROR(INDEX(Parâmetros!$C$15:$C$20,MATCH($P1090,Parâmetros!$B$15:$B$20,0)),""))</f>
        <v/>
      </c>
      <c r="N1090" s="46" t="str">
        <f aca="false">IF($E1090="","",IF($P1090="","",IF($P1090&gt;=8,"Alta",IF($P1090&gt;=5,"Média","Baixa"))))</f>
        <v/>
      </c>
      <c r="O1090" s="46" t="str">
        <f aca="false">IF($E1090="","",IF(AND(Parâmetros!$C$5&gt;0,$P1090&lt;&gt;"",$P1090&gt;=Parâmetros!$C$5),"Sim","Não"))</f>
        <v/>
      </c>
      <c r="P1090" s="45" t="str">
        <f aca="false">IF($E1090="","",IF($G1090="","",IF($G1090="NOK",$F1090,0)))</f>
        <v/>
      </c>
      <c r="Q1090" s="46" t="str">
        <f aca="false">IF($E1090="","",IF($O1090&lt;&gt;"Sim","",COUNTIF($O$3:$O1090,"Sim")))</f>
        <v/>
      </c>
      <c r="R1090" s="47" t="n">
        <f aca="false">IF($P1090="",0,$P1090)</f>
        <v>0</v>
      </c>
    </row>
    <row r="1091" customFormat="false" ht="18" hidden="false" customHeight="true" outlineLevel="0" collapsed="false">
      <c r="A1091" s="39"/>
      <c r="B1091" s="41"/>
      <c r="C1091" s="40"/>
      <c r="D1091" s="40"/>
      <c r="E1091" s="40"/>
      <c r="F1091" s="42"/>
      <c r="G1091" s="39"/>
      <c r="H1091" s="40"/>
      <c r="I1091" s="40"/>
      <c r="J1091" s="40"/>
      <c r="K1091" s="41"/>
      <c r="L1091" s="39"/>
      <c r="M1091" s="48" t="str">
        <f aca="false">IF($E1091="","",IFERROR(INDEX(Parâmetros!$C$15:$C$20,MATCH($P1091,Parâmetros!$B$15:$B$20,0)),""))</f>
        <v/>
      </c>
      <c r="N1091" s="46" t="str">
        <f aca="false">IF($E1091="","",IF($P1091="","",IF($P1091&gt;=8,"Alta",IF($P1091&gt;=5,"Média","Baixa"))))</f>
        <v/>
      </c>
      <c r="O1091" s="46" t="str">
        <f aca="false">IF($E1091="","",IF(AND(Parâmetros!$C$5&gt;0,$P1091&lt;&gt;"",$P1091&gt;=Parâmetros!$C$5),"Sim","Não"))</f>
        <v/>
      </c>
      <c r="P1091" s="45" t="str">
        <f aca="false">IF($E1091="","",IF($G1091="","",IF($G1091="NOK",$F1091,0)))</f>
        <v/>
      </c>
      <c r="Q1091" s="46" t="str">
        <f aca="false">IF($E1091="","",IF($O1091&lt;&gt;"Sim","",COUNTIF($O$3:$O1091,"Sim")))</f>
        <v/>
      </c>
      <c r="R1091" s="47" t="n">
        <f aca="false">IF($P1091="",0,$P1091)</f>
        <v>0</v>
      </c>
    </row>
    <row r="1092" customFormat="false" ht="18" hidden="false" customHeight="true" outlineLevel="0" collapsed="false">
      <c r="A1092" s="39"/>
      <c r="B1092" s="41"/>
      <c r="C1092" s="40"/>
      <c r="D1092" s="40"/>
      <c r="E1092" s="40"/>
      <c r="F1092" s="42"/>
      <c r="G1092" s="39"/>
      <c r="H1092" s="40"/>
      <c r="I1092" s="40"/>
      <c r="J1092" s="40"/>
      <c r="K1092" s="41"/>
      <c r="L1092" s="39"/>
      <c r="M1092" s="48" t="str">
        <f aca="false">IF($E1092="","",IFERROR(INDEX(Parâmetros!$C$15:$C$20,MATCH($P1092,Parâmetros!$B$15:$B$20,0)),""))</f>
        <v/>
      </c>
      <c r="N1092" s="46" t="str">
        <f aca="false">IF($E1092="","",IF($P1092="","",IF($P1092&gt;=8,"Alta",IF($P1092&gt;=5,"Média","Baixa"))))</f>
        <v/>
      </c>
      <c r="O1092" s="46" t="str">
        <f aca="false">IF($E1092="","",IF(AND(Parâmetros!$C$5&gt;0,$P1092&lt;&gt;"",$P1092&gt;=Parâmetros!$C$5),"Sim","Não"))</f>
        <v/>
      </c>
      <c r="P1092" s="45" t="str">
        <f aca="false">IF($E1092="","",IF($G1092="","",IF($G1092="NOK",$F1092,0)))</f>
        <v/>
      </c>
      <c r="Q1092" s="46" t="str">
        <f aca="false">IF($E1092="","",IF($O1092&lt;&gt;"Sim","",COUNTIF($O$3:$O1092,"Sim")))</f>
        <v/>
      </c>
      <c r="R1092" s="47" t="n">
        <f aca="false">IF($P1092="",0,$P1092)</f>
        <v>0</v>
      </c>
    </row>
    <row r="1093" customFormat="false" ht="18" hidden="false" customHeight="true" outlineLevel="0" collapsed="false">
      <c r="A1093" s="39"/>
      <c r="B1093" s="41"/>
      <c r="C1093" s="40"/>
      <c r="D1093" s="40"/>
      <c r="E1093" s="40"/>
      <c r="F1093" s="42"/>
      <c r="G1093" s="39"/>
      <c r="H1093" s="40"/>
      <c r="I1093" s="40"/>
      <c r="J1093" s="40"/>
      <c r="K1093" s="41"/>
      <c r="L1093" s="39"/>
      <c r="M1093" s="48" t="str">
        <f aca="false">IF($E1093="","",IFERROR(INDEX(Parâmetros!$C$15:$C$20,MATCH($P1093,Parâmetros!$B$15:$B$20,0)),""))</f>
        <v/>
      </c>
      <c r="N1093" s="46" t="str">
        <f aca="false">IF($E1093="","",IF($P1093="","",IF($P1093&gt;=8,"Alta",IF($P1093&gt;=5,"Média","Baixa"))))</f>
        <v/>
      </c>
      <c r="O1093" s="46" t="str">
        <f aca="false">IF($E1093="","",IF(AND(Parâmetros!$C$5&gt;0,$P1093&lt;&gt;"",$P1093&gt;=Parâmetros!$C$5),"Sim","Não"))</f>
        <v/>
      </c>
      <c r="P1093" s="45" t="str">
        <f aca="false">IF($E1093="","",IF($G1093="","",IF($G1093="NOK",$F1093,0)))</f>
        <v/>
      </c>
      <c r="Q1093" s="46" t="str">
        <f aca="false">IF($E1093="","",IF($O1093&lt;&gt;"Sim","",COUNTIF($O$3:$O1093,"Sim")))</f>
        <v/>
      </c>
      <c r="R1093" s="47" t="n">
        <f aca="false">IF($P1093="",0,$P1093)</f>
        <v>0</v>
      </c>
    </row>
    <row r="1094" customFormat="false" ht="18" hidden="false" customHeight="true" outlineLevel="0" collapsed="false">
      <c r="A1094" s="39"/>
      <c r="B1094" s="41"/>
      <c r="C1094" s="40"/>
      <c r="D1094" s="40"/>
      <c r="E1094" s="40"/>
      <c r="F1094" s="42"/>
      <c r="G1094" s="39"/>
      <c r="H1094" s="40"/>
      <c r="I1094" s="40"/>
      <c r="J1094" s="40"/>
      <c r="K1094" s="41"/>
      <c r="L1094" s="39"/>
      <c r="M1094" s="48" t="str">
        <f aca="false">IF($E1094="","",IFERROR(INDEX(Parâmetros!$C$15:$C$20,MATCH($P1094,Parâmetros!$B$15:$B$20,0)),""))</f>
        <v/>
      </c>
      <c r="N1094" s="46" t="str">
        <f aca="false">IF($E1094="","",IF($P1094="","",IF($P1094&gt;=8,"Alta",IF($P1094&gt;=5,"Média","Baixa"))))</f>
        <v/>
      </c>
      <c r="O1094" s="46" t="str">
        <f aca="false">IF($E1094="","",IF(AND(Parâmetros!$C$5&gt;0,$P1094&lt;&gt;"",$P1094&gt;=Parâmetros!$C$5),"Sim","Não"))</f>
        <v/>
      </c>
      <c r="P1094" s="45" t="str">
        <f aca="false">IF($E1094="","",IF($G1094="","",IF($G1094="NOK",$F1094,0)))</f>
        <v/>
      </c>
      <c r="Q1094" s="46" t="str">
        <f aca="false">IF($E1094="","",IF($O1094&lt;&gt;"Sim","",COUNTIF($O$3:$O1094,"Sim")))</f>
        <v/>
      </c>
      <c r="R1094" s="47" t="n">
        <f aca="false">IF($P1094="",0,$P1094)</f>
        <v>0</v>
      </c>
    </row>
    <row r="1095" customFormat="false" ht="18" hidden="false" customHeight="true" outlineLevel="0" collapsed="false">
      <c r="A1095" s="39"/>
      <c r="B1095" s="41"/>
      <c r="C1095" s="40"/>
      <c r="D1095" s="40"/>
      <c r="E1095" s="40"/>
      <c r="F1095" s="42"/>
      <c r="G1095" s="39"/>
      <c r="H1095" s="40"/>
      <c r="I1095" s="40"/>
      <c r="J1095" s="40"/>
      <c r="K1095" s="41"/>
      <c r="L1095" s="39"/>
      <c r="M1095" s="48" t="str">
        <f aca="false">IF($E1095="","",IFERROR(INDEX(Parâmetros!$C$15:$C$20,MATCH($P1095,Parâmetros!$B$15:$B$20,0)),""))</f>
        <v/>
      </c>
      <c r="N1095" s="46" t="str">
        <f aca="false">IF($E1095="","",IF($P1095="","",IF($P1095&gt;=8,"Alta",IF($P1095&gt;=5,"Média","Baixa"))))</f>
        <v/>
      </c>
      <c r="O1095" s="46" t="str">
        <f aca="false">IF($E1095="","",IF(AND(Parâmetros!$C$5&gt;0,$P1095&lt;&gt;"",$P1095&gt;=Parâmetros!$C$5),"Sim","Não"))</f>
        <v/>
      </c>
      <c r="P1095" s="45" t="str">
        <f aca="false">IF($E1095="","",IF($G1095="","",IF($G1095="NOK",$F1095,0)))</f>
        <v/>
      </c>
      <c r="Q1095" s="46" t="str">
        <f aca="false">IF($E1095="","",IF($O1095&lt;&gt;"Sim","",COUNTIF($O$3:$O1095,"Sim")))</f>
        <v/>
      </c>
      <c r="R1095" s="47" t="n">
        <f aca="false">IF($P1095="",0,$P1095)</f>
        <v>0</v>
      </c>
    </row>
    <row r="1096" customFormat="false" ht="18" hidden="false" customHeight="true" outlineLevel="0" collapsed="false">
      <c r="A1096" s="39"/>
      <c r="B1096" s="41"/>
      <c r="C1096" s="40"/>
      <c r="D1096" s="40"/>
      <c r="E1096" s="40"/>
      <c r="F1096" s="42"/>
      <c r="G1096" s="39"/>
      <c r="H1096" s="40"/>
      <c r="I1096" s="40"/>
      <c r="J1096" s="40"/>
      <c r="K1096" s="41"/>
      <c r="L1096" s="39"/>
      <c r="M1096" s="48" t="str">
        <f aca="false">IF($E1096="","",IFERROR(INDEX(Parâmetros!$C$15:$C$20,MATCH($P1096,Parâmetros!$B$15:$B$20,0)),""))</f>
        <v/>
      </c>
      <c r="N1096" s="46" t="str">
        <f aca="false">IF($E1096="","",IF($P1096="","",IF($P1096&gt;=8,"Alta",IF($P1096&gt;=5,"Média","Baixa"))))</f>
        <v/>
      </c>
      <c r="O1096" s="46" t="str">
        <f aca="false">IF($E1096="","",IF(AND(Parâmetros!$C$5&gt;0,$P1096&lt;&gt;"",$P1096&gt;=Parâmetros!$C$5),"Sim","Não"))</f>
        <v/>
      </c>
      <c r="P1096" s="45" t="str">
        <f aca="false">IF($E1096="","",IF($G1096="","",IF($G1096="NOK",$F1096,0)))</f>
        <v/>
      </c>
      <c r="Q1096" s="46" t="str">
        <f aca="false">IF($E1096="","",IF($O1096&lt;&gt;"Sim","",COUNTIF($O$3:$O1096,"Sim")))</f>
        <v/>
      </c>
      <c r="R1096" s="47" t="n">
        <f aca="false">IF($P1096="",0,$P1096)</f>
        <v>0</v>
      </c>
    </row>
    <row r="1097" customFormat="false" ht="18" hidden="false" customHeight="true" outlineLevel="0" collapsed="false">
      <c r="A1097" s="39"/>
      <c r="B1097" s="41"/>
      <c r="C1097" s="40"/>
      <c r="D1097" s="40"/>
      <c r="E1097" s="40"/>
      <c r="F1097" s="42"/>
      <c r="G1097" s="39"/>
      <c r="H1097" s="40"/>
      <c r="I1097" s="40"/>
      <c r="J1097" s="40"/>
      <c r="K1097" s="41"/>
      <c r="L1097" s="39"/>
      <c r="M1097" s="48" t="str">
        <f aca="false">IF($E1097="","",IFERROR(INDEX(Parâmetros!$C$15:$C$20,MATCH($P1097,Parâmetros!$B$15:$B$20,0)),""))</f>
        <v/>
      </c>
      <c r="N1097" s="46" t="str">
        <f aca="false">IF($E1097="","",IF($P1097="","",IF($P1097&gt;=8,"Alta",IF($P1097&gt;=5,"Média","Baixa"))))</f>
        <v/>
      </c>
      <c r="O1097" s="46" t="str">
        <f aca="false">IF($E1097="","",IF(AND(Parâmetros!$C$5&gt;0,$P1097&lt;&gt;"",$P1097&gt;=Parâmetros!$C$5),"Sim","Não"))</f>
        <v/>
      </c>
      <c r="P1097" s="45" t="str">
        <f aca="false">IF($E1097="","",IF($G1097="","",IF($G1097="NOK",$F1097,0)))</f>
        <v/>
      </c>
      <c r="Q1097" s="46" t="str">
        <f aca="false">IF($E1097="","",IF($O1097&lt;&gt;"Sim","",COUNTIF($O$3:$O1097,"Sim")))</f>
        <v/>
      </c>
      <c r="R1097" s="47" t="n">
        <f aca="false">IF($P1097="",0,$P1097)</f>
        <v>0</v>
      </c>
    </row>
    <row r="1098" customFormat="false" ht="18" hidden="false" customHeight="true" outlineLevel="0" collapsed="false">
      <c r="A1098" s="39"/>
      <c r="B1098" s="41"/>
      <c r="C1098" s="40"/>
      <c r="D1098" s="40"/>
      <c r="E1098" s="40"/>
      <c r="F1098" s="42"/>
      <c r="G1098" s="39"/>
      <c r="H1098" s="40"/>
      <c r="I1098" s="40"/>
      <c r="J1098" s="40"/>
      <c r="K1098" s="41"/>
      <c r="L1098" s="39"/>
      <c r="M1098" s="48" t="str">
        <f aca="false">IF($E1098="","",IFERROR(INDEX(Parâmetros!$C$15:$C$20,MATCH($P1098,Parâmetros!$B$15:$B$20,0)),""))</f>
        <v/>
      </c>
      <c r="N1098" s="46" t="str">
        <f aca="false">IF($E1098="","",IF($P1098="","",IF($P1098&gt;=8,"Alta",IF($P1098&gt;=5,"Média","Baixa"))))</f>
        <v/>
      </c>
      <c r="O1098" s="46" t="str">
        <f aca="false">IF($E1098="","",IF(AND(Parâmetros!$C$5&gt;0,$P1098&lt;&gt;"",$P1098&gt;=Parâmetros!$C$5),"Sim","Não"))</f>
        <v/>
      </c>
      <c r="P1098" s="45" t="str">
        <f aca="false">IF($E1098="","",IF($G1098="","",IF($G1098="NOK",$F1098,0)))</f>
        <v/>
      </c>
      <c r="Q1098" s="46" t="str">
        <f aca="false">IF($E1098="","",IF($O1098&lt;&gt;"Sim","",COUNTIF($O$3:$O1098,"Sim")))</f>
        <v/>
      </c>
      <c r="R1098" s="47" t="n">
        <f aca="false">IF($P1098="",0,$P1098)</f>
        <v>0</v>
      </c>
    </row>
    <row r="1099" customFormat="false" ht="18" hidden="false" customHeight="true" outlineLevel="0" collapsed="false">
      <c r="A1099" s="39"/>
      <c r="B1099" s="41"/>
      <c r="C1099" s="40"/>
      <c r="D1099" s="40"/>
      <c r="E1099" s="40"/>
      <c r="F1099" s="42"/>
      <c r="G1099" s="39"/>
      <c r="H1099" s="40"/>
      <c r="I1099" s="40"/>
      <c r="J1099" s="40"/>
      <c r="K1099" s="41"/>
      <c r="L1099" s="39"/>
      <c r="M1099" s="48" t="str">
        <f aca="false">IF($E1099="","",IFERROR(INDEX(Parâmetros!$C$15:$C$20,MATCH($P1099,Parâmetros!$B$15:$B$20,0)),""))</f>
        <v/>
      </c>
      <c r="N1099" s="46" t="str">
        <f aca="false">IF($E1099="","",IF($P1099="","",IF($P1099&gt;=8,"Alta",IF($P1099&gt;=5,"Média","Baixa"))))</f>
        <v/>
      </c>
      <c r="O1099" s="46" t="str">
        <f aca="false">IF($E1099="","",IF(AND(Parâmetros!$C$5&gt;0,$P1099&lt;&gt;"",$P1099&gt;=Parâmetros!$C$5),"Sim","Não"))</f>
        <v/>
      </c>
      <c r="P1099" s="45" t="str">
        <f aca="false">IF($E1099="","",IF($G1099="","",IF($G1099="NOK",$F1099,0)))</f>
        <v/>
      </c>
      <c r="Q1099" s="46" t="str">
        <f aca="false">IF($E1099="","",IF($O1099&lt;&gt;"Sim","",COUNTIF($O$3:$O1099,"Sim")))</f>
        <v/>
      </c>
      <c r="R1099" s="47" t="n">
        <f aca="false">IF($P1099="",0,$P1099)</f>
        <v>0</v>
      </c>
    </row>
    <row r="1100" customFormat="false" ht="18" hidden="false" customHeight="true" outlineLevel="0" collapsed="false">
      <c r="A1100" s="39"/>
      <c r="B1100" s="41"/>
      <c r="C1100" s="40"/>
      <c r="D1100" s="40"/>
      <c r="E1100" s="40"/>
      <c r="F1100" s="42"/>
      <c r="G1100" s="39"/>
      <c r="H1100" s="40"/>
      <c r="I1100" s="40"/>
      <c r="J1100" s="40"/>
      <c r="K1100" s="41"/>
      <c r="L1100" s="39"/>
      <c r="M1100" s="48" t="str">
        <f aca="false">IF($E1100="","",IFERROR(INDEX(Parâmetros!$C$15:$C$20,MATCH($P1100,Parâmetros!$B$15:$B$20,0)),""))</f>
        <v/>
      </c>
      <c r="N1100" s="46" t="str">
        <f aca="false">IF($E1100="","",IF($P1100="","",IF($P1100&gt;=8,"Alta",IF($P1100&gt;=5,"Média","Baixa"))))</f>
        <v/>
      </c>
      <c r="O1100" s="46" t="str">
        <f aca="false">IF($E1100="","",IF(AND(Parâmetros!$C$5&gt;0,$P1100&lt;&gt;"",$P1100&gt;=Parâmetros!$C$5),"Sim","Não"))</f>
        <v/>
      </c>
      <c r="P1100" s="45" t="str">
        <f aca="false">IF($E1100="","",IF($G1100="","",IF($G1100="NOK",$F1100,0)))</f>
        <v/>
      </c>
      <c r="Q1100" s="46" t="str">
        <f aca="false">IF($E1100="","",IF($O1100&lt;&gt;"Sim","",COUNTIF($O$3:$O1100,"Sim")))</f>
        <v/>
      </c>
      <c r="R1100" s="47" t="n">
        <f aca="false">IF($P1100="",0,$P1100)</f>
        <v>0</v>
      </c>
    </row>
    <row r="1101" customFormat="false" ht="18" hidden="false" customHeight="true" outlineLevel="0" collapsed="false">
      <c r="A1101" s="39"/>
      <c r="B1101" s="41"/>
      <c r="C1101" s="40"/>
      <c r="D1101" s="40"/>
      <c r="E1101" s="40"/>
      <c r="F1101" s="42"/>
      <c r="G1101" s="39"/>
      <c r="H1101" s="40"/>
      <c r="I1101" s="40"/>
      <c r="J1101" s="40"/>
      <c r="K1101" s="41"/>
      <c r="L1101" s="39"/>
      <c r="M1101" s="48" t="str">
        <f aca="false">IF($E1101="","",IFERROR(INDEX(Parâmetros!$C$15:$C$20,MATCH($P1101,Parâmetros!$B$15:$B$20,0)),""))</f>
        <v/>
      </c>
      <c r="N1101" s="46" t="str">
        <f aca="false">IF($E1101="","",IF($P1101="","",IF($P1101&gt;=8,"Alta",IF($P1101&gt;=5,"Média","Baixa"))))</f>
        <v/>
      </c>
      <c r="O1101" s="46" t="str">
        <f aca="false">IF($E1101="","",IF(AND(Parâmetros!$C$5&gt;0,$P1101&lt;&gt;"",$P1101&gt;=Parâmetros!$C$5),"Sim","Não"))</f>
        <v/>
      </c>
      <c r="P1101" s="45" t="str">
        <f aca="false">IF($E1101="","",IF($G1101="","",IF($G1101="NOK",$F1101,0)))</f>
        <v/>
      </c>
      <c r="Q1101" s="46" t="str">
        <f aca="false">IF($E1101="","",IF($O1101&lt;&gt;"Sim","",COUNTIF($O$3:$O1101,"Sim")))</f>
        <v/>
      </c>
      <c r="R1101" s="47" t="n">
        <f aca="false">IF($P1101="",0,$P1101)</f>
        <v>0</v>
      </c>
    </row>
    <row r="1102" customFormat="false" ht="18" hidden="false" customHeight="true" outlineLevel="0" collapsed="false">
      <c r="A1102" s="39"/>
      <c r="B1102" s="41"/>
      <c r="C1102" s="40"/>
      <c r="D1102" s="40"/>
      <c r="E1102" s="40"/>
      <c r="F1102" s="42"/>
      <c r="G1102" s="39"/>
      <c r="H1102" s="40"/>
      <c r="I1102" s="40"/>
      <c r="J1102" s="40"/>
      <c r="K1102" s="41"/>
      <c r="L1102" s="39"/>
      <c r="M1102" s="48" t="str">
        <f aca="false">IF($E1102="","",IFERROR(INDEX(Parâmetros!$C$15:$C$20,MATCH($P1102,Parâmetros!$B$15:$B$20,0)),""))</f>
        <v/>
      </c>
      <c r="N1102" s="46" t="str">
        <f aca="false">IF($E1102="","",IF($P1102="","",IF($P1102&gt;=8,"Alta",IF($P1102&gt;=5,"Média","Baixa"))))</f>
        <v/>
      </c>
      <c r="O1102" s="46" t="str">
        <f aca="false">IF($E1102="","",IF(AND(Parâmetros!$C$5&gt;0,$P1102&lt;&gt;"",$P1102&gt;=Parâmetros!$C$5),"Sim","Não"))</f>
        <v/>
      </c>
      <c r="P1102" s="45" t="str">
        <f aca="false">IF($E1102="","",IF($G1102="","",IF($G1102="NOK",$F1102,0)))</f>
        <v/>
      </c>
      <c r="Q1102" s="46" t="str">
        <f aca="false">IF($E1102="","",IF($O1102&lt;&gt;"Sim","",COUNTIF($O$3:$O1102,"Sim")))</f>
        <v/>
      </c>
      <c r="R1102" s="47" t="n">
        <f aca="false">IF($P1102="",0,$P1102)</f>
        <v>0</v>
      </c>
    </row>
    <row r="1103" customFormat="false" ht="18" hidden="false" customHeight="true" outlineLevel="0" collapsed="false">
      <c r="A1103" s="39"/>
      <c r="B1103" s="41"/>
      <c r="C1103" s="40"/>
      <c r="D1103" s="40"/>
      <c r="E1103" s="40"/>
      <c r="F1103" s="42"/>
      <c r="G1103" s="39"/>
      <c r="H1103" s="40"/>
      <c r="I1103" s="40"/>
      <c r="J1103" s="40"/>
      <c r="K1103" s="41"/>
      <c r="L1103" s="39"/>
      <c r="M1103" s="48" t="str">
        <f aca="false">IF($E1103="","",IFERROR(INDEX(Parâmetros!$C$15:$C$20,MATCH($P1103,Parâmetros!$B$15:$B$20,0)),""))</f>
        <v/>
      </c>
      <c r="N1103" s="46" t="str">
        <f aca="false">IF($E1103="","",IF($P1103="","",IF($P1103&gt;=8,"Alta",IF($P1103&gt;=5,"Média","Baixa"))))</f>
        <v/>
      </c>
      <c r="O1103" s="46" t="str">
        <f aca="false">IF($E1103="","",IF(AND(Parâmetros!$C$5&gt;0,$P1103&lt;&gt;"",$P1103&gt;=Parâmetros!$C$5),"Sim","Não"))</f>
        <v/>
      </c>
      <c r="P1103" s="45" t="str">
        <f aca="false">IF($E1103="","",IF($G1103="","",IF($G1103="NOK",$F1103,0)))</f>
        <v/>
      </c>
      <c r="Q1103" s="46" t="str">
        <f aca="false">IF($E1103="","",IF($O1103&lt;&gt;"Sim","",COUNTIF($O$3:$O1103,"Sim")))</f>
        <v/>
      </c>
      <c r="R1103" s="47" t="n">
        <f aca="false">IF($P1103="",0,$P1103)</f>
        <v>0</v>
      </c>
    </row>
    <row r="1104" customFormat="false" ht="18" hidden="false" customHeight="true" outlineLevel="0" collapsed="false">
      <c r="A1104" s="39"/>
      <c r="B1104" s="41"/>
      <c r="C1104" s="40"/>
      <c r="D1104" s="40"/>
      <c r="E1104" s="40"/>
      <c r="F1104" s="42"/>
      <c r="G1104" s="39"/>
      <c r="H1104" s="40"/>
      <c r="I1104" s="40"/>
      <c r="J1104" s="40"/>
      <c r="K1104" s="41"/>
      <c r="L1104" s="39"/>
      <c r="M1104" s="48" t="str">
        <f aca="false">IF($E1104="","",IFERROR(INDEX(Parâmetros!$C$15:$C$20,MATCH($P1104,Parâmetros!$B$15:$B$20,0)),""))</f>
        <v/>
      </c>
      <c r="N1104" s="46" t="str">
        <f aca="false">IF($E1104="","",IF($P1104="","",IF($P1104&gt;=8,"Alta",IF($P1104&gt;=5,"Média","Baixa"))))</f>
        <v/>
      </c>
      <c r="O1104" s="46" t="str">
        <f aca="false">IF($E1104="","",IF(AND(Parâmetros!$C$5&gt;0,$P1104&lt;&gt;"",$P1104&gt;=Parâmetros!$C$5),"Sim","Não"))</f>
        <v/>
      </c>
      <c r="P1104" s="45" t="str">
        <f aca="false">IF($E1104="","",IF($G1104="","",IF($G1104="NOK",$F1104,0)))</f>
        <v/>
      </c>
      <c r="Q1104" s="46" t="str">
        <f aca="false">IF($E1104="","",IF($O1104&lt;&gt;"Sim","",COUNTIF($O$3:$O1104,"Sim")))</f>
        <v/>
      </c>
      <c r="R1104" s="47" t="n">
        <f aca="false">IF($P1104="",0,$P1104)</f>
        <v>0</v>
      </c>
    </row>
    <row r="1105" customFormat="false" ht="18" hidden="false" customHeight="true" outlineLevel="0" collapsed="false">
      <c r="A1105" s="39"/>
      <c r="B1105" s="41"/>
      <c r="C1105" s="40"/>
      <c r="D1105" s="40"/>
      <c r="E1105" s="40"/>
      <c r="F1105" s="42"/>
      <c r="G1105" s="39"/>
      <c r="H1105" s="40"/>
      <c r="I1105" s="40"/>
      <c r="J1105" s="40"/>
      <c r="K1105" s="41"/>
      <c r="L1105" s="39"/>
      <c r="M1105" s="48" t="str">
        <f aca="false">IF($E1105="","",IFERROR(INDEX(Parâmetros!$C$15:$C$20,MATCH($P1105,Parâmetros!$B$15:$B$20,0)),""))</f>
        <v/>
      </c>
      <c r="N1105" s="46" t="str">
        <f aca="false">IF($E1105="","",IF($P1105="","",IF($P1105&gt;=8,"Alta",IF($P1105&gt;=5,"Média","Baixa"))))</f>
        <v/>
      </c>
      <c r="O1105" s="46" t="str">
        <f aca="false">IF($E1105="","",IF(AND(Parâmetros!$C$5&gt;0,$P1105&lt;&gt;"",$P1105&gt;=Parâmetros!$C$5),"Sim","Não"))</f>
        <v/>
      </c>
      <c r="P1105" s="45" t="str">
        <f aca="false">IF($E1105="","",IF($G1105="","",IF($G1105="NOK",$F1105,0)))</f>
        <v/>
      </c>
      <c r="Q1105" s="46" t="str">
        <f aca="false">IF($E1105="","",IF($O1105&lt;&gt;"Sim","",COUNTIF($O$3:$O1105,"Sim")))</f>
        <v/>
      </c>
      <c r="R1105" s="47" t="n">
        <f aca="false">IF($P1105="",0,$P1105)</f>
        <v>0</v>
      </c>
    </row>
    <row r="1106" customFormat="false" ht="18" hidden="false" customHeight="true" outlineLevel="0" collapsed="false">
      <c r="A1106" s="39"/>
      <c r="B1106" s="41"/>
      <c r="C1106" s="40"/>
      <c r="D1106" s="40"/>
      <c r="E1106" s="40"/>
      <c r="F1106" s="42"/>
      <c r="G1106" s="39"/>
      <c r="H1106" s="40"/>
      <c r="I1106" s="40"/>
      <c r="J1106" s="40"/>
      <c r="K1106" s="41"/>
      <c r="L1106" s="39"/>
      <c r="M1106" s="48" t="str">
        <f aca="false">IF($E1106="","",IFERROR(INDEX(Parâmetros!$C$15:$C$20,MATCH($P1106,Parâmetros!$B$15:$B$20,0)),""))</f>
        <v/>
      </c>
      <c r="N1106" s="46" t="str">
        <f aca="false">IF($E1106="","",IF($P1106="","",IF($P1106&gt;=8,"Alta",IF($P1106&gt;=5,"Média","Baixa"))))</f>
        <v/>
      </c>
      <c r="O1106" s="46" t="str">
        <f aca="false">IF($E1106="","",IF(AND(Parâmetros!$C$5&gt;0,$P1106&lt;&gt;"",$P1106&gt;=Parâmetros!$C$5),"Sim","Não"))</f>
        <v/>
      </c>
      <c r="P1106" s="45" t="str">
        <f aca="false">IF($E1106="","",IF($G1106="","",IF($G1106="NOK",$F1106,0)))</f>
        <v/>
      </c>
      <c r="Q1106" s="46" t="str">
        <f aca="false">IF($E1106="","",IF($O1106&lt;&gt;"Sim","",COUNTIF($O$3:$O1106,"Sim")))</f>
        <v/>
      </c>
      <c r="R1106" s="47" t="n">
        <f aca="false">IF($P1106="",0,$P1106)</f>
        <v>0</v>
      </c>
    </row>
    <row r="1107" customFormat="false" ht="18" hidden="false" customHeight="true" outlineLevel="0" collapsed="false">
      <c r="A1107" s="39"/>
      <c r="B1107" s="41"/>
      <c r="C1107" s="40"/>
      <c r="D1107" s="40"/>
      <c r="E1107" s="40"/>
      <c r="F1107" s="42"/>
      <c r="G1107" s="39"/>
      <c r="H1107" s="40"/>
      <c r="I1107" s="40"/>
      <c r="J1107" s="40"/>
      <c r="K1107" s="41"/>
      <c r="L1107" s="39"/>
      <c r="M1107" s="48" t="str">
        <f aca="false">IF($E1107="","",IFERROR(INDEX(Parâmetros!$C$15:$C$20,MATCH($P1107,Parâmetros!$B$15:$B$20,0)),""))</f>
        <v/>
      </c>
      <c r="N1107" s="46" t="str">
        <f aca="false">IF($E1107="","",IF($P1107="","",IF($P1107&gt;=8,"Alta",IF($P1107&gt;=5,"Média","Baixa"))))</f>
        <v/>
      </c>
      <c r="O1107" s="46" t="str">
        <f aca="false">IF($E1107="","",IF(AND(Parâmetros!$C$5&gt;0,$P1107&lt;&gt;"",$P1107&gt;=Parâmetros!$C$5),"Sim","Não"))</f>
        <v/>
      </c>
      <c r="P1107" s="45" t="str">
        <f aca="false">IF($E1107="","",IF($G1107="","",IF($G1107="NOK",$F1107,0)))</f>
        <v/>
      </c>
      <c r="Q1107" s="46" t="str">
        <f aca="false">IF($E1107="","",IF($O1107&lt;&gt;"Sim","",COUNTIF($O$3:$O1107,"Sim")))</f>
        <v/>
      </c>
      <c r="R1107" s="47" t="n">
        <f aca="false">IF($P1107="",0,$P1107)</f>
        <v>0</v>
      </c>
    </row>
    <row r="1108" customFormat="false" ht="18" hidden="false" customHeight="true" outlineLevel="0" collapsed="false">
      <c r="A1108" s="39"/>
      <c r="B1108" s="41"/>
      <c r="C1108" s="40"/>
      <c r="D1108" s="40"/>
      <c r="E1108" s="40"/>
      <c r="F1108" s="42"/>
      <c r="G1108" s="39"/>
      <c r="H1108" s="40"/>
      <c r="I1108" s="40"/>
      <c r="J1108" s="40"/>
      <c r="K1108" s="41"/>
      <c r="L1108" s="39"/>
      <c r="M1108" s="48" t="str">
        <f aca="false">IF($E1108="","",IFERROR(INDEX(Parâmetros!$C$15:$C$20,MATCH($P1108,Parâmetros!$B$15:$B$20,0)),""))</f>
        <v/>
      </c>
      <c r="N1108" s="46" t="str">
        <f aca="false">IF($E1108="","",IF($P1108="","",IF($P1108&gt;=8,"Alta",IF($P1108&gt;=5,"Média","Baixa"))))</f>
        <v/>
      </c>
      <c r="O1108" s="46" t="str">
        <f aca="false">IF($E1108="","",IF(AND(Parâmetros!$C$5&gt;0,$P1108&lt;&gt;"",$P1108&gt;=Parâmetros!$C$5),"Sim","Não"))</f>
        <v/>
      </c>
      <c r="P1108" s="45" t="str">
        <f aca="false">IF($E1108="","",IF($G1108="","",IF($G1108="NOK",$F1108,0)))</f>
        <v/>
      </c>
      <c r="Q1108" s="46" t="str">
        <f aca="false">IF($E1108="","",IF($O1108&lt;&gt;"Sim","",COUNTIF($O$3:$O1108,"Sim")))</f>
        <v/>
      </c>
      <c r="R1108" s="47" t="n">
        <f aca="false">IF($P1108="",0,$P1108)</f>
        <v>0</v>
      </c>
    </row>
    <row r="1109" customFormat="false" ht="18" hidden="false" customHeight="true" outlineLevel="0" collapsed="false">
      <c r="A1109" s="39"/>
      <c r="B1109" s="41"/>
      <c r="C1109" s="40"/>
      <c r="D1109" s="40"/>
      <c r="E1109" s="40"/>
      <c r="F1109" s="42"/>
      <c r="G1109" s="39"/>
      <c r="H1109" s="40"/>
      <c r="I1109" s="40"/>
      <c r="J1109" s="40"/>
      <c r="K1109" s="41"/>
      <c r="L1109" s="39"/>
      <c r="M1109" s="48" t="str">
        <f aca="false">IF($E1109="","",IFERROR(INDEX(Parâmetros!$C$15:$C$20,MATCH($P1109,Parâmetros!$B$15:$B$20,0)),""))</f>
        <v/>
      </c>
      <c r="N1109" s="46" t="str">
        <f aca="false">IF($E1109="","",IF($P1109="","",IF($P1109&gt;=8,"Alta",IF($P1109&gt;=5,"Média","Baixa"))))</f>
        <v/>
      </c>
      <c r="O1109" s="46" t="str">
        <f aca="false">IF($E1109="","",IF(AND(Parâmetros!$C$5&gt;0,$P1109&lt;&gt;"",$P1109&gt;=Parâmetros!$C$5),"Sim","Não"))</f>
        <v/>
      </c>
      <c r="P1109" s="45" t="str">
        <f aca="false">IF($E1109="","",IF($G1109="","",IF($G1109="NOK",$F1109,0)))</f>
        <v/>
      </c>
      <c r="Q1109" s="46" t="str">
        <f aca="false">IF($E1109="","",IF($O1109&lt;&gt;"Sim","",COUNTIF($O$3:$O1109,"Sim")))</f>
        <v/>
      </c>
      <c r="R1109" s="47" t="n">
        <f aca="false">IF($P1109="",0,$P1109)</f>
        <v>0</v>
      </c>
    </row>
    <row r="1110" customFormat="false" ht="18" hidden="false" customHeight="true" outlineLevel="0" collapsed="false">
      <c r="A1110" s="39"/>
      <c r="B1110" s="41"/>
      <c r="C1110" s="40"/>
      <c r="D1110" s="40"/>
      <c r="E1110" s="40"/>
      <c r="F1110" s="42"/>
      <c r="G1110" s="39"/>
      <c r="H1110" s="40"/>
      <c r="I1110" s="40"/>
      <c r="J1110" s="40"/>
      <c r="K1110" s="41"/>
      <c r="L1110" s="39"/>
      <c r="M1110" s="48" t="str">
        <f aca="false">IF($E1110="","",IFERROR(INDEX(Parâmetros!$C$15:$C$20,MATCH($P1110,Parâmetros!$B$15:$B$20,0)),""))</f>
        <v/>
      </c>
      <c r="N1110" s="46" t="str">
        <f aca="false">IF($E1110="","",IF($P1110="","",IF($P1110&gt;=8,"Alta",IF($P1110&gt;=5,"Média","Baixa"))))</f>
        <v/>
      </c>
      <c r="O1110" s="46" t="str">
        <f aca="false">IF($E1110="","",IF(AND(Parâmetros!$C$5&gt;0,$P1110&lt;&gt;"",$P1110&gt;=Parâmetros!$C$5),"Sim","Não"))</f>
        <v/>
      </c>
      <c r="P1110" s="45" t="str">
        <f aca="false">IF($E1110="","",IF($G1110="","",IF($G1110="NOK",$F1110,0)))</f>
        <v/>
      </c>
      <c r="Q1110" s="46" t="str">
        <f aca="false">IF($E1110="","",IF($O1110&lt;&gt;"Sim","",COUNTIF($O$3:$O1110,"Sim")))</f>
        <v/>
      </c>
      <c r="R1110" s="47" t="n">
        <f aca="false">IF($P1110="",0,$P1110)</f>
        <v>0</v>
      </c>
    </row>
    <row r="1111" customFormat="false" ht="18" hidden="false" customHeight="true" outlineLevel="0" collapsed="false">
      <c r="A1111" s="39"/>
      <c r="B1111" s="41"/>
      <c r="C1111" s="40"/>
      <c r="D1111" s="40"/>
      <c r="E1111" s="40"/>
      <c r="F1111" s="42"/>
      <c r="G1111" s="39"/>
      <c r="H1111" s="40"/>
      <c r="I1111" s="40"/>
      <c r="J1111" s="40"/>
      <c r="K1111" s="41"/>
      <c r="L1111" s="39"/>
      <c r="M1111" s="48" t="str">
        <f aca="false">IF($E1111="","",IFERROR(INDEX(Parâmetros!$C$15:$C$20,MATCH($P1111,Parâmetros!$B$15:$B$20,0)),""))</f>
        <v/>
      </c>
      <c r="N1111" s="46" t="str">
        <f aca="false">IF($E1111="","",IF($P1111="","",IF($P1111&gt;=8,"Alta",IF($P1111&gt;=5,"Média","Baixa"))))</f>
        <v/>
      </c>
      <c r="O1111" s="46" t="str">
        <f aca="false">IF($E1111="","",IF(AND(Parâmetros!$C$5&gt;0,$P1111&lt;&gt;"",$P1111&gt;=Parâmetros!$C$5),"Sim","Não"))</f>
        <v/>
      </c>
      <c r="P1111" s="45" t="str">
        <f aca="false">IF($E1111="","",IF($G1111="","",IF($G1111="NOK",$F1111,0)))</f>
        <v/>
      </c>
      <c r="Q1111" s="46" t="str">
        <f aca="false">IF($E1111="","",IF($O1111&lt;&gt;"Sim","",COUNTIF($O$3:$O1111,"Sim")))</f>
        <v/>
      </c>
      <c r="R1111" s="47" t="n">
        <f aca="false">IF($P1111="",0,$P1111)</f>
        <v>0</v>
      </c>
    </row>
    <row r="1112" customFormat="false" ht="18" hidden="false" customHeight="true" outlineLevel="0" collapsed="false">
      <c r="A1112" s="39"/>
      <c r="B1112" s="41"/>
      <c r="C1112" s="40"/>
      <c r="D1112" s="40"/>
      <c r="E1112" s="40"/>
      <c r="F1112" s="42"/>
      <c r="G1112" s="39"/>
      <c r="H1112" s="40"/>
      <c r="I1112" s="40"/>
      <c r="J1112" s="40"/>
      <c r="K1112" s="41"/>
      <c r="L1112" s="39"/>
      <c r="M1112" s="48" t="str">
        <f aca="false">IF($E1112="","",IFERROR(INDEX(Parâmetros!$C$15:$C$20,MATCH($P1112,Parâmetros!$B$15:$B$20,0)),""))</f>
        <v/>
      </c>
      <c r="N1112" s="46" t="str">
        <f aca="false">IF($E1112="","",IF($P1112="","",IF($P1112&gt;=8,"Alta",IF($P1112&gt;=5,"Média","Baixa"))))</f>
        <v/>
      </c>
      <c r="O1112" s="46" t="str">
        <f aca="false">IF($E1112="","",IF(AND(Parâmetros!$C$5&gt;0,$P1112&lt;&gt;"",$P1112&gt;=Parâmetros!$C$5),"Sim","Não"))</f>
        <v/>
      </c>
      <c r="P1112" s="45" t="str">
        <f aca="false">IF($E1112="","",IF($G1112="","",IF($G1112="NOK",$F1112,0)))</f>
        <v/>
      </c>
      <c r="Q1112" s="46" t="str">
        <f aca="false">IF($E1112="","",IF($O1112&lt;&gt;"Sim","",COUNTIF($O$3:$O1112,"Sim")))</f>
        <v/>
      </c>
      <c r="R1112" s="47" t="n">
        <f aca="false">IF($P1112="",0,$P1112)</f>
        <v>0</v>
      </c>
    </row>
    <row r="1113" customFormat="false" ht="18" hidden="false" customHeight="true" outlineLevel="0" collapsed="false">
      <c r="A1113" s="39"/>
      <c r="B1113" s="41"/>
      <c r="C1113" s="40"/>
      <c r="D1113" s="40"/>
      <c r="E1113" s="40"/>
      <c r="F1113" s="42"/>
      <c r="G1113" s="39"/>
      <c r="H1113" s="40"/>
      <c r="I1113" s="40"/>
      <c r="J1113" s="40"/>
      <c r="K1113" s="41"/>
      <c r="L1113" s="39"/>
      <c r="M1113" s="48" t="str">
        <f aca="false">IF($E1113="","",IFERROR(INDEX(Parâmetros!$C$15:$C$20,MATCH($P1113,Parâmetros!$B$15:$B$20,0)),""))</f>
        <v/>
      </c>
      <c r="N1113" s="46" t="str">
        <f aca="false">IF($E1113="","",IF($P1113="","",IF($P1113&gt;=8,"Alta",IF($P1113&gt;=5,"Média","Baixa"))))</f>
        <v/>
      </c>
      <c r="O1113" s="46" t="str">
        <f aca="false">IF($E1113="","",IF(AND(Parâmetros!$C$5&gt;0,$P1113&lt;&gt;"",$P1113&gt;=Parâmetros!$C$5),"Sim","Não"))</f>
        <v/>
      </c>
      <c r="P1113" s="45" t="str">
        <f aca="false">IF($E1113="","",IF($G1113="","",IF($G1113="NOK",$F1113,0)))</f>
        <v/>
      </c>
      <c r="Q1113" s="46" t="str">
        <f aca="false">IF($E1113="","",IF($O1113&lt;&gt;"Sim","",COUNTIF($O$3:$O1113,"Sim")))</f>
        <v/>
      </c>
      <c r="R1113" s="47" t="n">
        <f aca="false">IF($P1113="",0,$P1113)</f>
        <v>0</v>
      </c>
    </row>
    <row r="1114" customFormat="false" ht="18" hidden="false" customHeight="true" outlineLevel="0" collapsed="false">
      <c r="A1114" s="39"/>
      <c r="B1114" s="41"/>
      <c r="C1114" s="40"/>
      <c r="D1114" s="40"/>
      <c r="E1114" s="40"/>
      <c r="F1114" s="42"/>
      <c r="G1114" s="39"/>
      <c r="H1114" s="40"/>
      <c r="I1114" s="40"/>
      <c r="J1114" s="40"/>
      <c r="K1114" s="41"/>
      <c r="L1114" s="39"/>
      <c r="M1114" s="48" t="str">
        <f aca="false">IF($E1114="","",IFERROR(INDEX(Parâmetros!$C$15:$C$20,MATCH($P1114,Parâmetros!$B$15:$B$20,0)),""))</f>
        <v/>
      </c>
      <c r="N1114" s="46" t="str">
        <f aca="false">IF($E1114="","",IF($P1114="","",IF($P1114&gt;=8,"Alta",IF($P1114&gt;=5,"Média","Baixa"))))</f>
        <v/>
      </c>
      <c r="O1114" s="46" t="str">
        <f aca="false">IF($E1114="","",IF(AND(Parâmetros!$C$5&gt;0,$P1114&lt;&gt;"",$P1114&gt;=Parâmetros!$C$5),"Sim","Não"))</f>
        <v/>
      </c>
      <c r="P1114" s="45" t="str">
        <f aca="false">IF($E1114="","",IF($G1114="","",IF($G1114="NOK",$F1114,0)))</f>
        <v/>
      </c>
      <c r="Q1114" s="46" t="str">
        <f aca="false">IF($E1114="","",IF($O1114&lt;&gt;"Sim","",COUNTIF($O$3:$O1114,"Sim")))</f>
        <v/>
      </c>
      <c r="R1114" s="47" t="n">
        <f aca="false">IF($P1114="",0,$P1114)</f>
        <v>0</v>
      </c>
    </row>
    <row r="1115" customFormat="false" ht="18" hidden="false" customHeight="true" outlineLevel="0" collapsed="false">
      <c r="A1115" s="39"/>
      <c r="B1115" s="41"/>
      <c r="C1115" s="40"/>
      <c r="D1115" s="40"/>
      <c r="E1115" s="40"/>
      <c r="F1115" s="42"/>
      <c r="G1115" s="39"/>
      <c r="H1115" s="40"/>
      <c r="I1115" s="40"/>
      <c r="J1115" s="40"/>
      <c r="K1115" s="41"/>
      <c r="L1115" s="39"/>
      <c r="M1115" s="48" t="str">
        <f aca="false">IF($E1115="","",IFERROR(INDEX(Parâmetros!$C$15:$C$20,MATCH($P1115,Parâmetros!$B$15:$B$20,0)),""))</f>
        <v/>
      </c>
      <c r="N1115" s="46" t="str">
        <f aca="false">IF($E1115="","",IF($P1115="","",IF($P1115&gt;=8,"Alta",IF($P1115&gt;=5,"Média","Baixa"))))</f>
        <v/>
      </c>
      <c r="O1115" s="46" t="str">
        <f aca="false">IF($E1115="","",IF(AND(Parâmetros!$C$5&gt;0,$P1115&lt;&gt;"",$P1115&gt;=Parâmetros!$C$5),"Sim","Não"))</f>
        <v/>
      </c>
      <c r="P1115" s="45" t="str">
        <f aca="false">IF($E1115="","",IF($G1115="","",IF($G1115="NOK",$F1115,0)))</f>
        <v/>
      </c>
      <c r="Q1115" s="46" t="str">
        <f aca="false">IF($E1115="","",IF($O1115&lt;&gt;"Sim","",COUNTIF($O$3:$O1115,"Sim")))</f>
        <v/>
      </c>
      <c r="R1115" s="47" t="n">
        <f aca="false">IF($P1115="",0,$P1115)</f>
        <v>0</v>
      </c>
    </row>
    <row r="1116" customFormat="false" ht="18" hidden="false" customHeight="true" outlineLevel="0" collapsed="false">
      <c r="A1116" s="39"/>
      <c r="B1116" s="41"/>
      <c r="C1116" s="40"/>
      <c r="D1116" s="40"/>
      <c r="E1116" s="40"/>
      <c r="F1116" s="42"/>
      <c r="G1116" s="39"/>
      <c r="H1116" s="40"/>
      <c r="I1116" s="40"/>
      <c r="J1116" s="40"/>
      <c r="K1116" s="41"/>
      <c r="L1116" s="39"/>
      <c r="M1116" s="48" t="str">
        <f aca="false">IF($E1116="","",IFERROR(INDEX(Parâmetros!$C$15:$C$20,MATCH($P1116,Parâmetros!$B$15:$B$20,0)),""))</f>
        <v/>
      </c>
      <c r="N1116" s="46" t="str">
        <f aca="false">IF($E1116="","",IF($P1116="","",IF($P1116&gt;=8,"Alta",IF($P1116&gt;=5,"Média","Baixa"))))</f>
        <v/>
      </c>
      <c r="O1116" s="46" t="str">
        <f aca="false">IF($E1116="","",IF(AND(Parâmetros!$C$5&gt;0,$P1116&lt;&gt;"",$P1116&gt;=Parâmetros!$C$5),"Sim","Não"))</f>
        <v/>
      </c>
      <c r="P1116" s="45" t="str">
        <f aca="false">IF($E1116="","",IF($G1116="","",IF($G1116="NOK",$F1116,0)))</f>
        <v/>
      </c>
      <c r="Q1116" s="46" t="str">
        <f aca="false">IF($E1116="","",IF($O1116&lt;&gt;"Sim","",COUNTIF($O$3:$O1116,"Sim")))</f>
        <v/>
      </c>
      <c r="R1116" s="47" t="n">
        <f aca="false">IF($P1116="",0,$P1116)</f>
        <v>0</v>
      </c>
    </row>
    <row r="1117" customFormat="false" ht="18" hidden="false" customHeight="true" outlineLevel="0" collapsed="false">
      <c r="A1117" s="39"/>
      <c r="B1117" s="41"/>
      <c r="C1117" s="40"/>
      <c r="D1117" s="40"/>
      <c r="E1117" s="40"/>
      <c r="F1117" s="42"/>
      <c r="G1117" s="39"/>
      <c r="H1117" s="40"/>
      <c r="I1117" s="40"/>
      <c r="J1117" s="40"/>
      <c r="K1117" s="41"/>
      <c r="L1117" s="39"/>
      <c r="M1117" s="48" t="str">
        <f aca="false">IF($E1117="","",IFERROR(INDEX(Parâmetros!$C$15:$C$20,MATCH($P1117,Parâmetros!$B$15:$B$20,0)),""))</f>
        <v/>
      </c>
      <c r="N1117" s="46" t="str">
        <f aca="false">IF($E1117="","",IF($P1117="","",IF($P1117&gt;=8,"Alta",IF($P1117&gt;=5,"Média","Baixa"))))</f>
        <v/>
      </c>
      <c r="O1117" s="46" t="str">
        <f aca="false">IF($E1117="","",IF(AND(Parâmetros!$C$5&gt;0,$P1117&lt;&gt;"",$P1117&gt;=Parâmetros!$C$5),"Sim","Não"))</f>
        <v/>
      </c>
      <c r="P1117" s="45" t="str">
        <f aca="false">IF($E1117="","",IF($G1117="","",IF($G1117="NOK",$F1117,0)))</f>
        <v/>
      </c>
      <c r="Q1117" s="46" t="str">
        <f aca="false">IF($E1117="","",IF($O1117&lt;&gt;"Sim","",COUNTIF($O$3:$O1117,"Sim")))</f>
        <v/>
      </c>
      <c r="R1117" s="47" t="n">
        <f aca="false">IF($P1117="",0,$P1117)</f>
        <v>0</v>
      </c>
    </row>
    <row r="1118" customFormat="false" ht="18" hidden="false" customHeight="true" outlineLevel="0" collapsed="false">
      <c r="A1118" s="39"/>
      <c r="B1118" s="41"/>
      <c r="C1118" s="40"/>
      <c r="D1118" s="40"/>
      <c r="E1118" s="40"/>
      <c r="F1118" s="42"/>
      <c r="G1118" s="39"/>
      <c r="H1118" s="40"/>
      <c r="I1118" s="40"/>
      <c r="J1118" s="40"/>
      <c r="K1118" s="41"/>
      <c r="L1118" s="39"/>
      <c r="M1118" s="48" t="str">
        <f aca="false">IF($E1118="","",IFERROR(INDEX(Parâmetros!$C$15:$C$20,MATCH($P1118,Parâmetros!$B$15:$B$20,0)),""))</f>
        <v/>
      </c>
      <c r="N1118" s="46" t="str">
        <f aca="false">IF($E1118="","",IF($P1118="","",IF($P1118&gt;=8,"Alta",IF($P1118&gt;=5,"Média","Baixa"))))</f>
        <v/>
      </c>
      <c r="O1118" s="46" t="str">
        <f aca="false">IF($E1118="","",IF(AND(Parâmetros!$C$5&gt;0,$P1118&lt;&gt;"",$P1118&gt;=Parâmetros!$C$5),"Sim","Não"))</f>
        <v/>
      </c>
      <c r="P1118" s="45" t="str">
        <f aca="false">IF($E1118="","",IF($G1118="","",IF($G1118="NOK",$F1118,0)))</f>
        <v/>
      </c>
      <c r="Q1118" s="46" t="str">
        <f aca="false">IF($E1118="","",IF($O1118&lt;&gt;"Sim","",COUNTIF($O$3:$O1118,"Sim")))</f>
        <v/>
      </c>
      <c r="R1118" s="47" t="n">
        <f aca="false">IF($P1118="",0,$P1118)</f>
        <v>0</v>
      </c>
    </row>
    <row r="1119" customFormat="false" ht="18" hidden="false" customHeight="true" outlineLevel="0" collapsed="false">
      <c r="A1119" s="39"/>
      <c r="B1119" s="41"/>
      <c r="C1119" s="40"/>
      <c r="D1119" s="40"/>
      <c r="E1119" s="40"/>
      <c r="F1119" s="42"/>
      <c r="G1119" s="39"/>
      <c r="H1119" s="40"/>
      <c r="I1119" s="40"/>
      <c r="J1119" s="40"/>
      <c r="K1119" s="41"/>
      <c r="L1119" s="39"/>
      <c r="M1119" s="48" t="str">
        <f aca="false">IF($E1119="","",IFERROR(INDEX(Parâmetros!$C$15:$C$20,MATCH($P1119,Parâmetros!$B$15:$B$20,0)),""))</f>
        <v/>
      </c>
      <c r="N1119" s="46" t="str">
        <f aca="false">IF($E1119="","",IF($P1119="","",IF($P1119&gt;=8,"Alta",IF($P1119&gt;=5,"Média","Baixa"))))</f>
        <v/>
      </c>
      <c r="O1119" s="46" t="str">
        <f aca="false">IF($E1119="","",IF(AND(Parâmetros!$C$5&gt;0,$P1119&lt;&gt;"",$P1119&gt;=Parâmetros!$C$5),"Sim","Não"))</f>
        <v/>
      </c>
      <c r="P1119" s="45" t="str">
        <f aca="false">IF($E1119="","",IF($G1119="","",IF($G1119="NOK",$F1119,0)))</f>
        <v/>
      </c>
      <c r="Q1119" s="46" t="str">
        <f aca="false">IF($E1119="","",IF($O1119&lt;&gt;"Sim","",COUNTIF($O$3:$O1119,"Sim")))</f>
        <v/>
      </c>
      <c r="R1119" s="47" t="n">
        <f aca="false">IF($P1119="",0,$P1119)</f>
        <v>0</v>
      </c>
    </row>
    <row r="1120" customFormat="false" ht="18" hidden="false" customHeight="true" outlineLevel="0" collapsed="false">
      <c r="A1120" s="39"/>
      <c r="B1120" s="41"/>
      <c r="C1120" s="40"/>
      <c r="D1120" s="40"/>
      <c r="E1120" s="40"/>
      <c r="F1120" s="42"/>
      <c r="G1120" s="39"/>
      <c r="H1120" s="40"/>
      <c r="I1120" s="40"/>
      <c r="J1120" s="40"/>
      <c r="K1120" s="41"/>
      <c r="L1120" s="39"/>
      <c r="M1120" s="48" t="str">
        <f aca="false">IF($E1120="","",IFERROR(INDEX(Parâmetros!$C$15:$C$20,MATCH($P1120,Parâmetros!$B$15:$B$20,0)),""))</f>
        <v/>
      </c>
      <c r="N1120" s="46" t="str">
        <f aca="false">IF($E1120="","",IF($P1120="","",IF($P1120&gt;=8,"Alta",IF($P1120&gt;=5,"Média","Baixa"))))</f>
        <v/>
      </c>
      <c r="O1120" s="46" t="str">
        <f aca="false">IF($E1120="","",IF(AND(Parâmetros!$C$5&gt;0,$P1120&lt;&gt;"",$P1120&gt;=Parâmetros!$C$5),"Sim","Não"))</f>
        <v/>
      </c>
      <c r="P1120" s="45" t="str">
        <f aca="false">IF($E1120="","",IF($G1120="","",IF($G1120="NOK",$F1120,0)))</f>
        <v/>
      </c>
      <c r="Q1120" s="46" t="str">
        <f aca="false">IF($E1120="","",IF($O1120&lt;&gt;"Sim","",COUNTIF($O$3:$O1120,"Sim")))</f>
        <v/>
      </c>
      <c r="R1120" s="47" t="n">
        <f aca="false">IF($P1120="",0,$P1120)</f>
        <v>0</v>
      </c>
    </row>
    <row r="1121" customFormat="false" ht="18" hidden="false" customHeight="true" outlineLevel="0" collapsed="false">
      <c r="A1121" s="39"/>
      <c r="B1121" s="41"/>
      <c r="C1121" s="40"/>
      <c r="D1121" s="40"/>
      <c r="E1121" s="40"/>
      <c r="F1121" s="42"/>
      <c r="G1121" s="39"/>
      <c r="H1121" s="40"/>
      <c r="I1121" s="40"/>
      <c r="J1121" s="40"/>
      <c r="K1121" s="41"/>
      <c r="L1121" s="39"/>
      <c r="M1121" s="48" t="str">
        <f aca="false">IF($E1121="","",IFERROR(INDEX(Parâmetros!$C$15:$C$20,MATCH($P1121,Parâmetros!$B$15:$B$20,0)),""))</f>
        <v/>
      </c>
      <c r="N1121" s="46" t="str">
        <f aca="false">IF($E1121="","",IF($P1121="","",IF($P1121&gt;=8,"Alta",IF($P1121&gt;=5,"Média","Baixa"))))</f>
        <v/>
      </c>
      <c r="O1121" s="46" t="str">
        <f aca="false">IF($E1121="","",IF(AND(Parâmetros!$C$5&gt;0,$P1121&lt;&gt;"",$P1121&gt;=Parâmetros!$C$5),"Sim","Não"))</f>
        <v/>
      </c>
      <c r="P1121" s="45" t="str">
        <f aca="false">IF($E1121="","",IF($G1121="","",IF($G1121="NOK",$F1121,0)))</f>
        <v/>
      </c>
      <c r="Q1121" s="46" t="str">
        <f aca="false">IF($E1121="","",IF($O1121&lt;&gt;"Sim","",COUNTIF($O$3:$O1121,"Sim")))</f>
        <v/>
      </c>
      <c r="R1121" s="47" t="n">
        <f aca="false">IF($P1121="",0,$P1121)</f>
        <v>0</v>
      </c>
    </row>
    <row r="1122" customFormat="false" ht="18" hidden="false" customHeight="true" outlineLevel="0" collapsed="false">
      <c r="A1122" s="39"/>
      <c r="B1122" s="41"/>
      <c r="C1122" s="40"/>
      <c r="D1122" s="40"/>
      <c r="E1122" s="40"/>
      <c r="F1122" s="42"/>
      <c r="G1122" s="39"/>
      <c r="H1122" s="40"/>
      <c r="I1122" s="40"/>
      <c r="J1122" s="40"/>
      <c r="K1122" s="41"/>
      <c r="L1122" s="39"/>
      <c r="M1122" s="48" t="str">
        <f aca="false">IF($E1122="","",IFERROR(INDEX(Parâmetros!$C$15:$C$20,MATCH($P1122,Parâmetros!$B$15:$B$20,0)),""))</f>
        <v/>
      </c>
      <c r="N1122" s="46" t="str">
        <f aca="false">IF($E1122="","",IF($P1122="","",IF($P1122&gt;=8,"Alta",IF($P1122&gt;=5,"Média","Baixa"))))</f>
        <v/>
      </c>
      <c r="O1122" s="46" t="str">
        <f aca="false">IF($E1122="","",IF(AND(Parâmetros!$C$5&gt;0,$P1122&lt;&gt;"",$P1122&gt;=Parâmetros!$C$5),"Sim","Não"))</f>
        <v/>
      </c>
      <c r="P1122" s="45" t="str">
        <f aca="false">IF($E1122="","",IF($G1122="","",IF($G1122="NOK",$F1122,0)))</f>
        <v/>
      </c>
      <c r="Q1122" s="46" t="str">
        <f aca="false">IF($E1122="","",IF($O1122&lt;&gt;"Sim","",COUNTIF($O$3:$O1122,"Sim")))</f>
        <v/>
      </c>
      <c r="R1122" s="47" t="n">
        <f aca="false">IF($P1122="",0,$P1122)</f>
        <v>0</v>
      </c>
    </row>
    <row r="1123" customFormat="false" ht="18" hidden="false" customHeight="true" outlineLevel="0" collapsed="false">
      <c r="A1123" s="39"/>
      <c r="B1123" s="41"/>
      <c r="C1123" s="40"/>
      <c r="D1123" s="40"/>
      <c r="E1123" s="40"/>
      <c r="F1123" s="42"/>
      <c r="G1123" s="39"/>
      <c r="H1123" s="40"/>
      <c r="I1123" s="40"/>
      <c r="J1123" s="40"/>
      <c r="K1123" s="41"/>
      <c r="L1123" s="39"/>
      <c r="M1123" s="48" t="str">
        <f aca="false">IF($E1123="","",IFERROR(INDEX(Parâmetros!$C$15:$C$20,MATCH($P1123,Parâmetros!$B$15:$B$20,0)),""))</f>
        <v/>
      </c>
      <c r="N1123" s="46" t="str">
        <f aca="false">IF($E1123="","",IF($P1123="","",IF($P1123&gt;=8,"Alta",IF($P1123&gt;=5,"Média","Baixa"))))</f>
        <v/>
      </c>
      <c r="O1123" s="46" t="str">
        <f aca="false">IF($E1123="","",IF(AND(Parâmetros!$C$5&gt;0,$P1123&lt;&gt;"",$P1123&gt;=Parâmetros!$C$5),"Sim","Não"))</f>
        <v/>
      </c>
      <c r="P1123" s="45" t="str">
        <f aca="false">IF($E1123="","",IF($G1123="","",IF($G1123="NOK",$F1123,0)))</f>
        <v/>
      </c>
      <c r="Q1123" s="46" t="str">
        <f aca="false">IF($E1123="","",IF($O1123&lt;&gt;"Sim","",COUNTIF($O$3:$O1123,"Sim")))</f>
        <v/>
      </c>
      <c r="R1123" s="47" t="n">
        <f aca="false">IF($P1123="",0,$P1123)</f>
        <v>0</v>
      </c>
    </row>
    <row r="1124" customFormat="false" ht="18" hidden="false" customHeight="true" outlineLevel="0" collapsed="false">
      <c r="A1124" s="39"/>
      <c r="B1124" s="41"/>
      <c r="C1124" s="40"/>
      <c r="D1124" s="40"/>
      <c r="E1124" s="40"/>
      <c r="F1124" s="42"/>
      <c r="G1124" s="39"/>
      <c r="H1124" s="40"/>
      <c r="I1124" s="40"/>
      <c r="J1124" s="40"/>
      <c r="K1124" s="41"/>
      <c r="L1124" s="39"/>
      <c r="M1124" s="48" t="str">
        <f aca="false">IF($E1124="","",IFERROR(INDEX(Parâmetros!$C$15:$C$20,MATCH($P1124,Parâmetros!$B$15:$B$20,0)),""))</f>
        <v/>
      </c>
      <c r="N1124" s="46" t="str">
        <f aca="false">IF($E1124="","",IF($P1124="","",IF($P1124&gt;=8,"Alta",IF($P1124&gt;=5,"Média","Baixa"))))</f>
        <v/>
      </c>
      <c r="O1124" s="46" t="str">
        <f aca="false">IF($E1124="","",IF(AND(Parâmetros!$C$5&gt;0,$P1124&lt;&gt;"",$P1124&gt;=Parâmetros!$C$5),"Sim","Não"))</f>
        <v/>
      </c>
      <c r="P1124" s="45" t="str">
        <f aca="false">IF($E1124="","",IF($G1124="","",IF($G1124="NOK",$F1124,0)))</f>
        <v/>
      </c>
      <c r="Q1124" s="46" t="str">
        <f aca="false">IF($E1124="","",IF($O1124&lt;&gt;"Sim","",COUNTIF($O$3:$O1124,"Sim")))</f>
        <v/>
      </c>
      <c r="R1124" s="47" t="n">
        <f aca="false">IF($P1124="",0,$P1124)</f>
        <v>0</v>
      </c>
    </row>
    <row r="1125" customFormat="false" ht="18" hidden="false" customHeight="true" outlineLevel="0" collapsed="false">
      <c r="A1125" s="39"/>
      <c r="B1125" s="41"/>
      <c r="C1125" s="40"/>
      <c r="D1125" s="40"/>
      <c r="E1125" s="40"/>
      <c r="F1125" s="42"/>
      <c r="G1125" s="39"/>
      <c r="H1125" s="40"/>
      <c r="I1125" s="40"/>
      <c r="J1125" s="40"/>
      <c r="K1125" s="41"/>
      <c r="L1125" s="39"/>
      <c r="M1125" s="48" t="str">
        <f aca="false">IF($E1125="","",IFERROR(INDEX(Parâmetros!$C$15:$C$20,MATCH($P1125,Parâmetros!$B$15:$B$20,0)),""))</f>
        <v/>
      </c>
      <c r="N1125" s="46" t="str">
        <f aca="false">IF($E1125="","",IF($P1125="","",IF($P1125&gt;=8,"Alta",IF($P1125&gt;=5,"Média","Baixa"))))</f>
        <v/>
      </c>
      <c r="O1125" s="46" t="str">
        <f aca="false">IF($E1125="","",IF(AND(Parâmetros!$C$5&gt;0,$P1125&lt;&gt;"",$P1125&gt;=Parâmetros!$C$5),"Sim","Não"))</f>
        <v/>
      </c>
      <c r="P1125" s="45" t="str">
        <f aca="false">IF($E1125="","",IF($G1125="","",IF($G1125="NOK",$F1125,0)))</f>
        <v/>
      </c>
      <c r="Q1125" s="46" t="str">
        <f aca="false">IF($E1125="","",IF($O1125&lt;&gt;"Sim","",COUNTIF($O$3:$O1125,"Sim")))</f>
        <v/>
      </c>
      <c r="R1125" s="47" t="n">
        <f aca="false">IF($P1125="",0,$P1125)</f>
        <v>0</v>
      </c>
    </row>
    <row r="1126" customFormat="false" ht="18" hidden="false" customHeight="true" outlineLevel="0" collapsed="false">
      <c r="A1126" s="39"/>
      <c r="B1126" s="41"/>
      <c r="C1126" s="40"/>
      <c r="D1126" s="40"/>
      <c r="E1126" s="40"/>
      <c r="F1126" s="42"/>
      <c r="G1126" s="39"/>
      <c r="H1126" s="40"/>
      <c r="I1126" s="40"/>
      <c r="J1126" s="40"/>
      <c r="K1126" s="41"/>
      <c r="L1126" s="39"/>
      <c r="M1126" s="48" t="str">
        <f aca="false">IF($E1126="","",IFERROR(INDEX(Parâmetros!$C$15:$C$20,MATCH($P1126,Parâmetros!$B$15:$B$20,0)),""))</f>
        <v/>
      </c>
      <c r="N1126" s="46" t="str">
        <f aca="false">IF($E1126="","",IF($P1126="","",IF($P1126&gt;=8,"Alta",IF($P1126&gt;=5,"Média","Baixa"))))</f>
        <v/>
      </c>
      <c r="O1126" s="46" t="str">
        <f aca="false">IF($E1126="","",IF(AND(Parâmetros!$C$5&gt;0,$P1126&lt;&gt;"",$P1126&gt;=Parâmetros!$C$5),"Sim","Não"))</f>
        <v/>
      </c>
      <c r="P1126" s="45" t="str">
        <f aca="false">IF($E1126="","",IF($G1126="","",IF($G1126="NOK",$F1126,0)))</f>
        <v/>
      </c>
      <c r="Q1126" s="46" t="str">
        <f aca="false">IF($E1126="","",IF($O1126&lt;&gt;"Sim","",COUNTIF($O$3:$O1126,"Sim")))</f>
        <v/>
      </c>
      <c r="R1126" s="47" t="n">
        <f aca="false">IF($P1126="",0,$P1126)</f>
        <v>0</v>
      </c>
    </row>
    <row r="1127" customFormat="false" ht="18" hidden="false" customHeight="true" outlineLevel="0" collapsed="false">
      <c r="A1127" s="39"/>
      <c r="B1127" s="41"/>
      <c r="C1127" s="40"/>
      <c r="D1127" s="40"/>
      <c r="E1127" s="40"/>
      <c r="F1127" s="42"/>
      <c r="G1127" s="39"/>
      <c r="H1127" s="40"/>
      <c r="I1127" s="40"/>
      <c r="J1127" s="40"/>
      <c r="K1127" s="41"/>
      <c r="L1127" s="39"/>
      <c r="M1127" s="48" t="str">
        <f aca="false">IF($E1127="","",IFERROR(INDEX(Parâmetros!$C$15:$C$20,MATCH($P1127,Parâmetros!$B$15:$B$20,0)),""))</f>
        <v/>
      </c>
      <c r="N1127" s="46" t="str">
        <f aca="false">IF($E1127="","",IF($P1127="","",IF($P1127&gt;=8,"Alta",IF($P1127&gt;=5,"Média","Baixa"))))</f>
        <v/>
      </c>
      <c r="O1127" s="46" t="str">
        <f aca="false">IF($E1127="","",IF(AND(Parâmetros!$C$5&gt;0,$P1127&lt;&gt;"",$P1127&gt;=Parâmetros!$C$5),"Sim","Não"))</f>
        <v/>
      </c>
      <c r="P1127" s="45" t="str">
        <f aca="false">IF($E1127="","",IF($G1127="","",IF($G1127="NOK",$F1127,0)))</f>
        <v/>
      </c>
      <c r="Q1127" s="46" t="str">
        <f aca="false">IF($E1127="","",IF($O1127&lt;&gt;"Sim","",COUNTIF($O$3:$O1127,"Sim")))</f>
        <v/>
      </c>
      <c r="R1127" s="47" t="n">
        <f aca="false">IF($P1127="",0,$P1127)</f>
        <v>0</v>
      </c>
    </row>
    <row r="1128" customFormat="false" ht="18" hidden="false" customHeight="true" outlineLevel="0" collapsed="false">
      <c r="A1128" s="39"/>
      <c r="B1128" s="41"/>
      <c r="C1128" s="40"/>
      <c r="D1128" s="40"/>
      <c r="E1128" s="40"/>
      <c r="F1128" s="42"/>
      <c r="G1128" s="39"/>
      <c r="H1128" s="40"/>
      <c r="I1128" s="40"/>
      <c r="J1128" s="40"/>
      <c r="K1128" s="41"/>
      <c r="L1128" s="39"/>
      <c r="M1128" s="48" t="str">
        <f aca="false">IF($E1128="","",IFERROR(INDEX(Parâmetros!$C$15:$C$20,MATCH($P1128,Parâmetros!$B$15:$B$20,0)),""))</f>
        <v/>
      </c>
      <c r="N1128" s="46" t="str">
        <f aca="false">IF($E1128="","",IF($P1128="","",IF($P1128&gt;=8,"Alta",IF($P1128&gt;=5,"Média","Baixa"))))</f>
        <v/>
      </c>
      <c r="O1128" s="46" t="str">
        <f aca="false">IF($E1128="","",IF(AND(Parâmetros!$C$5&gt;0,$P1128&lt;&gt;"",$P1128&gt;=Parâmetros!$C$5),"Sim","Não"))</f>
        <v/>
      </c>
      <c r="P1128" s="45" t="str">
        <f aca="false">IF($E1128="","",IF($G1128="","",IF($G1128="NOK",$F1128,0)))</f>
        <v/>
      </c>
      <c r="Q1128" s="46" t="str">
        <f aca="false">IF($E1128="","",IF($O1128&lt;&gt;"Sim","",COUNTIF($O$3:$O1128,"Sim")))</f>
        <v/>
      </c>
      <c r="R1128" s="47" t="n">
        <f aca="false">IF($P1128="",0,$P1128)</f>
        <v>0</v>
      </c>
    </row>
    <row r="1129" customFormat="false" ht="18" hidden="false" customHeight="true" outlineLevel="0" collapsed="false">
      <c r="A1129" s="39"/>
      <c r="B1129" s="41"/>
      <c r="C1129" s="40"/>
      <c r="D1129" s="40"/>
      <c r="E1129" s="40"/>
      <c r="F1129" s="42"/>
      <c r="G1129" s="39"/>
      <c r="H1129" s="40"/>
      <c r="I1129" s="40"/>
      <c r="J1129" s="40"/>
      <c r="K1129" s="41"/>
      <c r="L1129" s="39"/>
      <c r="M1129" s="48" t="str">
        <f aca="false">IF($E1129="","",IFERROR(INDEX(Parâmetros!$C$15:$C$20,MATCH($P1129,Parâmetros!$B$15:$B$20,0)),""))</f>
        <v/>
      </c>
      <c r="N1129" s="46" t="str">
        <f aca="false">IF($E1129="","",IF($P1129="","",IF($P1129&gt;=8,"Alta",IF($P1129&gt;=5,"Média","Baixa"))))</f>
        <v/>
      </c>
      <c r="O1129" s="46" t="str">
        <f aca="false">IF($E1129="","",IF(AND(Parâmetros!$C$5&gt;0,$P1129&lt;&gt;"",$P1129&gt;=Parâmetros!$C$5),"Sim","Não"))</f>
        <v/>
      </c>
      <c r="P1129" s="45" t="str">
        <f aca="false">IF($E1129="","",IF($G1129="","",IF($G1129="NOK",$F1129,0)))</f>
        <v/>
      </c>
      <c r="Q1129" s="46" t="str">
        <f aca="false">IF($E1129="","",IF($O1129&lt;&gt;"Sim","",COUNTIF($O$3:$O1129,"Sim")))</f>
        <v/>
      </c>
      <c r="R1129" s="47" t="n">
        <f aca="false">IF($P1129="",0,$P1129)</f>
        <v>0</v>
      </c>
    </row>
    <row r="1130" customFormat="false" ht="18" hidden="false" customHeight="true" outlineLevel="0" collapsed="false">
      <c r="A1130" s="39"/>
      <c r="B1130" s="41"/>
      <c r="C1130" s="40"/>
      <c r="D1130" s="40"/>
      <c r="E1130" s="40"/>
      <c r="F1130" s="42"/>
      <c r="G1130" s="39"/>
      <c r="H1130" s="40"/>
      <c r="I1130" s="40"/>
      <c r="J1130" s="40"/>
      <c r="K1130" s="41"/>
      <c r="L1130" s="39"/>
      <c r="M1130" s="48" t="str">
        <f aca="false">IF($E1130="","",IFERROR(INDEX(Parâmetros!$C$15:$C$20,MATCH($P1130,Parâmetros!$B$15:$B$20,0)),""))</f>
        <v/>
      </c>
      <c r="N1130" s="46" t="str">
        <f aca="false">IF($E1130="","",IF($P1130="","",IF($P1130&gt;=8,"Alta",IF($P1130&gt;=5,"Média","Baixa"))))</f>
        <v/>
      </c>
      <c r="O1130" s="46" t="str">
        <f aca="false">IF($E1130="","",IF(AND(Parâmetros!$C$5&gt;0,$P1130&lt;&gt;"",$P1130&gt;=Parâmetros!$C$5),"Sim","Não"))</f>
        <v/>
      </c>
      <c r="P1130" s="45" t="str">
        <f aca="false">IF($E1130="","",IF($G1130="","",IF($G1130="NOK",$F1130,0)))</f>
        <v/>
      </c>
      <c r="Q1130" s="46" t="str">
        <f aca="false">IF($E1130="","",IF($O1130&lt;&gt;"Sim","",COUNTIF($O$3:$O1130,"Sim")))</f>
        <v/>
      </c>
      <c r="R1130" s="47" t="n">
        <f aca="false">IF($P1130="",0,$P1130)</f>
        <v>0</v>
      </c>
    </row>
    <row r="1131" customFormat="false" ht="18" hidden="false" customHeight="true" outlineLevel="0" collapsed="false">
      <c r="A1131" s="39"/>
      <c r="B1131" s="41"/>
      <c r="C1131" s="40"/>
      <c r="D1131" s="40"/>
      <c r="E1131" s="40"/>
      <c r="F1131" s="42"/>
      <c r="G1131" s="39"/>
      <c r="H1131" s="40"/>
      <c r="I1131" s="40"/>
      <c r="J1131" s="40"/>
      <c r="K1131" s="41"/>
      <c r="L1131" s="39"/>
      <c r="M1131" s="48" t="str">
        <f aca="false">IF($E1131="","",IFERROR(INDEX(Parâmetros!$C$15:$C$20,MATCH($P1131,Parâmetros!$B$15:$B$20,0)),""))</f>
        <v/>
      </c>
      <c r="N1131" s="46" t="str">
        <f aca="false">IF($E1131="","",IF($P1131="","",IF($P1131&gt;=8,"Alta",IF($P1131&gt;=5,"Média","Baixa"))))</f>
        <v/>
      </c>
      <c r="O1131" s="46" t="str">
        <f aca="false">IF($E1131="","",IF(AND(Parâmetros!$C$5&gt;0,$P1131&lt;&gt;"",$P1131&gt;=Parâmetros!$C$5),"Sim","Não"))</f>
        <v/>
      </c>
      <c r="P1131" s="45" t="str">
        <f aca="false">IF($E1131="","",IF($G1131="","",IF($G1131="NOK",$F1131,0)))</f>
        <v/>
      </c>
      <c r="Q1131" s="46" t="str">
        <f aca="false">IF($E1131="","",IF($O1131&lt;&gt;"Sim","",COUNTIF($O$3:$O1131,"Sim")))</f>
        <v/>
      </c>
      <c r="R1131" s="47" t="n">
        <f aca="false">IF($P1131="",0,$P1131)</f>
        <v>0</v>
      </c>
    </row>
    <row r="1132" customFormat="false" ht="18" hidden="false" customHeight="true" outlineLevel="0" collapsed="false">
      <c r="A1132" s="39"/>
      <c r="B1132" s="41"/>
      <c r="C1132" s="40"/>
      <c r="D1132" s="40"/>
      <c r="E1132" s="40"/>
      <c r="F1132" s="42"/>
      <c r="G1132" s="39"/>
      <c r="H1132" s="40"/>
      <c r="I1132" s="40"/>
      <c r="J1132" s="40"/>
      <c r="K1132" s="41"/>
      <c r="L1132" s="39"/>
      <c r="M1132" s="48" t="str">
        <f aca="false">IF($E1132="","",IFERROR(INDEX(Parâmetros!$C$15:$C$20,MATCH($P1132,Parâmetros!$B$15:$B$20,0)),""))</f>
        <v/>
      </c>
      <c r="N1132" s="46" t="str">
        <f aca="false">IF($E1132="","",IF($P1132="","",IF($P1132&gt;=8,"Alta",IF($P1132&gt;=5,"Média","Baixa"))))</f>
        <v/>
      </c>
      <c r="O1132" s="46" t="str">
        <f aca="false">IF($E1132="","",IF(AND(Parâmetros!$C$5&gt;0,$P1132&lt;&gt;"",$P1132&gt;=Parâmetros!$C$5),"Sim","Não"))</f>
        <v/>
      </c>
      <c r="P1132" s="45" t="str">
        <f aca="false">IF($E1132="","",IF($G1132="","",IF($G1132="NOK",$F1132,0)))</f>
        <v/>
      </c>
      <c r="Q1132" s="46" t="str">
        <f aca="false">IF($E1132="","",IF($O1132&lt;&gt;"Sim","",COUNTIF($O$3:$O1132,"Sim")))</f>
        <v/>
      </c>
      <c r="R1132" s="47" t="n">
        <f aca="false">IF($P1132="",0,$P1132)</f>
        <v>0</v>
      </c>
    </row>
    <row r="1133" customFormat="false" ht="18" hidden="false" customHeight="true" outlineLevel="0" collapsed="false">
      <c r="A1133" s="39"/>
      <c r="B1133" s="41"/>
      <c r="C1133" s="40"/>
      <c r="D1133" s="40"/>
      <c r="E1133" s="40"/>
      <c r="F1133" s="42"/>
      <c r="G1133" s="39"/>
      <c r="H1133" s="40"/>
      <c r="I1133" s="40"/>
      <c r="J1133" s="40"/>
      <c r="K1133" s="41"/>
      <c r="L1133" s="39"/>
      <c r="M1133" s="48" t="str">
        <f aca="false">IF($E1133="","",IFERROR(INDEX(Parâmetros!$C$15:$C$20,MATCH($P1133,Parâmetros!$B$15:$B$20,0)),""))</f>
        <v/>
      </c>
      <c r="N1133" s="46" t="str">
        <f aca="false">IF($E1133="","",IF($P1133="","",IF($P1133&gt;=8,"Alta",IF($P1133&gt;=5,"Média","Baixa"))))</f>
        <v/>
      </c>
      <c r="O1133" s="46" t="str">
        <f aca="false">IF($E1133="","",IF(AND(Parâmetros!$C$5&gt;0,$P1133&lt;&gt;"",$P1133&gt;=Parâmetros!$C$5),"Sim","Não"))</f>
        <v/>
      </c>
      <c r="P1133" s="45" t="str">
        <f aca="false">IF($E1133="","",IF($G1133="","",IF($G1133="NOK",$F1133,0)))</f>
        <v/>
      </c>
      <c r="Q1133" s="46" t="str">
        <f aca="false">IF($E1133="","",IF($O1133&lt;&gt;"Sim","",COUNTIF($O$3:$O1133,"Sim")))</f>
        <v/>
      </c>
      <c r="R1133" s="47" t="n">
        <f aca="false">IF($P1133="",0,$P1133)</f>
        <v>0</v>
      </c>
    </row>
    <row r="1134" customFormat="false" ht="18" hidden="false" customHeight="true" outlineLevel="0" collapsed="false">
      <c r="A1134" s="39"/>
      <c r="B1134" s="41"/>
      <c r="C1134" s="40"/>
      <c r="D1134" s="40"/>
      <c r="E1134" s="40"/>
      <c r="F1134" s="42"/>
      <c r="G1134" s="39"/>
      <c r="H1134" s="40"/>
      <c r="I1134" s="40"/>
      <c r="J1134" s="40"/>
      <c r="K1134" s="41"/>
      <c r="L1134" s="39"/>
      <c r="M1134" s="48" t="str">
        <f aca="false">IF($E1134="","",IFERROR(INDEX(Parâmetros!$C$15:$C$20,MATCH($P1134,Parâmetros!$B$15:$B$20,0)),""))</f>
        <v/>
      </c>
      <c r="N1134" s="46" t="str">
        <f aca="false">IF($E1134="","",IF($P1134="","",IF($P1134&gt;=8,"Alta",IF($P1134&gt;=5,"Média","Baixa"))))</f>
        <v/>
      </c>
      <c r="O1134" s="46" t="str">
        <f aca="false">IF($E1134="","",IF(AND(Parâmetros!$C$5&gt;0,$P1134&lt;&gt;"",$P1134&gt;=Parâmetros!$C$5),"Sim","Não"))</f>
        <v/>
      </c>
      <c r="P1134" s="45" t="str">
        <f aca="false">IF($E1134="","",IF($G1134="","",IF($G1134="NOK",$F1134,0)))</f>
        <v/>
      </c>
      <c r="Q1134" s="46" t="str">
        <f aca="false">IF($E1134="","",IF($O1134&lt;&gt;"Sim","",COUNTIF($O$3:$O1134,"Sim")))</f>
        <v/>
      </c>
      <c r="R1134" s="47" t="n">
        <f aca="false">IF($P1134="",0,$P1134)</f>
        <v>0</v>
      </c>
    </row>
    <row r="1135" customFormat="false" ht="18" hidden="false" customHeight="true" outlineLevel="0" collapsed="false">
      <c r="A1135" s="39"/>
      <c r="B1135" s="41"/>
      <c r="C1135" s="40"/>
      <c r="D1135" s="40"/>
      <c r="E1135" s="40"/>
      <c r="F1135" s="42"/>
      <c r="G1135" s="39"/>
      <c r="H1135" s="40"/>
      <c r="I1135" s="40"/>
      <c r="J1135" s="40"/>
      <c r="K1135" s="41"/>
      <c r="L1135" s="39"/>
      <c r="M1135" s="48" t="str">
        <f aca="false">IF($E1135="","",IFERROR(INDEX(Parâmetros!$C$15:$C$20,MATCH($P1135,Parâmetros!$B$15:$B$20,0)),""))</f>
        <v/>
      </c>
      <c r="N1135" s="46" t="str">
        <f aca="false">IF($E1135="","",IF($P1135="","",IF($P1135&gt;=8,"Alta",IF($P1135&gt;=5,"Média","Baixa"))))</f>
        <v/>
      </c>
      <c r="O1135" s="46" t="str">
        <f aca="false">IF($E1135="","",IF(AND(Parâmetros!$C$5&gt;0,$P1135&lt;&gt;"",$P1135&gt;=Parâmetros!$C$5),"Sim","Não"))</f>
        <v/>
      </c>
      <c r="P1135" s="45" t="str">
        <f aca="false">IF($E1135="","",IF($G1135="","",IF($G1135="NOK",$F1135,0)))</f>
        <v/>
      </c>
      <c r="Q1135" s="46" t="str">
        <f aca="false">IF($E1135="","",IF($O1135&lt;&gt;"Sim","",COUNTIF($O$3:$O1135,"Sim")))</f>
        <v/>
      </c>
      <c r="R1135" s="47" t="n">
        <f aca="false">IF($P1135="",0,$P1135)</f>
        <v>0</v>
      </c>
    </row>
    <row r="1136" customFormat="false" ht="18" hidden="false" customHeight="true" outlineLevel="0" collapsed="false">
      <c r="A1136" s="39"/>
      <c r="B1136" s="41"/>
      <c r="C1136" s="40"/>
      <c r="D1136" s="40"/>
      <c r="E1136" s="40"/>
      <c r="F1136" s="42"/>
      <c r="G1136" s="39"/>
      <c r="H1136" s="40"/>
      <c r="I1136" s="40"/>
      <c r="J1136" s="40"/>
      <c r="K1136" s="41"/>
      <c r="L1136" s="39"/>
      <c r="M1136" s="48" t="str">
        <f aca="false">IF($E1136="","",IFERROR(INDEX(Parâmetros!$C$15:$C$20,MATCH($P1136,Parâmetros!$B$15:$B$20,0)),""))</f>
        <v/>
      </c>
      <c r="N1136" s="46" t="str">
        <f aca="false">IF($E1136="","",IF($P1136="","",IF($P1136&gt;=8,"Alta",IF($P1136&gt;=5,"Média","Baixa"))))</f>
        <v/>
      </c>
      <c r="O1136" s="46" t="str">
        <f aca="false">IF($E1136="","",IF(AND(Parâmetros!$C$5&gt;0,$P1136&lt;&gt;"",$P1136&gt;=Parâmetros!$C$5),"Sim","Não"))</f>
        <v/>
      </c>
      <c r="P1136" s="45" t="str">
        <f aca="false">IF($E1136="","",IF($G1136="","",IF($G1136="NOK",$F1136,0)))</f>
        <v/>
      </c>
      <c r="Q1136" s="46" t="str">
        <f aca="false">IF($E1136="","",IF($O1136&lt;&gt;"Sim","",COUNTIF($O$3:$O1136,"Sim")))</f>
        <v/>
      </c>
      <c r="R1136" s="47" t="n">
        <f aca="false">IF($P1136="",0,$P1136)</f>
        <v>0</v>
      </c>
    </row>
    <row r="1137" customFormat="false" ht="18" hidden="false" customHeight="true" outlineLevel="0" collapsed="false">
      <c r="A1137" s="39"/>
      <c r="B1137" s="41"/>
      <c r="C1137" s="40"/>
      <c r="D1137" s="40"/>
      <c r="E1137" s="40"/>
      <c r="F1137" s="42"/>
      <c r="G1137" s="39"/>
      <c r="H1137" s="40"/>
      <c r="I1137" s="40"/>
      <c r="J1137" s="40"/>
      <c r="K1137" s="41"/>
      <c r="L1137" s="39"/>
      <c r="M1137" s="48" t="str">
        <f aca="false">IF($E1137="","",IFERROR(INDEX(Parâmetros!$C$15:$C$20,MATCH($P1137,Parâmetros!$B$15:$B$20,0)),""))</f>
        <v/>
      </c>
      <c r="N1137" s="46" t="str">
        <f aca="false">IF($E1137="","",IF($P1137="","",IF($P1137&gt;=8,"Alta",IF($P1137&gt;=5,"Média","Baixa"))))</f>
        <v/>
      </c>
      <c r="O1137" s="46" t="str">
        <f aca="false">IF($E1137="","",IF(AND(Parâmetros!$C$5&gt;0,$P1137&lt;&gt;"",$P1137&gt;=Parâmetros!$C$5),"Sim","Não"))</f>
        <v/>
      </c>
      <c r="P1137" s="45" t="str">
        <f aca="false">IF($E1137="","",IF($G1137="","",IF($G1137="NOK",$F1137,0)))</f>
        <v/>
      </c>
      <c r="Q1137" s="46" t="str">
        <f aca="false">IF($E1137="","",IF($O1137&lt;&gt;"Sim","",COUNTIF($O$3:$O1137,"Sim")))</f>
        <v/>
      </c>
      <c r="R1137" s="47" t="n">
        <f aca="false">IF($P1137="",0,$P1137)</f>
        <v>0</v>
      </c>
    </row>
    <row r="1138" customFormat="false" ht="18" hidden="false" customHeight="true" outlineLevel="0" collapsed="false">
      <c r="A1138" s="39"/>
      <c r="B1138" s="41"/>
      <c r="C1138" s="40"/>
      <c r="D1138" s="40"/>
      <c r="E1138" s="40"/>
      <c r="F1138" s="42"/>
      <c r="G1138" s="39"/>
      <c r="H1138" s="40"/>
      <c r="I1138" s="40"/>
      <c r="J1138" s="40"/>
      <c r="K1138" s="41"/>
      <c r="L1138" s="39"/>
      <c r="M1138" s="48" t="str">
        <f aca="false">IF($E1138="","",IFERROR(INDEX(Parâmetros!$C$15:$C$20,MATCH($P1138,Parâmetros!$B$15:$B$20,0)),""))</f>
        <v/>
      </c>
      <c r="N1138" s="46" t="str">
        <f aca="false">IF($E1138="","",IF($P1138="","",IF($P1138&gt;=8,"Alta",IF($P1138&gt;=5,"Média","Baixa"))))</f>
        <v/>
      </c>
      <c r="O1138" s="46" t="str">
        <f aca="false">IF($E1138="","",IF(AND(Parâmetros!$C$5&gt;0,$P1138&lt;&gt;"",$P1138&gt;=Parâmetros!$C$5),"Sim","Não"))</f>
        <v/>
      </c>
      <c r="P1138" s="45" t="str">
        <f aca="false">IF($E1138="","",IF($G1138="","",IF($G1138="NOK",$F1138,0)))</f>
        <v/>
      </c>
      <c r="Q1138" s="46" t="str">
        <f aca="false">IF($E1138="","",IF($O1138&lt;&gt;"Sim","",COUNTIF($O$3:$O1138,"Sim")))</f>
        <v/>
      </c>
      <c r="R1138" s="47" t="n">
        <f aca="false">IF($P1138="",0,$P1138)</f>
        <v>0</v>
      </c>
    </row>
    <row r="1139" customFormat="false" ht="18" hidden="false" customHeight="true" outlineLevel="0" collapsed="false">
      <c r="A1139" s="39"/>
      <c r="B1139" s="41"/>
      <c r="C1139" s="40"/>
      <c r="D1139" s="40"/>
      <c r="E1139" s="40"/>
      <c r="F1139" s="42"/>
      <c r="G1139" s="39"/>
      <c r="H1139" s="40"/>
      <c r="I1139" s="40"/>
      <c r="J1139" s="40"/>
      <c r="K1139" s="41"/>
      <c r="L1139" s="39"/>
      <c r="M1139" s="48" t="str">
        <f aca="false">IF($E1139="","",IFERROR(INDEX(Parâmetros!$C$15:$C$20,MATCH($P1139,Parâmetros!$B$15:$B$20,0)),""))</f>
        <v/>
      </c>
      <c r="N1139" s="46" t="str">
        <f aca="false">IF($E1139="","",IF($P1139="","",IF($P1139&gt;=8,"Alta",IF($P1139&gt;=5,"Média","Baixa"))))</f>
        <v/>
      </c>
      <c r="O1139" s="46" t="str">
        <f aca="false">IF($E1139="","",IF(AND(Parâmetros!$C$5&gt;0,$P1139&lt;&gt;"",$P1139&gt;=Parâmetros!$C$5),"Sim","Não"))</f>
        <v/>
      </c>
      <c r="P1139" s="45" t="str">
        <f aca="false">IF($E1139="","",IF($G1139="","",IF($G1139="NOK",$F1139,0)))</f>
        <v/>
      </c>
      <c r="Q1139" s="46" t="str">
        <f aca="false">IF($E1139="","",IF($O1139&lt;&gt;"Sim","",COUNTIF($O$3:$O1139,"Sim")))</f>
        <v/>
      </c>
      <c r="R1139" s="47" t="n">
        <f aca="false">IF($P1139="",0,$P1139)</f>
        <v>0</v>
      </c>
    </row>
    <row r="1140" customFormat="false" ht="18" hidden="false" customHeight="true" outlineLevel="0" collapsed="false">
      <c r="A1140" s="39"/>
      <c r="B1140" s="41"/>
      <c r="C1140" s="40"/>
      <c r="D1140" s="40"/>
      <c r="E1140" s="40"/>
      <c r="F1140" s="42"/>
      <c r="G1140" s="39"/>
      <c r="H1140" s="40"/>
      <c r="I1140" s="40"/>
      <c r="J1140" s="40"/>
      <c r="K1140" s="41"/>
      <c r="L1140" s="39"/>
      <c r="M1140" s="48" t="str">
        <f aca="false">IF($E1140="","",IFERROR(INDEX(Parâmetros!$C$15:$C$20,MATCH($P1140,Parâmetros!$B$15:$B$20,0)),""))</f>
        <v/>
      </c>
      <c r="N1140" s="46" t="str">
        <f aca="false">IF($E1140="","",IF($P1140="","",IF($P1140&gt;=8,"Alta",IF($P1140&gt;=5,"Média","Baixa"))))</f>
        <v/>
      </c>
      <c r="O1140" s="46" t="str">
        <f aca="false">IF($E1140="","",IF(AND(Parâmetros!$C$5&gt;0,$P1140&lt;&gt;"",$P1140&gt;=Parâmetros!$C$5),"Sim","Não"))</f>
        <v/>
      </c>
      <c r="P1140" s="45" t="str">
        <f aca="false">IF($E1140="","",IF($G1140="","",IF($G1140="NOK",$F1140,0)))</f>
        <v/>
      </c>
      <c r="Q1140" s="46" t="str">
        <f aca="false">IF($E1140="","",IF($O1140&lt;&gt;"Sim","",COUNTIF($O$3:$O1140,"Sim")))</f>
        <v/>
      </c>
      <c r="R1140" s="47" t="n">
        <f aca="false">IF($P1140="",0,$P1140)</f>
        <v>0</v>
      </c>
    </row>
    <row r="1141" customFormat="false" ht="18" hidden="false" customHeight="true" outlineLevel="0" collapsed="false">
      <c r="A1141" s="39"/>
      <c r="B1141" s="41"/>
      <c r="C1141" s="40"/>
      <c r="D1141" s="40"/>
      <c r="E1141" s="40"/>
      <c r="F1141" s="42"/>
      <c r="G1141" s="39"/>
      <c r="H1141" s="40"/>
      <c r="I1141" s="40"/>
      <c r="J1141" s="40"/>
      <c r="K1141" s="41"/>
      <c r="L1141" s="39"/>
      <c r="M1141" s="48" t="str">
        <f aca="false">IF($E1141="","",IFERROR(INDEX(Parâmetros!$C$15:$C$20,MATCH($P1141,Parâmetros!$B$15:$B$20,0)),""))</f>
        <v/>
      </c>
      <c r="N1141" s="46" t="str">
        <f aca="false">IF($E1141="","",IF($P1141="","",IF($P1141&gt;=8,"Alta",IF($P1141&gt;=5,"Média","Baixa"))))</f>
        <v/>
      </c>
      <c r="O1141" s="46" t="str">
        <f aca="false">IF($E1141="","",IF(AND(Parâmetros!$C$5&gt;0,$P1141&lt;&gt;"",$P1141&gt;=Parâmetros!$C$5),"Sim","Não"))</f>
        <v/>
      </c>
      <c r="P1141" s="45" t="str">
        <f aca="false">IF($E1141="","",IF($G1141="","",IF($G1141="NOK",$F1141,0)))</f>
        <v/>
      </c>
      <c r="Q1141" s="46" t="str">
        <f aca="false">IF($E1141="","",IF($O1141&lt;&gt;"Sim","",COUNTIF($O$3:$O1141,"Sim")))</f>
        <v/>
      </c>
      <c r="R1141" s="47" t="n">
        <f aca="false">IF($P1141="",0,$P1141)</f>
        <v>0</v>
      </c>
    </row>
    <row r="1142" customFormat="false" ht="18" hidden="false" customHeight="true" outlineLevel="0" collapsed="false">
      <c r="A1142" s="39"/>
      <c r="B1142" s="41"/>
      <c r="C1142" s="40"/>
      <c r="D1142" s="40"/>
      <c r="E1142" s="40"/>
      <c r="F1142" s="42"/>
      <c r="G1142" s="39"/>
      <c r="H1142" s="40"/>
      <c r="I1142" s="40"/>
      <c r="J1142" s="40"/>
      <c r="K1142" s="41"/>
      <c r="L1142" s="39"/>
      <c r="M1142" s="48" t="str">
        <f aca="false">IF($E1142="","",IFERROR(INDEX(Parâmetros!$C$15:$C$20,MATCH($P1142,Parâmetros!$B$15:$B$20,0)),""))</f>
        <v/>
      </c>
      <c r="N1142" s="46" t="str">
        <f aca="false">IF($E1142="","",IF($P1142="","",IF($P1142&gt;=8,"Alta",IF($P1142&gt;=5,"Média","Baixa"))))</f>
        <v/>
      </c>
      <c r="O1142" s="46" t="str">
        <f aca="false">IF($E1142="","",IF(AND(Parâmetros!$C$5&gt;0,$P1142&lt;&gt;"",$P1142&gt;=Parâmetros!$C$5),"Sim","Não"))</f>
        <v/>
      </c>
      <c r="P1142" s="45" t="str">
        <f aca="false">IF($E1142="","",IF($G1142="","",IF($G1142="NOK",$F1142,0)))</f>
        <v/>
      </c>
      <c r="Q1142" s="46" t="str">
        <f aca="false">IF($E1142="","",IF($O1142&lt;&gt;"Sim","",COUNTIF($O$3:$O1142,"Sim")))</f>
        <v/>
      </c>
      <c r="R1142" s="47" t="n">
        <f aca="false">IF($P1142="",0,$P1142)</f>
        <v>0</v>
      </c>
    </row>
    <row r="1143" customFormat="false" ht="18" hidden="false" customHeight="true" outlineLevel="0" collapsed="false">
      <c r="A1143" s="39"/>
      <c r="B1143" s="41"/>
      <c r="C1143" s="40"/>
      <c r="D1143" s="40"/>
      <c r="E1143" s="40"/>
      <c r="F1143" s="42"/>
      <c r="G1143" s="39"/>
      <c r="H1143" s="40"/>
      <c r="I1143" s="40"/>
      <c r="J1143" s="40"/>
      <c r="K1143" s="41"/>
      <c r="L1143" s="39"/>
      <c r="M1143" s="48" t="str">
        <f aca="false">IF($E1143="","",IFERROR(INDEX(Parâmetros!$C$15:$C$20,MATCH($P1143,Parâmetros!$B$15:$B$20,0)),""))</f>
        <v/>
      </c>
      <c r="N1143" s="46" t="str">
        <f aca="false">IF($E1143="","",IF($P1143="","",IF($P1143&gt;=8,"Alta",IF($P1143&gt;=5,"Média","Baixa"))))</f>
        <v/>
      </c>
      <c r="O1143" s="46" t="str">
        <f aca="false">IF($E1143="","",IF(AND(Parâmetros!$C$5&gt;0,$P1143&lt;&gt;"",$P1143&gt;=Parâmetros!$C$5),"Sim","Não"))</f>
        <v/>
      </c>
      <c r="P1143" s="45" t="str">
        <f aca="false">IF($E1143="","",IF($G1143="","",IF($G1143="NOK",$F1143,0)))</f>
        <v/>
      </c>
      <c r="Q1143" s="46" t="str">
        <f aca="false">IF($E1143="","",IF($O1143&lt;&gt;"Sim","",COUNTIF($O$3:$O1143,"Sim")))</f>
        <v/>
      </c>
      <c r="R1143" s="47" t="n">
        <f aca="false">IF($P1143="",0,$P1143)</f>
        <v>0</v>
      </c>
    </row>
    <row r="1144" customFormat="false" ht="18" hidden="false" customHeight="true" outlineLevel="0" collapsed="false">
      <c r="A1144" s="39"/>
      <c r="B1144" s="41"/>
      <c r="C1144" s="40"/>
      <c r="D1144" s="40"/>
      <c r="E1144" s="40"/>
      <c r="F1144" s="42"/>
      <c r="G1144" s="39"/>
      <c r="H1144" s="40"/>
      <c r="I1144" s="40"/>
      <c r="J1144" s="40"/>
      <c r="K1144" s="41"/>
      <c r="L1144" s="39"/>
      <c r="M1144" s="48" t="str">
        <f aca="false">IF($E1144="","",IFERROR(INDEX(Parâmetros!$C$15:$C$20,MATCH($P1144,Parâmetros!$B$15:$B$20,0)),""))</f>
        <v/>
      </c>
      <c r="N1144" s="46" t="str">
        <f aca="false">IF($E1144="","",IF($P1144="","",IF($P1144&gt;=8,"Alta",IF($P1144&gt;=5,"Média","Baixa"))))</f>
        <v/>
      </c>
      <c r="O1144" s="46" t="str">
        <f aca="false">IF($E1144="","",IF(AND(Parâmetros!$C$5&gt;0,$P1144&lt;&gt;"",$P1144&gt;=Parâmetros!$C$5),"Sim","Não"))</f>
        <v/>
      </c>
      <c r="P1144" s="45" t="str">
        <f aca="false">IF($E1144="","",IF($G1144="","",IF($G1144="NOK",$F1144,0)))</f>
        <v/>
      </c>
      <c r="Q1144" s="46" t="str">
        <f aca="false">IF($E1144="","",IF($O1144&lt;&gt;"Sim","",COUNTIF($O$3:$O1144,"Sim")))</f>
        <v/>
      </c>
      <c r="R1144" s="47" t="n">
        <f aca="false">IF($P1144="",0,$P1144)</f>
        <v>0</v>
      </c>
    </row>
    <row r="1145" customFormat="false" ht="18" hidden="false" customHeight="true" outlineLevel="0" collapsed="false">
      <c r="A1145" s="39"/>
      <c r="B1145" s="41"/>
      <c r="C1145" s="40"/>
      <c r="D1145" s="40"/>
      <c r="E1145" s="40"/>
      <c r="F1145" s="42"/>
      <c r="G1145" s="39"/>
      <c r="H1145" s="40"/>
      <c r="I1145" s="40"/>
      <c r="J1145" s="40"/>
      <c r="K1145" s="41"/>
      <c r="L1145" s="39"/>
      <c r="M1145" s="48" t="str">
        <f aca="false">IF($E1145="","",IFERROR(INDEX(Parâmetros!$C$15:$C$20,MATCH($P1145,Parâmetros!$B$15:$B$20,0)),""))</f>
        <v/>
      </c>
      <c r="N1145" s="46" t="str">
        <f aca="false">IF($E1145="","",IF($P1145="","",IF($P1145&gt;=8,"Alta",IF($P1145&gt;=5,"Média","Baixa"))))</f>
        <v/>
      </c>
      <c r="O1145" s="46" t="str">
        <f aca="false">IF($E1145="","",IF(AND(Parâmetros!$C$5&gt;0,$P1145&lt;&gt;"",$P1145&gt;=Parâmetros!$C$5),"Sim","Não"))</f>
        <v/>
      </c>
      <c r="P1145" s="45" t="str">
        <f aca="false">IF($E1145="","",IF($G1145="","",IF($G1145="NOK",$F1145,0)))</f>
        <v/>
      </c>
      <c r="Q1145" s="46" t="str">
        <f aca="false">IF($E1145="","",IF($O1145&lt;&gt;"Sim","",COUNTIF($O$3:$O1145,"Sim")))</f>
        <v/>
      </c>
      <c r="R1145" s="47" t="n">
        <f aca="false">IF($P1145="",0,$P1145)</f>
        <v>0</v>
      </c>
    </row>
    <row r="1146" customFormat="false" ht="18" hidden="false" customHeight="true" outlineLevel="0" collapsed="false">
      <c r="A1146" s="39"/>
      <c r="B1146" s="41"/>
      <c r="C1146" s="40"/>
      <c r="D1146" s="40"/>
      <c r="E1146" s="40"/>
      <c r="F1146" s="42"/>
      <c r="G1146" s="39"/>
      <c r="H1146" s="40"/>
      <c r="I1146" s="40"/>
      <c r="J1146" s="40"/>
      <c r="K1146" s="41"/>
      <c r="L1146" s="39"/>
      <c r="M1146" s="48" t="str">
        <f aca="false">IF($E1146="","",IFERROR(INDEX(Parâmetros!$C$15:$C$20,MATCH($P1146,Parâmetros!$B$15:$B$20,0)),""))</f>
        <v/>
      </c>
      <c r="N1146" s="46" t="str">
        <f aca="false">IF($E1146="","",IF($P1146="","",IF($P1146&gt;=8,"Alta",IF($P1146&gt;=5,"Média","Baixa"))))</f>
        <v/>
      </c>
      <c r="O1146" s="46" t="str">
        <f aca="false">IF($E1146="","",IF(AND(Parâmetros!$C$5&gt;0,$P1146&lt;&gt;"",$P1146&gt;=Parâmetros!$C$5),"Sim","Não"))</f>
        <v/>
      </c>
      <c r="P1146" s="45" t="str">
        <f aca="false">IF($E1146="","",IF($G1146="","",IF($G1146="NOK",$F1146,0)))</f>
        <v/>
      </c>
      <c r="Q1146" s="46" t="str">
        <f aca="false">IF($E1146="","",IF($O1146&lt;&gt;"Sim","",COUNTIF($O$3:$O1146,"Sim")))</f>
        <v/>
      </c>
      <c r="R1146" s="47" t="n">
        <f aca="false">IF($P1146="",0,$P1146)</f>
        <v>0</v>
      </c>
    </row>
    <row r="1147" customFormat="false" ht="18" hidden="false" customHeight="true" outlineLevel="0" collapsed="false">
      <c r="A1147" s="39"/>
      <c r="B1147" s="41"/>
      <c r="C1147" s="40"/>
      <c r="D1147" s="40"/>
      <c r="E1147" s="40"/>
      <c r="F1147" s="42"/>
      <c r="G1147" s="39"/>
      <c r="H1147" s="40"/>
      <c r="I1147" s="40"/>
      <c r="J1147" s="40"/>
      <c r="K1147" s="41"/>
      <c r="L1147" s="39"/>
      <c r="M1147" s="48" t="str">
        <f aca="false">IF($E1147="","",IFERROR(INDEX(Parâmetros!$C$15:$C$20,MATCH($P1147,Parâmetros!$B$15:$B$20,0)),""))</f>
        <v/>
      </c>
      <c r="N1147" s="46" t="str">
        <f aca="false">IF($E1147="","",IF($P1147="","",IF($P1147&gt;=8,"Alta",IF($P1147&gt;=5,"Média","Baixa"))))</f>
        <v/>
      </c>
      <c r="O1147" s="46" t="str">
        <f aca="false">IF($E1147="","",IF(AND(Parâmetros!$C$5&gt;0,$P1147&lt;&gt;"",$P1147&gt;=Parâmetros!$C$5),"Sim","Não"))</f>
        <v/>
      </c>
      <c r="P1147" s="45" t="str">
        <f aca="false">IF($E1147="","",IF($G1147="","",IF($G1147="NOK",$F1147,0)))</f>
        <v/>
      </c>
      <c r="Q1147" s="46" t="str">
        <f aca="false">IF($E1147="","",IF($O1147&lt;&gt;"Sim","",COUNTIF($O$3:$O1147,"Sim")))</f>
        <v/>
      </c>
      <c r="R1147" s="47" t="n">
        <f aca="false">IF($P1147="",0,$P1147)</f>
        <v>0</v>
      </c>
    </row>
    <row r="1148" customFormat="false" ht="18" hidden="false" customHeight="true" outlineLevel="0" collapsed="false">
      <c r="A1148" s="39"/>
      <c r="B1148" s="41"/>
      <c r="C1148" s="40"/>
      <c r="D1148" s="40"/>
      <c r="E1148" s="40"/>
      <c r="F1148" s="42"/>
      <c r="G1148" s="39"/>
      <c r="H1148" s="40"/>
      <c r="I1148" s="40"/>
      <c r="J1148" s="40"/>
      <c r="K1148" s="41"/>
      <c r="L1148" s="39"/>
      <c r="M1148" s="48" t="str">
        <f aca="false">IF($E1148="","",IFERROR(INDEX(Parâmetros!$C$15:$C$20,MATCH($P1148,Parâmetros!$B$15:$B$20,0)),""))</f>
        <v/>
      </c>
      <c r="N1148" s="46" t="str">
        <f aca="false">IF($E1148="","",IF($P1148="","",IF($P1148&gt;=8,"Alta",IF($P1148&gt;=5,"Média","Baixa"))))</f>
        <v/>
      </c>
      <c r="O1148" s="46" t="str">
        <f aca="false">IF($E1148="","",IF(AND(Parâmetros!$C$5&gt;0,$P1148&lt;&gt;"",$P1148&gt;=Parâmetros!$C$5),"Sim","Não"))</f>
        <v/>
      </c>
      <c r="P1148" s="45" t="str">
        <f aca="false">IF($E1148="","",IF($G1148="","",IF($G1148="NOK",$F1148,0)))</f>
        <v/>
      </c>
      <c r="Q1148" s="46" t="str">
        <f aca="false">IF($E1148="","",IF($O1148&lt;&gt;"Sim","",COUNTIF($O$3:$O1148,"Sim")))</f>
        <v/>
      </c>
      <c r="R1148" s="47" t="n">
        <f aca="false">IF($P1148="",0,$P1148)</f>
        <v>0</v>
      </c>
    </row>
    <row r="1149" customFormat="false" ht="18" hidden="false" customHeight="true" outlineLevel="0" collapsed="false">
      <c r="A1149" s="39"/>
      <c r="B1149" s="41"/>
      <c r="C1149" s="40"/>
      <c r="D1149" s="40"/>
      <c r="E1149" s="40"/>
      <c r="F1149" s="42"/>
      <c r="G1149" s="39"/>
      <c r="H1149" s="40"/>
      <c r="I1149" s="40"/>
      <c r="J1149" s="40"/>
      <c r="K1149" s="41"/>
      <c r="L1149" s="39"/>
      <c r="M1149" s="48" t="str">
        <f aca="false">IF($E1149="","",IFERROR(INDEX(Parâmetros!$C$15:$C$20,MATCH($P1149,Parâmetros!$B$15:$B$20,0)),""))</f>
        <v/>
      </c>
      <c r="N1149" s="46" t="str">
        <f aca="false">IF($E1149="","",IF($P1149="","",IF($P1149&gt;=8,"Alta",IF($P1149&gt;=5,"Média","Baixa"))))</f>
        <v/>
      </c>
      <c r="O1149" s="46" t="str">
        <f aca="false">IF($E1149="","",IF(AND(Parâmetros!$C$5&gt;0,$P1149&lt;&gt;"",$P1149&gt;=Parâmetros!$C$5),"Sim","Não"))</f>
        <v/>
      </c>
      <c r="P1149" s="45" t="str">
        <f aca="false">IF($E1149="","",IF($G1149="","",IF($G1149="NOK",$F1149,0)))</f>
        <v/>
      </c>
      <c r="Q1149" s="46" t="str">
        <f aca="false">IF($E1149="","",IF($O1149&lt;&gt;"Sim","",COUNTIF($O$3:$O1149,"Sim")))</f>
        <v/>
      </c>
      <c r="R1149" s="47" t="n">
        <f aca="false">IF($P1149="",0,$P1149)</f>
        <v>0</v>
      </c>
    </row>
    <row r="1150" customFormat="false" ht="18" hidden="false" customHeight="true" outlineLevel="0" collapsed="false">
      <c r="A1150" s="39"/>
      <c r="B1150" s="41"/>
      <c r="C1150" s="40"/>
      <c r="D1150" s="40"/>
      <c r="E1150" s="40"/>
      <c r="F1150" s="42"/>
      <c r="G1150" s="39"/>
      <c r="H1150" s="40"/>
      <c r="I1150" s="40"/>
      <c r="J1150" s="40"/>
      <c r="K1150" s="41"/>
      <c r="L1150" s="39"/>
      <c r="M1150" s="48" t="str">
        <f aca="false">IF($E1150="","",IFERROR(INDEX(Parâmetros!$C$15:$C$20,MATCH($P1150,Parâmetros!$B$15:$B$20,0)),""))</f>
        <v/>
      </c>
      <c r="N1150" s="46" t="str">
        <f aca="false">IF($E1150="","",IF($P1150="","",IF($P1150&gt;=8,"Alta",IF($P1150&gt;=5,"Média","Baixa"))))</f>
        <v/>
      </c>
      <c r="O1150" s="46" t="str">
        <f aca="false">IF($E1150="","",IF(AND(Parâmetros!$C$5&gt;0,$P1150&lt;&gt;"",$P1150&gt;=Parâmetros!$C$5),"Sim","Não"))</f>
        <v/>
      </c>
      <c r="P1150" s="45" t="str">
        <f aca="false">IF($E1150="","",IF($G1150="","",IF($G1150="NOK",$F1150,0)))</f>
        <v/>
      </c>
      <c r="Q1150" s="46" t="str">
        <f aca="false">IF($E1150="","",IF($O1150&lt;&gt;"Sim","",COUNTIF($O$3:$O1150,"Sim")))</f>
        <v/>
      </c>
      <c r="R1150" s="47" t="n">
        <f aca="false">IF($P1150="",0,$P1150)</f>
        <v>0</v>
      </c>
    </row>
    <row r="1151" customFormat="false" ht="18" hidden="false" customHeight="true" outlineLevel="0" collapsed="false">
      <c r="A1151" s="39"/>
      <c r="B1151" s="41"/>
      <c r="C1151" s="40"/>
      <c r="D1151" s="40"/>
      <c r="E1151" s="40"/>
      <c r="F1151" s="42"/>
      <c r="G1151" s="39"/>
      <c r="H1151" s="40"/>
      <c r="I1151" s="40"/>
      <c r="J1151" s="40"/>
      <c r="K1151" s="41"/>
      <c r="L1151" s="39"/>
      <c r="M1151" s="48" t="str">
        <f aca="false">IF($E1151="","",IFERROR(INDEX(Parâmetros!$C$15:$C$20,MATCH($P1151,Parâmetros!$B$15:$B$20,0)),""))</f>
        <v/>
      </c>
      <c r="N1151" s="46" t="str">
        <f aca="false">IF($E1151="","",IF($P1151="","",IF($P1151&gt;=8,"Alta",IF($P1151&gt;=5,"Média","Baixa"))))</f>
        <v/>
      </c>
      <c r="O1151" s="46" t="str">
        <f aca="false">IF($E1151="","",IF(AND(Parâmetros!$C$5&gt;0,$P1151&lt;&gt;"",$P1151&gt;=Parâmetros!$C$5),"Sim","Não"))</f>
        <v/>
      </c>
      <c r="P1151" s="45" t="str">
        <f aca="false">IF($E1151="","",IF($G1151="","",IF($G1151="NOK",$F1151,0)))</f>
        <v/>
      </c>
      <c r="Q1151" s="46" t="str">
        <f aca="false">IF($E1151="","",IF($O1151&lt;&gt;"Sim","",COUNTIF($O$3:$O1151,"Sim")))</f>
        <v/>
      </c>
      <c r="R1151" s="47" t="n">
        <f aca="false">IF($P1151="",0,$P1151)</f>
        <v>0</v>
      </c>
    </row>
    <row r="1152" customFormat="false" ht="18" hidden="false" customHeight="true" outlineLevel="0" collapsed="false">
      <c r="A1152" s="39"/>
      <c r="B1152" s="41"/>
      <c r="C1152" s="40"/>
      <c r="D1152" s="40"/>
      <c r="E1152" s="40"/>
      <c r="F1152" s="42"/>
      <c r="G1152" s="39"/>
      <c r="H1152" s="40"/>
      <c r="I1152" s="40"/>
      <c r="J1152" s="40"/>
      <c r="K1152" s="41"/>
      <c r="L1152" s="39"/>
      <c r="M1152" s="48" t="str">
        <f aca="false">IF($E1152="","",IFERROR(INDEX(Parâmetros!$C$15:$C$20,MATCH($P1152,Parâmetros!$B$15:$B$20,0)),""))</f>
        <v/>
      </c>
      <c r="N1152" s="46" t="str">
        <f aca="false">IF($E1152="","",IF($P1152="","",IF($P1152&gt;=8,"Alta",IF($P1152&gt;=5,"Média","Baixa"))))</f>
        <v/>
      </c>
      <c r="O1152" s="46" t="str">
        <f aca="false">IF($E1152="","",IF(AND(Parâmetros!$C$5&gt;0,$P1152&lt;&gt;"",$P1152&gt;=Parâmetros!$C$5),"Sim","Não"))</f>
        <v/>
      </c>
      <c r="P1152" s="45" t="str">
        <f aca="false">IF($E1152="","",IF($G1152="","",IF($G1152="NOK",$F1152,0)))</f>
        <v/>
      </c>
      <c r="Q1152" s="46" t="str">
        <f aca="false">IF($E1152="","",IF($O1152&lt;&gt;"Sim","",COUNTIF($O$3:$O1152,"Sim")))</f>
        <v/>
      </c>
      <c r="R1152" s="47" t="n">
        <f aca="false">IF($P1152="",0,$P1152)</f>
        <v>0</v>
      </c>
    </row>
    <row r="1153" customFormat="false" ht="18" hidden="false" customHeight="true" outlineLevel="0" collapsed="false">
      <c r="A1153" s="39"/>
      <c r="B1153" s="41"/>
      <c r="C1153" s="40"/>
      <c r="D1153" s="40"/>
      <c r="E1153" s="40"/>
      <c r="F1153" s="42"/>
      <c r="G1153" s="39"/>
      <c r="H1153" s="40"/>
      <c r="I1153" s="40"/>
      <c r="J1153" s="40"/>
      <c r="K1153" s="41"/>
      <c r="L1153" s="39"/>
      <c r="M1153" s="48" t="str">
        <f aca="false">IF($E1153="","",IFERROR(INDEX(Parâmetros!$C$15:$C$20,MATCH($P1153,Parâmetros!$B$15:$B$20,0)),""))</f>
        <v/>
      </c>
      <c r="N1153" s="46" t="str">
        <f aca="false">IF($E1153="","",IF($P1153="","",IF($P1153&gt;=8,"Alta",IF($P1153&gt;=5,"Média","Baixa"))))</f>
        <v/>
      </c>
      <c r="O1153" s="46" t="str">
        <f aca="false">IF($E1153="","",IF(AND(Parâmetros!$C$5&gt;0,$P1153&lt;&gt;"",$P1153&gt;=Parâmetros!$C$5),"Sim","Não"))</f>
        <v/>
      </c>
      <c r="P1153" s="45" t="str">
        <f aca="false">IF($E1153="","",IF($G1153="","",IF($G1153="NOK",$F1153,0)))</f>
        <v/>
      </c>
      <c r="Q1153" s="46" t="str">
        <f aca="false">IF($E1153="","",IF($O1153&lt;&gt;"Sim","",COUNTIF($O$3:$O1153,"Sim")))</f>
        <v/>
      </c>
      <c r="R1153" s="47" t="n">
        <f aca="false">IF($P1153="",0,$P1153)</f>
        <v>0</v>
      </c>
    </row>
    <row r="1154" customFormat="false" ht="18" hidden="false" customHeight="true" outlineLevel="0" collapsed="false">
      <c r="A1154" s="39"/>
      <c r="B1154" s="41"/>
      <c r="C1154" s="40"/>
      <c r="D1154" s="40"/>
      <c r="E1154" s="40"/>
      <c r="F1154" s="42"/>
      <c r="G1154" s="39"/>
      <c r="H1154" s="40"/>
      <c r="I1154" s="40"/>
      <c r="J1154" s="40"/>
      <c r="K1154" s="41"/>
      <c r="L1154" s="39"/>
      <c r="M1154" s="48" t="str">
        <f aca="false">IF($E1154="","",IFERROR(INDEX(Parâmetros!$C$15:$C$20,MATCH($P1154,Parâmetros!$B$15:$B$20,0)),""))</f>
        <v/>
      </c>
      <c r="N1154" s="46" t="str">
        <f aca="false">IF($E1154="","",IF($P1154="","",IF($P1154&gt;=8,"Alta",IF($P1154&gt;=5,"Média","Baixa"))))</f>
        <v/>
      </c>
      <c r="O1154" s="46" t="str">
        <f aca="false">IF($E1154="","",IF(AND(Parâmetros!$C$5&gt;0,$P1154&lt;&gt;"",$P1154&gt;=Parâmetros!$C$5),"Sim","Não"))</f>
        <v/>
      </c>
      <c r="P1154" s="45" t="str">
        <f aca="false">IF($E1154="","",IF($G1154="","",IF($G1154="NOK",$F1154,0)))</f>
        <v/>
      </c>
      <c r="Q1154" s="46" t="str">
        <f aca="false">IF($E1154="","",IF($O1154&lt;&gt;"Sim","",COUNTIF($O$3:$O1154,"Sim")))</f>
        <v/>
      </c>
      <c r="R1154" s="47" t="n">
        <f aca="false">IF($P1154="",0,$P1154)</f>
        <v>0</v>
      </c>
    </row>
    <row r="1155" customFormat="false" ht="18" hidden="false" customHeight="true" outlineLevel="0" collapsed="false">
      <c r="A1155" s="39"/>
      <c r="B1155" s="41"/>
      <c r="C1155" s="40"/>
      <c r="D1155" s="40"/>
      <c r="E1155" s="40"/>
      <c r="F1155" s="42"/>
      <c r="G1155" s="39"/>
      <c r="H1155" s="40"/>
      <c r="I1155" s="40"/>
      <c r="J1155" s="40"/>
      <c r="K1155" s="41"/>
      <c r="L1155" s="39"/>
      <c r="M1155" s="48" t="str">
        <f aca="false">IF($E1155="","",IFERROR(INDEX(Parâmetros!$C$15:$C$20,MATCH($P1155,Parâmetros!$B$15:$B$20,0)),""))</f>
        <v/>
      </c>
      <c r="N1155" s="46" t="str">
        <f aca="false">IF($E1155="","",IF($P1155="","",IF($P1155&gt;=8,"Alta",IF($P1155&gt;=5,"Média","Baixa"))))</f>
        <v/>
      </c>
      <c r="O1155" s="46" t="str">
        <f aca="false">IF($E1155="","",IF(AND(Parâmetros!$C$5&gt;0,$P1155&lt;&gt;"",$P1155&gt;=Parâmetros!$C$5),"Sim","Não"))</f>
        <v/>
      </c>
      <c r="P1155" s="45" t="str">
        <f aca="false">IF($E1155="","",IF($G1155="","",IF($G1155="NOK",$F1155,0)))</f>
        <v/>
      </c>
      <c r="Q1155" s="46" t="str">
        <f aca="false">IF($E1155="","",IF($O1155&lt;&gt;"Sim","",COUNTIF($O$3:$O1155,"Sim")))</f>
        <v/>
      </c>
      <c r="R1155" s="47" t="n">
        <f aca="false">IF($P1155="",0,$P1155)</f>
        <v>0</v>
      </c>
    </row>
    <row r="1156" customFormat="false" ht="18" hidden="false" customHeight="true" outlineLevel="0" collapsed="false">
      <c r="A1156" s="39"/>
      <c r="B1156" s="41"/>
      <c r="C1156" s="40"/>
      <c r="D1156" s="40"/>
      <c r="E1156" s="40"/>
      <c r="F1156" s="42"/>
      <c r="G1156" s="39"/>
      <c r="H1156" s="40"/>
      <c r="I1156" s="40"/>
      <c r="J1156" s="40"/>
      <c r="K1156" s="41"/>
      <c r="L1156" s="39"/>
      <c r="M1156" s="48" t="str">
        <f aca="false">IF($E1156="","",IFERROR(INDEX(Parâmetros!$C$15:$C$20,MATCH($P1156,Parâmetros!$B$15:$B$20,0)),""))</f>
        <v/>
      </c>
      <c r="N1156" s="46" t="str">
        <f aca="false">IF($E1156="","",IF($P1156="","",IF($P1156&gt;=8,"Alta",IF($P1156&gt;=5,"Média","Baixa"))))</f>
        <v/>
      </c>
      <c r="O1156" s="46" t="str">
        <f aca="false">IF($E1156="","",IF(AND(Parâmetros!$C$5&gt;0,$P1156&lt;&gt;"",$P1156&gt;=Parâmetros!$C$5),"Sim","Não"))</f>
        <v/>
      </c>
      <c r="P1156" s="45" t="str">
        <f aca="false">IF($E1156="","",IF($G1156="","",IF($G1156="NOK",$F1156,0)))</f>
        <v/>
      </c>
      <c r="Q1156" s="46" t="str">
        <f aca="false">IF($E1156="","",IF($O1156&lt;&gt;"Sim","",COUNTIF($O$3:$O1156,"Sim")))</f>
        <v/>
      </c>
      <c r="R1156" s="47" t="n">
        <f aca="false">IF($P1156="",0,$P1156)</f>
        <v>0</v>
      </c>
    </row>
    <row r="1157" customFormat="false" ht="18" hidden="false" customHeight="true" outlineLevel="0" collapsed="false">
      <c r="A1157" s="39"/>
      <c r="B1157" s="41"/>
      <c r="C1157" s="40"/>
      <c r="D1157" s="40"/>
      <c r="E1157" s="40"/>
      <c r="F1157" s="42"/>
      <c r="G1157" s="39"/>
      <c r="H1157" s="40"/>
      <c r="I1157" s="40"/>
      <c r="J1157" s="40"/>
      <c r="K1157" s="41"/>
      <c r="L1157" s="39"/>
      <c r="M1157" s="48" t="str">
        <f aca="false">IF($E1157="","",IFERROR(INDEX(Parâmetros!$C$15:$C$20,MATCH($P1157,Parâmetros!$B$15:$B$20,0)),""))</f>
        <v/>
      </c>
      <c r="N1157" s="46" t="str">
        <f aca="false">IF($E1157="","",IF($P1157="","",IF($P1157&gt;=8,"Alta",IF($P1157&gt;=5,"Média","Baixa"))))</f>
        <v/>
      </c>
      <c r="O1157" s="46" t="str">
        <f aca="false">IF($E1157="","",IF(AND(Parâmetros!$C$5&gt;0,$P1157&lt;&gt;"",$P1157&gt;=Parâmetros!$C$5),"Sim","Não"))</f>
        <v/>
      </c>
      <c r="P1157" s="45" t="str">
        <f aca="false">IF($E1157="","",IF($G1157="","",IF($G1157="NOK",$F1157,0)))</f>
        <v/>
      </c>
      <c r="Q1157" s="46" t="str">
        <f aca="false">IF($E1157="","",IF($O1157&lt;&gt;"Sim","",COUNTIF($O$3:$O1157,"Sim")))</f>
        <v/>
      </c>
      <c r="R1157" s="47" t="n">
        <f aca="false">IF($P1157="",0,$P1157)</f>
        <v>0</v>
      </c>
    </row>
    <row r="1158" customFormat="false" ht="18" hidden="false" customHeight="true" outlineLevel="0" collapsed="false">
      <c r="A1158" s="39"/>
      <c r="B1158" s="41"/>
      <c r="C1158" s="40"/>
      <c r="D1158" s="40"/>
      <c r="E1158" s="40"/>
      <c r="F1158" s="42"/>
      <c r="G1158" s="39"/>
      <c r="H1158" s="40"/>
      <c r="I1158" s="40"/>
      <c r="J1158" s="40"/>
      <c r="K1158" s="41"/>
      <c r="L1158" s="39"/>
      <c r="M1158" s="48" t="str">
        <f aca="false">IF($E1158="","",IFERROR(INDEX(Parâmetros!$C$15:$C$20,MATCH($P1158,Parâmetros!$B$15:$B$20,0)),""))</f>
        <v/>
      </c>
      <c r="N1158" s="46" t="str">
        <f aca="false">IF($E1158="","",IF($P1158="","",IF($P1158&gt;=8,"Alta",IF($P1158&gt;=5,"Média","Baixa"))))</f>
        <v/>
      </c>
      <c r="O1158" s="46" t="str">
        <f aca="false">IF($E1158="","",IF(AND(Parâmetros!$C$5&gt;0,$P1158&lt;&gt;"",$P1158&gt;=Parâmetros!$C$5),"Sim","Não"))</f>
        <v/>
      </c>
      <c r="P1158" s="45" t="str">
        <f aca="false">IF($E1158="","",IF($G1158="","",IF($G1158="NOK",$F1158,0)))</f>
        <v/>
      </c>
      <c r="Q1158" s="46" t="str">
        <f aca="false">IF($E1158="","",IF($O1158&lt;&gt;"Sim","",COUNTIF($O$3:$O1158,"Sim")))</f>
        <v/>
      </c>
      <c r="R1158" s="47" t="n">
        <f aca="false">IF($P1158="",0,$P1158)</f>
        <v>0</v>
      </c>
    </row>
    <row r="1159" customFormat="false" ht="18" hidden="false" customHeight="true" outlineLevel="0" collapsed="false">
      <c r="A1159" s="39"/>
      <c r="B1159" s="41"/>
      <c r="C1159" s="40"/>
      <c r="D1159" s="40"/>
      <c r="E1159" s="40"/>
      <c r="F1159" s="42"/>
      <c r="G1159" s="39"/>
      <c r="H1159" s="40"/>
      <c r="I1159" s="40"/>
      <c r="J1159" s="40"/>
      <c r="K1159" s="41"/>
      <c r="L1159" s="39"/>
      <c r="M1159" s="48" t="str">
        <f aca="false">IF($E1159="","",IFERROR(INDEX(Parâmetros!$C$15:$C$20,MATCH($P1159,Parâmetros!$B$15:$B$20,0)),""))</f>
        <v/>
      </c>
      <c r="N1159" s="46" t="str">
        <f aca="false">IF($E1159="","",IF($P1159="","",IF($P1159&gt;=8,"Alta",IF($P1159&gt;=5,"Média","Baixa"))))</f>
        <v/>
      </c>
      <c r="O1159" s="46" t="str">
        <f aca="false">IF($E1159="","",IF(AND(Parâmetros!$C$5&gt;0,$P1159&lt;&gt;"",$P1159&gt;=Parâmetros!$C$5),"Sim","Não"))</f>
        <v/>
      </c>
      <c r="P1159" s="45" t="str">
        <f aca="false">IF($E1159="","",IF($G1159="","",IF($G1159="NOK",$F1159,0)))</f>
        <v/>
      </c>
      <c r="Q1159" s="46" t="str">
        <f aca="false">IF($E1159="","",IF($O1159&lt;&gt;"Sim","",COUNTIF($O$3:$O1159,"Sim")))</f>
        <v/>
      </c>
      <c r="R1159" s="47" t="n">
        <f aca="false">IF($P1159="",0,$P1159)</f>
        <v>0</v>
      </c>
    </row>
    <row r="1160" customFormat="false" ht="18" hidden="false" customHeight="true" outlineLevel="0" collapsed="false">
      <c r="A1160" s="39"/>
      <c r="B1160" s="41"/>
      <c r="C1160" s="40"/>
      <c r="D1160" s="40"/>
      <c r="E1160" s="40"/>
      <c r="F1160" s="42"/>
      <c r="G1160" s="39"/>
      <c r="H1160" s="40"/>
      <c r="I1160" s="40"/>
      <c r="J1160" s="40"/>
      <c r="K1160" s="41"/>
      <c r="L1160" s="39"/>
      <c r="M1160" s="48" t="str">
        <f aca="false">IF($E1160="","",IFERROR(INDEX(Parâmetros!$C$15:$C$20,MATCH($P1160,Parâmetros!$B$15:$B$20,0)),""))</f>
        <v/>
      </c>
      <c r="N1160" s="46" t="str">
        <f aca="false">IF($E1160="","",IF($P1160="","",IF($P1160&gt;=8,"Alta",IF($P1160&gt;=5,"Média","Baixa"))))</f>
        <v/>
      </c>
      <c r="O1160" s="46" t="str">
        <f aca="false">IF($E1160="","",IF(AND(Parâmetros!$C$5&gt;0,$P1160&lt;&gt;"",$P1160&gt;=Parâmetros!$C$5),"Sim","Não"))</f>
        <v/>
      </c>
      <c r="P1160" s="45" t="str">
        <f aca="false">IF($E1160="","",IF($G1160="","",IF($G1160="NOK",$F1160,0)))</f>
        <v/>
      </c>
      <c r="Q1160" s="46" t="str">
        <f aca="false">IF($E1160="","",IF($O1160&lt;&gt;"Sim","",COUNTIF($O$3:$O1160,"Sim")))</f>
        <v/>
      </c>
      <c r="R1160" s="47" t="n">
        <f aca="false">IF($P1160="",0,$P1160)</f>
        <v>0</v>
      </c>
    </row>
    <row r="1161" customFormat="false" ht="18" hidden="false" customHeight="true" outlineLevel="0" collapsed="false">
      <c r="A1161" s="39"/>
      <c r="B1161" s="41"/>
      <c r="C1161" s="40"/>
      <c r="D1161" s="40"/>
      <c r="E1161" s="40"/>
      <c r="F1161" s="42"/>
      <c r="G1161" s="39"/>
      <c r="H1161" s="40"/>
      <c r="I1161" s="40"/>
      <c r="J1161" s="40"/>
      <c r="K1161" s="41"/>
      <c r="L1161" s="39"/>
      <c r="M1161" s="48" t="str">
        <f aca="false">IF($E1161="","",IFERROR(INDEX(Parâmetros!$C$15:$C$20,MATCH($P1161,Parâmetros!$B$15:$B$20,0)),""))</f>
        <v/>
      </c>
      <c r="N1161" s="46" t="str">
        <f aca="false">IF($E1161="","",IF($P1161="","",IF($P1161&gt;=8,"Alta",IF($P1161&gt;=5,"Média","Baixa"))))</f>
        <v/>
      </c>
      <c r="O1161" s="46" t="str">
        <f aca="false">IF($E1161="","",IF(AND(Parâmetros!$C$5&gt;0,$P1161&lt;&gt;"",$P1161&gt;=Parâmetros!$C$5),"Sim","Não"))</f>
        <v/>
      </c>
      <c r="P1161" s="45" t="str">
        <f aca="false">IF($E1161="","",IF($G1161="","",IF($G1161="NOK",$F1161,0)))</f>
        <v/>
      </c>
      <c r="Q1161" s="46" t="str">
        <f aca="false">IF($E1161="","",IF($O1161&lt;&gt;"Sim","",COUNTIF($O$3:$O1161,"Sim")))</f>
        <v/>
      </c>
      <c r="R1161" s="47" t="n">
        <f aca="false">IF($P1161="",0,$P1161)</f>
        <v>0</v>
      </c>
    </row>
    <row r="1162" customFormat="false" ht="18" hidden="false" customHeight="true" outlineLevel="0" collapsed="false">
      <c r="A1162" s="39"/>
      <c r="B1162" s="41"/>
      <c r="C1162" s="40"/>
      <c r="D1162" s="40"/>
      <c r="E1162" s="40"/>
      <c r="F1162" s="42"/>
      <c r="G1162" s="39"/>
      <c r="H1162" s="40"/>
      <c r="I1162" s="40"/>
      <c r="J1162" s="40"/>
      <c r="K1162" s="41"/>
      <c r="L1162" s="39"/>
      <c r="M1162" s="48" t="str">
        <f aca="false">IF($E1162="","",IFERROR(INDEX(Parâmetros!$C$15:$C$20,MATCH($P1162,Parâmetros!$B$15:$B$20,0)),""))</f>
        <v/>
      </c>
      <c r="N1162" s="46" t="str">
        <f aca="false">IF($E1162="","",IF($P1162="","",IF($P1162&gt;=8,"Alta",IF($P1162&gt;=5,"Média","Baixa"))))</f>
        <v/>
      </c>
      <c r="O1162" s="46" t="str">
        <f aca="false">IF($E1162="","",IF(AND(Parâmetros!$C$5&gt;0,$P1162&lt;&gt;"",$P1162&gt;=Parâmetros!$C$5),"Sim","Não"))</f>
        <v/>
      </c>
      <c r="P1162" s="45" t="str">
        <f aca="false">IF($E1162="","",IF($G1162="","",IF($G1162="NOK",$F1162,0)))</f>
        <v/>
      </c>
      <c r="Q1162" s="46" t="str">
        <f aca="false">IF($E1162="","",IF($O1162&lt;&gt;"Sim","",COUNTIF($O$3:$O1162,"Sim")))</f>
        <v/>
      </c>
      <c r="R1162" s="47" t="n">
        <f aca="false">IF($P1162="",0,$P1162)</f>
        <v>0</v>
      </c>
    </row>
    <row r="1163" customFormat="false" ht="18" hidden="false" customHeight="true" outlineLevel="0" collapsed="false">
      <c r="A1163" s="39"/>
      <c r="B1163" s="41"/>
      <c r="C1163" s="40"/>
      <c r="D1163" s="40"/>
      <c r="E1163" s="40"/>
      <c r="F1163" s="42"/>
      <c r="G1163" s="39"/>
      <c r="H1163" s="40"/>
      <c r="I1163" s="40"/>
      <c r="J1163" s="40"/>
      <c r="K1163" s="41"/>
      <c r="L1163" s="39"/>
      <c r="M1163" s="48" t="str">
        <f aca="false">IF($E1163="","",IFERROR(INDEX(Parâmetros!$C$15:$C$20,MATCH($P1163,Parâmetros!$B$15:$B$20,0)),""))</f>
        <v/>
      </c>
      <c r="N1163" s="46" t="str">
        <f aca="false">IF($E1163="","",IF($P1163="","",IF($P1163&gt;=8,"Alta",IF($P1163&gt;=5,"Média","Baixa"))))</f>
        <v/>
      </c>
      <c r="O1163" s="46" t="str">
        <f aca="false">IF($E1163="","",IF(AND(Parâmetros!$C$5&gt;0,$P1163&lt;&gt;"",$P1163&gt;=Parâmetros!$C$5),"Sim","Não"))</f>
        <v/>
      </c>
      <c r="P1163" s="45" t="str">
        <f aca="false">IF($E1163="","",IF($G1163="","",IF($G1163="NOK",$F1163,0)))</f>
        <v/>
      </c>
      <c r="Q1163" s="46" t="str">
        <f aca="false">IF($E1163="","",IF($O1163&lt;&gt;"Sim","",COUNTIF($O$3:$O1163,"Sim")))</f>
        <v/>
      </c>
      <c r="R1163" s="47" t="n">
        <f aca="false">IF($P1163="",0,$P1163)</f>
        <v>0</v>
      </c>
    </row>
    <row r="1164" customFormat="false" ht="18" hidden="false" customHeight="true" outlineLevel="0" collapsed="false">
      <c r="A1164" s="39"/>
      <c r="B1164" s="41"/>
      <c r="C1164" s="40"/>
      <c r="D1164" s="40"/>
      <c r="E1164" s="40"/>
      <c r="F1164" s="42"/>
      <c r="G1164" s="39"/>
      <c r="H1164" s="40"/>
      <c r="I1164" s="40"/>
      <c r="J1164" s="40"/>
      <c r="K1164" s="41"/>
      <c r="L1164" s="39"/>
      <c r="M1164" s="48" t="str">
        <f aca="false">IF($E1164="","",IFERROR(INDEX(Parâmetros!$C$15:$C$20,MATCH($P1164,Parâmetros!$B$15:$B$20,0)),""))</f>
        <v/>
      </c>
      <c r="N1164" s="46" t="str">
        <f aca="false">IF($E1164="","",IF($P1164="","",IF($P1164&gt;=8,"Alta",IF($P1164&gt;=5,"Média","Baixa"))))</f>
        <v/>
      </c>
      <c r="O1164" s="46" t="str">
        <f aca="false">IF($E1164="","",IF(AND(Parâmetros!$C$5&gt;0,$P1164&lt;&gt;"",$P1164&gt;=Parâmetros!$C$5),"Sim","Não"))</f>
        <v/>
      </c>
      <c r="P1164" s="45" t="str">
        <f aca="false">IF($E1164="","",IF($G1164="","",IF($G1164="NOK",$F1164,0)))</f>
        <v/>
      </c>
      <c r="Q1164" s="46" t="str">
        <f aca="false">IF($E1164="","",IF($O1164&lt;&gt;"Sim","",COUNTIF($O$3:$O1164,"Sim")))</f>
        <v/>
      </c>
      <c r="R1164" s="47" t="n">
        <f aca="false">IF($P1164="",0,$P1164)</f>
        <v>0</v>
      </c>
    </row>
    <row r="1165" customFormat="false" ht="18" hidden="false" customHeight="true" outlineLevel="0" collapsed="false">
      <c r="A1165" s="39"/>
      <c r="B1165" s="41"/>
      <c r="C1165" s="40"/>
      <c r="D1165" s="40"/>
      <c r="E1165" s="40"/>
      <c r="F1165" s="42"/>
      <c r="G1165" s="39"/>
      <c r="H1165" s="40"/>
      <c r="I1165" s="40"/>
      <c r="J1165" s="40"/>
      <c r="K1165" s="41"/>
      <c r="L1165" s="39"/>
      <c r="M1165" s="48" t="str">
        <f aca="false">IF($E1165="","",IFERROR(INDEX(Parâmetros!$C$15:$C$20,MATCH($P1165,Parâmetros!$B$15:$B$20,0)),""))</f>
        <v/>
      </c>
      <c r="N1165" s="46" t="str">
        <f aca="false">IF($E1165="","",IF($P1165="","",IF($P1165&gt;=8,"Alta",IF($P1165&gt;=5,"Média","Baixa"))))</f>
        <v/>
      </c>
      <c r="O1165" s="46" t="str">
        <f aca="false">IF($E1165="","",IF(AND(Parâmetros!$C$5&gt;0,$P1165&lt;&gt;"",$P1165&gt;=Parâmetros!$C$5),"Sim","Não"))</f>
        <v/>
      </c>
      <c r="P1165" s="45" t="str">
        <f aca="false">IF($E1165="","",IF($G1165="","",IF($G1165="NOK",$F1165,0)))</f>
        <v/>
      </c>
      <c r="Q1165" s="46" t="str">
        <f aca="false">IF($E1165="","",IF($O1165&lt;&gt;"Sim","",COUNTIF($O$3:$O1165,"Sim")))</f>
        <v/>
      </c>
      <c r="R1165" s="47" t="n">
        <f aca="false">IF($P1165="",0,$P1165)</f>
        <v>0</v>
      </c>
    </row>
    <row r="1166" customFormat="false" ht="18" hidden="false" customHeight="true" outlineLevel="0" collapsed="false">
      <c r="A1166" s="39"/>
      <c r="B1166" s="41"/>
      <c r="C1166" s="40"/>
      <c r="D1166" s="40"/>
      <c r="E1166" s="40"/>
      <c r="F1166" s="42"/>
      <c r="G1166" s="39"/>
      <c r="H1166" s="40"/>
      <c r="I1166" s="40"/>
      <c r="J1166" s="40"/>
      <c r="K1166" s="41"/>
      <c r="L1166" s="39"/>
      <c r="M1166" s="48" t="str">
        <f aca="false">IF($E1166="","",IFERROR(INDEX(Parâmetros!$C$15:$C$20,MATCH($P1166,Parâmetros!$B$15:$B$20,0)),""))</f>
        <v/>
      </c>
      <c r="N1166" s="46" t="str">
        <f aca="false">IF($E1166="","",IF($P1166="","",IF($P1166&gt;=8,"Alta",IF($P1166&gt;=5,"Média","Baixa"))))</f>
        <v/>
      </c>
      <c r="O1166" s="46" t="str">
        <f aca="false">IF($E1166="","",IF(AND(Parâmetros!$C$5&gt;0,$P1166&lt;&gt;"",$P1166&gt;=Parâmetros!$C$5),"Sim","Não"))</f>
        <v/>
      </c>
      <c r="P1166" s="45" t="str">
        <f aca="false">IF($E1166="","",IF($G1166="","",IF($G1166="NOK",$F1166,0)))</f>
        <v/>
      </c>
      <c r="Q1166" s="46" t="str">
        <f aca="false">IF($E1166="","",IF($O1166&lt;&gt;"Sim","",COUNTIF($O$3:$O1166,"Sim")))</f>
        <v/>
      </c>
      <c r="R1166" s="47" t="n">
        <f aca="false">IF($P1166="",0,$P1166)</f>
        <v>0</v>
      </c>
    </row>
    <row r="1167" customFormat="false" ht="18" hidden="false" customHeight="true" outlineLevel="0" collapsed="false">
      <c r="A1167" s="39"/>
      <c r="B1167" s="41"/>
      <c r="C1167" s="40"/>
      <c r="D1167" s="40"/>
      <c r="E1167" s="40"/>
      <c r="F1167" s="42"/>
      <c r="G1167" s="39"/>
      <c r="H1167" s="40"/>
      <c r="I1167" s="40"/>
      <c r="J1167" s="40"/>
      <c r="K1167" s="41"/>
      <c r="L1167" s="39"/>
      <c r="M1167" s="48" t="str">
        <f aca="false">IF($E1167="","",IFERROR(INDEX(Parâmetros!$C$15:$C$20,MATCH($P1167,Parâmetros!$B$15:$B$20,0)),""))</f>
        <v/>
      </c>
      <c r="N1167" s="46" t="str">
        <f aca="false">IF($E1167="","",IF($P1167="","",IF($P1167&gt;=8,"Alta",IF($P1167&gt;=5,"Média","Baixa"))))</f>
        <v/>
      </c>
      <c r="O1167" s="46" t="str">
        <f aca="false">IF($E1167="","",IF(AND(Parâmetros!$C$5&gt;0,$P1167&lt;&gt;"",$P1167&gt;=Parâmetros!$C$5),"Sim","Não"))</f>
        <v/>
      </c>
      <c r="P1167" s="45" t="str">
        <f aca="false">IF($E1167="","",IF($G1167="","",IF($G1167="NOK",$F1167,0)))</f>
        <v/>
      </c>
      <c r="Q1167" s="46" t="str">
        <f aca="false">IF($E1167="","",IF($O1167&lt;&gt;"Sim","",COUNTIF($O$3:$O1167,"Sim")))</f>
        <v/>
      </c>
      <c r="R1167" s="47" t="n">
        <f aca="false">IF($P1167="",0,$P1167)</f>
        <v>0</v>
      </c>
    </row>
    <row r="1168" customFormat="false" ht="18" hidden="false" customHeight="true" outlineLevel="0" collapsed="false">
      <c r="A1168" s="39"/>
      <c r="B1168" s="41"/>
      <c r="C1168" s="40"/>
      <c r="D1168" s="40"/>
      <c r="E1168" s="40"/>
      <c r="F1168" s="42"/>
      <c r="G1168" s="39"/>
      <c r="H1168" s="40"/>
      <c r="I1168" s="40"/>
      <c r="J1168" s="40"/>
      <c r="K1168" s="41"/>
      <c r="L1168" s="39"/>
      <c r="M1168" s="48" t="str">
        <f aca="false">IF($E1168="","",IFERROR(INDEX(Parâmetros!$C$15:$C$20,MATCH($P1168,Parâmetros!$B$15:$B$20,0)),""))</f>
        <v/>
      </c>
      <c r="N1168" s="46" t="str">
        <f aca="false">IF($E1168="","",IF($P1168="","",IF($P1168&gt;=8,"Alta",IF($P1168&gt;=5,"Média","Baixa"))))</f>
        <v/>
      </c>
      <c r="O1168" s="46" t="str">
        <f aca="false">IF($E1168="","",IF(AND(Parâmetros!$C$5&gt;0,$P1168&lt;&gt;"",$P1168&gt;=Parâmetros!$C$5),"Sim","Não"))</f>
        <v/>
      </c>
      <c r="P1168" s="45" t="str">
        <f aca="false">IF($E1168="","",IF($G1168="","",IF($G1168="NOK",$F1168,0)))</f>
        <v/>
      </c>
      <c r="Q1168" s="46" t="str">
        <f aca="false">IF($E1168="","",IF($O1168&lt;&gt;"Sim","",COUNTIF($O$3:$O1168,"Sim")))</f>
        <v/>
      </c>
      <c r="R1168" s="47" t="n">
        <f aca="false">IF($P1168="",0,$P1168)</f>
        <v>0</v>
      </c>
    </row>
    <row r="1169" customFormat="false" ht="18" hidden="false" customHeight="true" outlineLevel="0" collapsed="false">
      <c r="A1169" s="39"/>
      <c r="B1169" s="41"/>
      <c r="C1169" s="40"/>
      <c r="D1169" s="40"/>
      <c r="E1169" s="40"/>
      <c r="F1169" s="42"/>
      <c r="G1169" s="39"/>
      <c r="H1169" s="40"/>
      <c r="I1169" s="40"/>
      <c r="J1169" s="40"/>
      <c r="K1169" s="41"/>
      <c r="L1169" s="39"/>
      <c r="M1169" s="48" t="str">
        <f aca="false">IF($E1169="","",IFERROR(INDEX(Parâmetros!$C$15:$C$20,MATCH($P1169,Parâmetros!$B$15:$B$20,0)),""))</f>
        <v/>
      </c>
      <c r="N1169" s="46" t="str">
        <f aca="false">IF($E1169="","",IF($P1169="","",IF($P1169&gt;=8,"Alta",IF($P1169&gt;=5,"Média","Baixa"))))</f>
        <v/>
      </c>
      <c r="O1169" s="46" t="str">
        <f aca="false">IF($E1169="","",IF(AND(Parâmetros!$C$5&gt;0,$P1169&lt;&gt;"",$P1169&gt;=Parâmetros!$C$5),"Sim","Não"))</f>
        <v/>
      </c>
      <c r="P1169" s="45" t="str">
        <f aca="false">IF($E1169="","",IF($G1169="","",IF($G1169="NOK",$F1169,0)))</f>
        <v/>
      </c>
      <c r="Q1169" s="46" t="str">
        <f aca="false">IF($E1169="","",IF($O1169&lt;&gt;"Sim","",COUNTIF($O$3:$O1169,"Sim")))</f>
        <v/>
      </c>
      <c r="R1169" s="47" t="n">
        <f aca="false">IF($P1169="",0,$P1169)</f>
        <v>0</v>
      </c>
    </row>
    <row r="1170" customFormat="false" ht="18" hidden="false" customHeight="true" outlineLevel="0" collapsed="false">
      <c r="A1170" s="39"/>
      <c r="B1170" s="41"/>
      <c r="C1170" s="40"/>
      <c r="D1170" s="40"/>
      <c r="E1170" s="40"/>
      <c r="F1170" s="42"/>
      <c r="G1170" s="39"/>
      <c r="H1170" s="40"/>
      <c r="I1170" s="40"/>
      <c r="J1170" s="40"/>
      <c r="K1170" s="41"/>
      <c r="L1170" s="39"/>
      <c r="M1170" s="48" t="str">
        <f aca="false">IF($E1170="","",IFERROR(INDEX(Parâmetros!$C$15:$C$20,MATCH($P1170,Parâmetros!$B$15:$B$20,0)),""))</f>
        <v/>
      </c>
      <c r="N1170" s="46" t="str">
        <f aca="false">IF($E1170="","",IF($P1170="","",IF($P1170&gt;=8,"Alta",IF($P1170&gt;=5,"Média","Baixa"))))</f>
        <v/>
      </c>
      <c r="O1170" s="46" t="str">
        <f aca="false">IF($E1170="","",IF(AND(Parâmetros!$C$5&gt;0,$P1170&lt;&gt;"",$P1170&gt;=Parâmetros!$C$5),"Sim","Não"))</f>
        <v/>
      </c>
      <c r="P1170" s="45" t="str">
        <f aca="false">IF($E1170="","",IF($G1170="","",IF($G1170="NOK",$F1170,0)))</f>
        <v/>
      </c>
      <c r="Q1170" s="46" t="str">
        <f aca="false">IF($E1170="","",IF($O1170&lt;&gt;"Sim","",COUNTIF($O$3:$O1170,"Sim")))</f>
        <v/>
      </c>
      <c r="R1170" s="47" t="n">
        <f aca="false">IF($P1170="",0,$P1170)</f>
        <v>0</v>
      </c>
    </row>
    <row r="1171" customFormat="false" ht="18" hidden="false" customHeight="true" outlineLevel="0" collapsed="false">
      <c r="A1171" s="39"/>
      <c r="B1171" s="41"/>
      <c r="C1171" s="40"/>
      <c r="D1171" s="40"/>
      <c r="E1171" s="40"/>
      <c r="F1171" s="42"/>
      <c r="G1171" s="39"/>
      <c r="H1171" s="40"/>
      <c r="I1171" s="40"/>
      <c r="J1171" s="40"/>
      <c r="K1171" s="41"/>
      <c r="L1171" s="39"/>
      <c r="M1171" s="48" t="str">
        <f aca="false">IF($E1171="","",IFERROR(INDEX(Parâmetros!$C$15:$C$20,MATCH($P1171,Parâmetros!$B$15:$B$20,0)),""))</f>
        <v/>
      </c>
      <c r="N1171" s="46" t="str">
        <f aca="false">IF($E1171="","",IF($P1171="","",IF($P1171&gt;=8,"Alta",IF($P1171&gt;=5,"Média","Baixa"))))</f>
        <v/>
      </c>
      <c r="O1171" s="46" t="str">
        <f aca="false">IF($E1171="","",IF(AND(Parâmetros!$C$5&gt;0,$P1171&lt;&gt;"",$P1171&gt;=Parâmetros!$C$5),"Sim","Não"))</f>
        <v/>
      </c>
      <c r="P1171" s="45" t="str">
        <f aca="false">IF($E1171="","",IF($G1171="","",IF($G1171="NOK",$F1171,0)))</f>
        <v/>
      </c>
      <c r="Q1171" s="46" t="str">
        <f aca="false">IF($E1171="","",IF($O1171&lt;&gt;"Sim","",COUNTIF($O$3:$O1171,"Sim")))</f>
        <v/>
      </c>
      <c r="R1171" s="47" t="n">
        <f aca="false">IF($P1171="",0,$P1171)</f>
        <v>0</v>
      </c>
    </row>
    <row r="1172" customFormat="false" ht="18" hidden="false" customHeight="true" outlineLevel="0" collapsed="false">
      <c r="A1172" s="39"/>
      <c r="B1172" s="41"/>
      <c r="C1172" s="40"/>
      <c r="D1172" s="40"/>
      <c r="E1172" s="40"/>
      <c r="F1172" s="42"/>
      <c r="G1172" s="39"/>
      <c r="H1172" s="40"/>
      <c r="I1172" s="40"/>
      <c r="J1172" s="40"/>
      <c r="K1172" s="41"/>
      <c r="L1172" s="39"/>
      <c r="M1172" s="48" t="str">
        <f aca="false">IF($E1172="","",IFERROR(INDEX(Parâmetros!$C$15:$C$20,MATCH($P1172,Parâmetros!$B$15:$B$20,0)),""))</f>
        <v/>
      </c>
      <c r="N1172" s="46" t="str">
        <f aca="false">IF($E1172="","",IF($P1172="","",IF($P1172&gt;=8,"Alta",IF($P1172&gt;=5,"Média","Baixa"))))</f>
        <v/>
      </c>
      <c r="O1172" s="46" t="str">
        <f aca="false">IF($E1172="","",IF(AND(Parâmetros!$C$5&gt;0,$P1172&lt;&gt;"",$P1172&gt;=Parâmetros!$C$5),"Sim","Não"))</f>
        <v/>
      </c>
      <c r="P1172" s="45" t="str">
        <f aca="false">IF($E1172="","",IF($G1172="","",IF($G1172="NOK",$F1172,0)))</f>
        <v/>
      </c>
      <c r="Q1172" s="46" t="str">
        <f aca="false">IF($E1172="","",IF($O1172&lt;&gt;"Sim","",COUNTIF($O$3:$O1172,"Sim")))</f>
        <v/>
      </c>
      <c r="R1172" s="47" t="n">
        <f aca="false">IF($P1172="",0,$P1172)</f>
        <v>0</v>
      </c>
    </row>
    <row r="1173" customFormat="false" ht="18" hidden="false" customHeight="true" outlineLevel="0" collapsed="false">
      <c r="A1173" s="39"/>
      <c r="B1173" s="41"/>
      <c r="C1173" s="40"/>
      <c r="D1173" s="40"/>
      <c r="E1173" s="40"/>
      <c r="F1173" s="42"/>
      <c r="G1173" s="39"/>
      <c r="H1173" s="40"/>
      <c r="I1173" s="40"/>
      <c r="J1173" s="40"/>
      <c r="K1173" s="41"/>
      <c r="L1173" s="39"/>
      <c r="M1173" s="48" t="str">
        <f aca="false">IF($E1173="","",IFERROR(INDEX(Parâmetros!$C$15:$C$20,MATCH($P1173,Parâmetros!$B$15:$B$20,0)),""))</f>
        <v/>
      </c>
      <c r="N1173" s="46" t="str">
        <f aca="false">IF($E1173="","",IF($P1173="","",IF($P1173&gt;=8,"Alta",IF($P1173&gt;=5,"Média","Baixa"))))</f>
        <v/>
      </c>
      <c r="O1173" s="46" t="str">
        <f aca="false">IF($E1173="","",IF(AND(Parâmetros!$C$5&gt;0,$P1173&lt;&gt;"",$P1173&gt;=Parâmetros!$C$5),"Sim","Não"))</f>
        <v/>
      </c>
      <c r="P1173" s="45" t="str">
        <f aca="false">IF($E1173="","",IF($G1173="","",IF($G1173="NOK",$F1173,0)))</f>
        <v/>
      </c>
      <c r="Q1173" s="46" t="str">
        <f aca="false">IF($E1173="","",IF($O1173&lt;&gt;"Sim","",COUNTIF($O$3:$O1173,"Sim")))</f>
        <v/>
      </c>
      <c r="R1173" s="47" t="n">
        <f aca="false">IF($P1173="",0,$P1173)</f>
        <v>0</v>
      </c>
    </row>
    <row r="1174" customFormat="false" ht="18" hidden="false" customHeight="true" outlineLevel="0" collapsed="false">
      <c r="A1174" s="39"/>
      <c r="B1174" s="41"/>
      <c r="C1174" s="40"/>
      <c r="D1174" s="40"/>
      <c r="E1174" s="40"/>
      <c r="F1174" s="42"/>
      <c r="G1174" s="39"/>
      <c r="H1174" s="40"/>
      <c r="I1174" s="40"/>
      <c r="J1174" s="40"/>
      <c r="K1174" s="41"/>
      <c r="L1174" s="39"/>
      <c r="M1174" s="48" t="str">
        <f aca="false">IF($E1174="","",IFERROR(INDEX(Parâmetros!$C$15:$C$20,MATCH($P1174,Parâmetros!$B$15:$B$20,0)),""))</f>
        <v/>
      </c>
      <c r="N1174" s="46" t="str">
        <f aca="false">IF($E1174="","",IF($P1174="","",IF($P1174&gt;=8,"Alta",IF($P1174&gt;=5,"Média","Baixa"))))</f>
        <v/>
      </c>
      <c r="O1174" s="46" t="str">
        <f aca="false">IF($E1174="","",IF(AND(Parâmetros!$C$5&gt;0,$P1174&lt;&gt;"",$P1174&gt;=Parâmetros!$C$5),"Sim","Não"))</f>
        <v/>
      </c>
      <c r="P1174" s="45" t="str">
        <f aca="false">IF($E1174="","",IF($G1174="","",IF($G1174="NOK",$F1174,0)))</f>
        <v/>
      </c>
      <c r="Q1174" s="46" t="str">
        <f aca="false">IF($E1174="","",IF($O1174&lt;&gt;"Sim","",COUNTIF($O$3:$O1174,"Sim")))</f>
        <v/>
      </c>
      <c r="R1174" s="47" t="n">
        <f aca="false">IF($P1174="",0,$P1174)</f>
        <v>0</v>
      </c>
    </row>
    <row r="1175" customFormat="false" ht="18" hidden="false" customHeight="true" outlineLevel="0" collapsed="false">
      <c r="A1175" s="39"/>
      <c r="B1175" s="41"/>
      <c r="C1175" s="40"/>
      <c r="D1175" s="40"/>
      <c r="E1175" s="40"/>
      <c r="F1175" s="42"/>
      <c r="G1175" s="39"/>
      <c r="H1175" s="40"/>
      <c r="I1175" s="40"/>
      <c r="J1175" s="40"/>
      <c r="K1175" s="41"/>
      <c r="L1175" s="39"/>
      <c r="M1175" s="48" t="str">
        <f aca="false">IF($E1175="","",IFERROR(INDEX(Parâmetros!$C$15:$C$20,MATCH($P1175,Parâmetros!$B$15:$B$20,0)),""))</f>
        <v/>
      </c>
      <c r="N1175" s="46" t="str">
        <f aca="false">IF($E1175="","",IF($P1175="","",IF($P1175&gt;=8,"Alta",IF($P1175&gt;=5,"Média","Baixa"))))</f>
        <v/>
      </c>
      <c r="O1175" s="46" t="str">
        <f aca="false">IF($E1175="","",IF(AND(Parâmetros!$C$5&gt;0,$P1175&lt;&gt;"",$P1175&gt;=Parâmetros!$C$5),"Sim","Não"))</f>
        <v/>
      </c>
      <c r="P1175" s="45" t="str">
        <f aca="false">IF($E1175="","",IF($G1175="","",IF($G1175="NOK",$F1175,0)))</f>
        <v/>
      </c>
      <c r="Q1175" s="46" t="str">
        <f aca="false">IF($E1175="","",IF($O1175&lt;&gt;"Sim","",COUNTIF($O$3:$O1175,"Sim")))</f>
        <v/>
      </c>
      <c r="R1175" s="47" t="n">
        <f aca="false">IF($P1175="",0,$P1175)</f>
        <v>0</v>
      </c>
    </row>
    <row r="1176" customFormat="false" ht="18" hidden="false" customHeight="true" outlineLevel="0" collapsed="false">
      <c r="A1176" s="39"/>
      <c r="B1176" s="41"/>
      <c r="C1176" s="40"/>
      <c r="D1176" s="40"/>
      <c r="E1176" s="40"/>
      <c r="F1176" s="42"/>
      <c r="G1176" s="39"/>
      <c r="H1176" s="40"/>
      <c r="I1176" s="40"/>
      <c r="J1176" s="40"/>
      <c r="K1176" s="41"/>
      <c r="L1176" s="39"/>
      <c r="M1176" s="48" t="str">
        <f aca="false">IF($E1176="","",IFERROR(INDEX(Parâmetros!$C$15:$C$20,MATCH($P1176,Parâmetros!$B$15:$B$20,0)),""))</f>
        <v/>
      </c>
      <c r="N1176" s="46" t="str">
        <f aca="false">IF($E1176="","",IF($P1176="","",IF($P1176&gt;=8,"Alta",IF($P1176&gt;=5,"Média","Baixa"))))</f>
        <v/>
      </c>
      <c r="O1176" s="46" t="str">
        <f aca="false">IF($E1176="","",IF(AND(Parâmetros!$C$5&gt;0,$P1176&lt;&gt;"",$P1176&gt;=Parâmetros!$C$5),"Sim","Não"))</f>
        <v/>
      </c>
      <c r="P1176" s="45" t="str">
        <f aca="false">IF($E1176="","",IF($G1176="","",IF($G1176="NOK",$F1176,0)))</f>
        <v/>
      </c>
      <c r="Q1176" s="46" t="str">
        <f aca="false">IF($E1176="","",IF($O1176&lt;&gt;"Sim","",COUNTIF($O$3:$O1176,"Sim")))</f>
        <v/>
      </c>
      <c r="R1176" s="47" t="n">
        <f aca="false">IF($P1176="",0,$P1176)</f>
        <v>0</v>
      </c>
    </row>
    <row r="1177" customFormat="false" ht="18" hidden="false" customHeight="true" outlineLevel="0" collapsed="false">
      <c r="A1177" s="39"/>
      <c r="B1177" s="41"/>
      <c r="C1177" s="40"/>
      <c r="D1177" s="40"/>
      <c r="E1177" s="40"/>
      <c r="F1177" s="42"/>
      <c r="G1177" s="39"/>
      <c r="H1177" s="40"/>
      <c r="I1177" s="40"/>
      <c r="J1177" s="40"/>
      <c r="K1177" s="41"/>
      <c r="L1177" s="39"/>
      <c r="M1177" s="48" t="str">
        <f aca="false">IF($E1177="","",IFERROR(INDEX(Parâmetros!$C$15:$C$20,MATCH($P1177,Parâmetros!$B$15:$B$20,0)),""))</f>
        <v/>
      </c>
      <c r="N1177" s="46" t="str">
        <f aca="false">IF($E1177="","",IF($P1177="","",IF($P1177&gt;=8,"Alta",IF($P1177&gt;=5,"Média","Baixa"))))</f>
        <v/>
      </c>
      <c r="O1177" s="46" t="str">
        <f aca="false">IF($E1177="","",IF(AND(Parâmetros!$C$5&gt;0,$P1177&lt;&gt;"",$P1177&gt;=Parâmetros!$C$5),"Sim","Não"))</f>
        <v/>
      </c>
      <c r="P1177" s="45" t="str">
        <f aca="false">IF($E1177="","",IF($G1177="","",IF($G1177="NOK",$F1177,0)))</f>
        <v/>
      </c>
      <c r="Q1177" s="46" t="str">
        <f aca="false">IF($E1177="","",IF($O1177&lt;&gt;"Sim","",COUNTIF($O$3:$O1177,"Sim")))</f>
        <v/>
      </c>
      <c r="R1177" s="47" t="n">
        <f aca="false">IF($P1177="",0,$P1177)</f>
        <v>0</v>
      </c>
    </row>
    <row r="1178" customFormat="false" ht="18" hidden="false" customHeight="true" outlineLevel="0" collapsed="false">
      <c r="A1178" s="39"/>
      <c r="B1178" s="41"/>
      <c r="C1178" s="40"/>
      <c r="D1178" s="40"/>
      <c r="E1178" s="40"/>
      <c r="F1178" s="42"/>
      <c r="G1178" s="39"/>
      <c r="H1178" s="40"/>
      <c r="I1178" s="40"/>
      <c r="J1178" s="40"/>
      <c r="K1178" s="41"/>
      <c r="L1178" s="39"/>
      <c r="M1178" s="48" t="str">
        <f aca="false">IF($E1178="","",IFERROR(INDEX(Parâmetros!$C$15:$C$20,MATCH($P1178,Parâmetros!$B$15:$B$20,0)),""))</f>
        <v/>
      </c>
      <c r="N1178" s="46" t="str">
        <f aca="false">IF($E1178="","",IF($P1178="","",IF($P1178&gt;=8,"Alta",IF($P1178&gt;=5,"Média","Baixa"))))</f>
        <v/>
      </c>
      <c r="O1178" s="46" t="str">
        <f aca="false">IF($E1178="","",IF(AND(Parâmetros!$C$5&gt;0,$P1178&lt;&gt;"",$P1178&gt;=Parâmetros!$C$5),"Sim","Não"))</f>
        <v/>
      </c>
      <c r="P1178" s="45" t="str">
        <f aca="false">IF($E1178="","",IF($G1178="","",IF($G1178="NOK",$F1178,0)))</f>
        <v/>
      </c>
      <c r="Q1178" s="46" t="str">
        <f aca="false">IF($E1178="","",IF($O1178&lt;&gt;"Sim","",COUNTIF($O$3:$O1178,"Sim")))</f>
        <v/>
      </c>
      <c r="R1178" s="47" t="n">
        <f aca="false">IF($P1178="",0,$P1178)</f>
        <v>0</v>
      </c>
    </row>
    <row r="1179" customFormat="false" ht="18" hidden="false" customHeight="true" outlineLevel="0" collapsed="false">
      <c r="A1179" s="39"/>
      <c r="B1179" s="41"/>
      <c r="C1179" s="40"/>
      <c r="D1179" s="40"/>
      <c r="E1179" s="40"/>
      <c r="F1179" s="42"/>
      <c r="G1179" s="39"/>
      <c r="H1179" s="40"/>
      <c r="I1179" s="40"/>
      <c r="J1179" s="40"/>
      <c r="K1179" s="41"/>
      <c r="L1179" s="39"/>
      <c r="M1179" s="48" t="str">
        <f aca="false">IF($E1179="","",IFERROR(INDEX(Parâmetros!$C$15:$C$20,MATCH($P1179,Parâmetros!$B$15:$B$20,0)),""))</f>
        <v/>
      </c>
      <c r="N1179" s="46" t="str">
        <f aca="false">IF($E1179="","",IF($P1179="","",IF($P1179&gt;=8,"Alta",IF($P1179&gt;=5,"Média","Baixa"))))</f>
        <v/>
      </c>
      <c r="O1179" s="46" t="str">
        <f aca="false">IF($E1179="","",IF(AND(Parâmetros!$C$5&gt;0,$P1179&lt;&gt;"",$P1179&gt;=Parâmetros!$C$5),"Sim","Não"))</f>
        <v/>
      </c>
      <c r="P1179" s="45" t="str">
        <f aca="false">IF($E1179="","",IF($G1179="","",IF($G1179="NOK",$F1179,0)))</f>
        <v/>
      </c>
      <c r="Q1179" s="46" t="str">
        <f aca="false">IF($E1179="","",IF($O1179&lt;&gt;"Sim","",COUNTIF($O$3:$O1179,"Sim")))</f>
        <v/>
      </c>
      <c r="R1179" s="47" t="n">
        <f aca="false">IF($P1179="",0,$P1179)</f>
        <v>0</v>
      </c>
    </row>
    <row r="1180" customFormat="false" ht="18" hidden="false" customHeight="true" outlineLevel="0" collapsed="false">
      <c r="A1180" s="39"/>
      <c r="B1180" s="41"/>
      <c r="C1180" s="40"/>
      <c r="D1180" s="40"/>
      <c r="E1180" s="40"/>
      <c r="F1180" s="42"/>
      <c r="G1180" s="39"/>
      <c r="H1180" s="40"/>
      <c r="I1180" s="40"/>
      <c r="J1180" s="40"/>
      <c r="K1180" s="41"/>
      <c r="L1180" s="39"/>
      <c r="M1180" s="48" t="str">
        <f aca="false">IF($E1180="","",IFERROR(INDEX(Parâmetros!$C$15:$C$20,MATCH($P1180,Parâmetros!$B$15:$B$20,0)),""))</f>
        <v/>
      </c>
      <c r="N1180" s="46" t="str">
        <f aca="false">IF($E1180="","",IF($P1180="","",IF($P1180&gt;=8,"Alta",IF($P1180&gt;=5,"Média","Baixa"))))</f>
        <v/>
      </c>
      <c r="O1180" s="46" t="str">
        <f aca="false">IF($E1180="","",IF(AND(Parâmetros!$C$5&gt;0,$P1180&lt;&gt;"",$P1180&gt;=Parâmetros!$C$5),"Sim","Não"))</f>
        <v/>
      </c>
      <c r="P1180" s="45" t="str">
        <f aca="false">IF($E1180="","",IF($G1180="","",IF($G1180="NOK",$F1180,0)))</f>
        <v/>
      </c>
      <c r="Q1180" s="46" t="str">
        <f aca="false">IF($E1180="","",IF($O1180&lt;&gt;"Sim","",COUNTIF($O$3:$O1180,"Sim")))</f>
        <v/>
      </c>
      <c r="R1180" s="47" t="n">
        <f aca="false">IF($P1180="",0,$P1180)</f>
        <v>0</v>
      </c>
    </row>
    <row r="1181" customFormat="false" ht="18" hidden="false" customHeight="true" outlineLevel="0" collapsed="false">
      <c r="A1181" s="39"/>
      <c r="B1181" s="41"/>
      <c r="C1181" s="40"/>
      <c r="D1181" s="40"/>
      <c r="E1181" s="40"/>
      <c r="F1181" s="42"/>
      <c r="G1181" s="39"/>
      <c r="H1181" s="40"/>
      <c r="I1181" s="40"/>
      <c r="J1181" s="40"/>
      <c r="K1181" s="41"/>
      <c r="L1181" s="39"/>
      <c r="M1181" s="48" t="str">
        <f aca="false">IF($E1181="","",IFERROR(INDEX(Parâmetros!$C$15:$C$20,MATCH($P1181,Parâmetros!$B$15:$B$20,0)),""))</f>
        <v/>
      </c>
      <c r="N1181" s="46" t="str">
        <f aca="false">IF($E1181="","",IF($P1181="","",IF($P1181&gt;=8,"Alta",IF($P1181&gt;=5,"Média","Baixa"))))</f>
        <v/>
      </c>
      <c r="O1181" s="46" t="str">
        <f aca="false">IF($E1181="","",IF(AND(Parâmetros!$C$5&gt;0,$P1181&lt;&gt;"",$P1181&gt;=Parâmetros!$C$5),"Sim","Não"))</f>
        <v/>
      </c>
      <c r="P1181" s="45" t="str">
        <f aca="false">IF($E1181="","",IF($G1181="","",IF($G1181="NOK",$F1181,0)))</f>
        <v/>
      </c>
      <c r="Q1181" s="46" t="str">
        <f aca="false">IF($E1181="","",IF($O1181&lt;&gt;"Sim","",COUNTIF($O$3:$O1181,"Sim")))</f>
        <v/>
      </c>
      <c r="R1181" s="47" t="n">
        <f aca="false">IF($P1181="",0,$P1181)</f>
        <v>0</v>
      </c>
    </row>
    <row r="1182" customFormat="false" ht="18" hidden="false" customHeight="true" outlineLevel="0" collapsed="false">
      <c r="A1182" s="39"/>
      <c r="B1182" s="41"/>
      <c r="C1182" s="40"/>
      <c r="D1182" s="40"/>
      <c r="E1182" s="40"/>
      <c r="F1182" s="42"/>
      <c r="G1182" s="39"/>
      <c r="H1182" s="40"/>
      <c r="I1182" s="40"/>
      <c r="J1182" s="40"/>
      <c r="K1182" s="41"/>
      <c r="L1182" s="39"/>
      <c r="M1182" s="48" t="str">
        <f aca="false">IF($E1182="","",IFERROR(INDEX(Parâmetros!$C$15:$C$20,MATCH($P1182,Parâmetros!$B$15:$B$20,0)),""))</f>
        <v/>
      </c>
      <c r="N1182" s="46" t="str">
        <f aca="false">IF($E1182="","",IF($P1182="","",IF($P1182&gt;=8,"Alta",IF($P1182&gt;=5,"Média","Baixa"))))</f>
        <v/>
      </c>
      <c r="O1182" s="46" t="str">
        <f aca="false">IF($E1182="","",IF(AND(Parâmetros!$C$5&gt;0,$P1182&lt;&gt;"",$P1182&gt;=Parâmetros!$C$5),"Sim","Não"))</f>
        <v/>
      </c>
      <c r="P1182" s="45" t="str">
        <f aca="false">IF($E1182="","",IF($G1182="","",IF($G1182="NOK",$F1182,0)))</f>
        <v/>
      </c>
      <c r="Q1182" s="46" t="str">
        <f aca="false">IF($E1182="","",IF($O1182&lt;&gt;"Sim","",COUNTIF($O$3:$O1182,"Sim")))</f>
        <v/>
      </c>
      <c r="R1182" s="47" t="n">
        <f aca="false">IF($P1182="",0,$P1182)</f>
        <v>0</v>
      </c>
    </row>
    <row r="1183" customFormat="false" ht="18" hidden="false" customHeight="true" outlineLevel="0" collapsed="false">
      <c r="A1183" s="39"/>
      <c r="B1183" s="41"/>
      <c r="C1183" s="40"/>
      <c r="D1183" s="40"/>
      <c r="E1183" s="40"/>
      <c r="F1183" s="42"/>
      <c r="G1183" s="39"/>
      <c r="H1183" s="40"/>
      <c r="I1183" s="40"/>
      <c r="J1183" s="40"/>
      <c r="K1183" s="41"/>
      <c r="L1183" s="39"/>
      <c r="M1183" s="48" t="str">
        <f aca="false">IF($E1183="","",IFERROR(INDEX(Parâmetros!$C$15:$C$20,MATCH($P1183,Parâmetros!$B$15:$B$20,0)),""))</f>
        <v/>
      </c>
      <c r="N1183" s="46" t="str">
        <f aca="false">IF($E1183="","",IF($P1183="","",IF($P1183&gt;=8,"Alta",IF($P1183&gt;=5,"Média","Baixa"))))</f>
        <v/>
      </c>
      <c r="O1183" s="46" t="str">
        <f aca="false">IF($E1183="","",IF(AND(Parâmetros!$C$5&gt;0,$P1183&lt;&gt;"",$P1183&gt;=Parâmetros!$C$5),"Sim","Não"))</f>
        <v/>
      </c>
      <c r="P1183" s="45" t="str">
        <f aca="false">IF($E1183="","",IF($G1183="","",IF($G1183="NOK",$F1183,0)))</f>
        <v/>
      </c>
      <c r="Q1183" s="46" t="str">
        <f aca="false">IF($E1183="","",IF($O1183&lt;&gt;"Sim","",COUNTIF($O$3:$O1183,"Sim")))</f>
        <v/>
      </c>
      <c r="R1183" s="47" t="n">
        <f aca="false">IF($P1183="",0,$P1183)</f>
        <v>0</v>
      </c>
    </row>
    <row r="1184" customFormat="false" ht="18" hidden="false" customHeight="true" outlineLevel="0" collapsed="false">
      <c r="A1184" s="39"/>
      <c r="B1184" s="41"/>
      <c r="C1184" s="40"/>
      <c r="D1184" s="40"/>
      <c r="E1184" s="40"/>
      <c r="F1184" s="42"/>
      <c r="G1184" s="39"/>
      <c r="H1184" s="40"/>
      <c r="I1184" s="40"/>
      <c r="J1184" s="40"/>
      <c r="K1184" s="41"/>
      <c r="L1184" s="39"/>
      <c r="M1184" s="48" t="str">
        <f aca="false">IF($E1184="","",IFERROR(INDEX(Parâmetros!$C$15:$C$20,MATCH($P1184,Parâmetros!$B$15:$B$20,0)),""))</f>
        <v/>
      </c>
      <c r="N1184" s="46" t="str">
        <f aca="false">IF($E1184="","",IF($P1184="","",IF($P1184&gt;=8,"Alta",IF($P1184&gt;=5,"Média","Baixa"))))</f>
        <v/>
      </c>
      <c r="O1184" s="46" t="str">
        <f aca="false">IF($E1184="","",IF(AND(Parâmetros!$C$5&gt;0,$P1184&lt;&gt;"",$P1184&gt;=Parâmetros!$C$5),"Sim","Não"))</f>
        <v/>
      </c>
      <c r="P1184" s="45" t="str">
        <f aca="false">IF($E1184="","",IF($G1184="","",IF($G1184="NOK",$F1184,0)))</f>
        <v/>
      </c>
      <c r="Q1184" s="46" t="str">
        <f aca="false">IF($E1184="","",IF($O1184&lt;&gt;"Sim","",COUNTIF($O$3:$O1184,"Sim")))</f>
        <v/>
      </c>
      <c r="R1184" s="47" t="n">
        <f aca="false">IF($P1184="",0,$P1184)</f>
        <v>0</v>
      </c>
    </row>
    <row r="1185" customFormat="false" ht="18" hidden="false" customHeight="true" outlineLevel="0" collapsed="false">
      <c r="A1185" s="39"/>
      <c r="B1185" s="41"/>
      <c r="C1185" s="40"/>
      <c r="D1185" s="40"/>
      <c r="E1185" s="40"/>
      <c r="F1185" s="42"/>
      <c r="G1185" s="39"/>
      <c r="H1185" s="40"/>
      <c r="I1185" s="40"/>
      <c r="J1185" s="40"/>
      <c r="K1185" s="41"/>
      <c r="L1185" s="39"/>
      <c r="M1185" s="48" t="str">
        <f aca="false">IF($E1185="","",IFERROR(INDEX(Parâmetros!$C$15:$C$20,MATCH($P1185,Parâmetros!$B$15:$B$20,0)),""))</f>
        <v/>
      </c>
      <c r="N1185" s="46" t="str">
        <f aca="false">IF($E1185="","",IF($P1185="","",IF($P1185&gt;=8,"Alta",IF($P1185&gt;=5,"Média","Baixa"))))</f>
        <v/>
      </c>
      <c r="O1185" s="46" t="str">
        <f aca="false">IF($E1185="","",IF(AND(Parâmetros!$C$5&gt;0,$P1185&lt;&gt;"",$P1185&gt;=Parâmetros!$C$5),"Sim","Não"))</f>
        <v/>
      </c>
      <c r="P1185" s="45" t="str">
        <f aca="false">IF($E1185="","",IF($G1185="","",IF($G1185="NOK",$F1185,0)))</f>
        <v/>
      </c>
      <c r="Q1185" s="46" t="str">
        <f aca="false">IF($E1185="","",IF($O1185&lt;&gt;"Sim","",COUNTIF($O$3:$O1185,"Sim")))</f>
        <v/>
      </c>
      <c r="R1185" s="47" t="n">
        <f aca="false">IF($P1185="",0,$P1185)</f>
        <v>0</v>
      </c>
    </row>
    <row r="1186" customFormat="false" ht="18" hidden="false" customHeight="true" outlineLevel="0" collapsed="false">
      <c r="A1186" s="39"/>
      <c r="B1186" s="41"/>
      <c r="C1186" s="40"/>
      <c r="D1186" s="40"/>
      <c r="E1186" s="40"/>
      <c r="F1186" s="42"/>
      <c r="G1186" s="39"/>
      <c r="H1186" s="40"/>
      <c r="I1186" s="40"/>
      <c r="J1186" s="40"/>
      <c r="K1186" s="41"/>
      <c r="L1186" s="39"/>
      <c r="M1186" s="48" t="str">
        <f aca="false">IF($E1186="","",IFERROR(INDEX(Parâmetros!$C$15:$C$20,MATCH($P1186,Parâmetros!$B$15:$B$20,0)),""))</f>
        <v/>
      </c>
      <c r="N1186" s="46" t="str">
        <f aca="false">IF($E1186="","",IF($P1186="","",IF($P1186&gt;=8,"Alta",IF($P1186&gt;=5,"Média","Baixa"))))</f>
        <v/>
      </c>
      <c r="O1186" s="46" t="str">
        <f aca="false">IF($E1186="","",IF(AND(Parâmetros!$C$5&gt;0,$P1186&lt;&gt;"",$P1186&gt;=Parâmetros!$C$5),"Sim","Não"))</f>
        <v/>
      </c>
      <c r="P1186" s="45" t="str">
        <f aca="false">IF($E1186="","",IF($G1186="","",IF($G1186="NOK",$F1186,0)))</f>
        <v/>
      </c>
      <c r="Q1186" s="46" t="str">
        <f aca="false">IF($E1186="","",IF($O1186&lt;&gt;"Sim","",COUNTIF($O$3:$O1186,"Sim")))</f>
        <v/>
      </c>
      <c r="R1186" s="47" t="n">
        <f aca="false">IF($P1186="",0,$P1186)</f>
        <v>0</v>
      </c>
    </row>
    <row r="1187" customFormat="false" ht="18" hidden="false" customHeight="true" outlineLevel="0" collapsed="false">
      <c r="A1187" s="39"/>
      <c r="B1187" s="41"/>
      <c r="C1187" s="40"/>
      <c r="D1187" s="40"/>
      <c r="E1187" s="40"/>
      <c r="F1187" s="42"/>
      <c r="G1187" s="39"/>
      <c r="H1187" s="40"/>
      <c r="I1187" s="40"/>
      <c r="J1187" s="40"/>
      <c r="K1187" s="41"/>
      <c r="L1187" s="39"/>
      <c r="M1187" s="48" t="str">
        <f aca="false">IF($E1187="","",IFERROR(INDEX(Parâmetros!$C$15:$C$20,MATCH($P1187,Parâmetros!$B$15:$B$20,0)),""))</f>
        <v/>
      </c>
      <c r="N1187" s="46" t="str">
        <f aca="false">IF($E1187="","",IF($P1187="","",IF($P1187&gt;=8,"Alta",IF($P1187&gt;=5,"Média","Baixa"))))</f>
        <v/>
      </c>
      <c r="O1187" s="46" t="str">
        <f aca="false">IF($E1187="","",IF(AND(Parâmetros!$C$5&gt;0,$P1187&lt;&gt;"",$P1187&gt;=Parâmetros!$C$5),"Sim","Não"))</f>
        <v/>
      </c>
      <c r="P1187" s="45" t="str">
        <f aca="false">IF($E1187="","",IF($G1187="","",IF($G1187="NOK",$F1187,0)))</f>
        <v/>
      </c>
      <c r="Q1187" s="46" t="str">
        <f aca="false">IF($E1187="","",IF($O1187&lt;&gt;"Sim","",COUNTIF($O$3:$O1187,"Sim")))</f>
        <v/>
      </c>
      <c r="R1187" s="47" t="n">
        <f aca="false">IF($P1187="",0,$P1187)</f>
        <v>0</v>
      </c>
    </row>
    <row r="1188" customFormat="false" ht="18" hidden="false" customHeight="true" outlineLevel="0" collapsed="false">
      <c r="A1188" s="39"/>
      <c r="B1188" s="41"/>
      <c r="C1188" s="40"/>
      <c r="D1188" s="40"/>
      <c r="E1188" s="40"/>
      <c r="F1188" s="42"/>
      <c r="G1188" s="39"/>
      <c r="H1188" s="40"/>
      <c r="I1188" s="40"/>
      <c r="J1188" s="40"/>
      <c r="K1188" s="41"/>
      <c r="L1188" s="39"/>
      <c r="M1188" s="48" t="str">
        <f aca="false">IF($E1188="","",IFERROR(INDEX(Parâmetros!$C$15:$C$20,MATCH($P1188,Parâmetros!$B$15:$B$20,0)),""))</f>
        <v/>
      </c>
      <c r="N1188" s="46" t="str">
        <f aca="false">IF($E1188="","",IF($P1188="","",IF($P1188&gt;=8,"Alta",IF($P1188&gt;=5,"Média","Baixa"))))</f>
        <v/>
      </c>
      <c r="O1188" s="46" t="str">
        <f aca="false">IF($E1188="","",IF(AND(Parâmetros!$C$5&gt;0,$P1188&lt;&gt;"",$P1188&gt;=Parâmetros!$C$5),"Sim","Não"))</f>
        <v/>
      </c>
      <c r="P1188" s="45" t="str">
        <f aca="false">IF($E1188="","",IF($G1188="","",IF($G1188="NOK",$F1188,0)))</f>
        <v/>
      </c>
      <c r="Q1188" s="46" t="str">
        <f aca="false">IF($E1188="","",IF($O1188&lt;&gt;"Sim","",COUNTIF($O$3:$O1188,"Sim")))</f>
        <v/>
      </c>
      <c r="R1188" s="47" t="n">
        <f aca="false">IF($P1188="",0,$P1188)</f>
        <v>0</v>
      </c>
    </row>
    <row r="1189" customFormat="false" ht="18" hidden="false" customHeight="true" outlineLevel="0" collapsed="false">
      <c r="A1189" s="39"/>
      <c r="B1189" s="41"/>
      <c r="C1189" s="40"/>
      <c r="D1189" s="40"/>
      <c r="E1189" s="40"/>
      <c r="F1189" s="42"/>
      <c r="G1189" s="39"/>
      <c r="H1189" s="40"/>
      <c r="I1189" s="40"/>
      <c r="J1189" s="40"/>
      <c r="K1189" s="41"/>
      <c r="L1189" s="39"/>
      <c r="M1189" s="48" t="str">
        <f aca="false">IF($E1189="","",IFERROR(INDEX(Parâmetros!$C$15:$C$20,MATCH($P1189,Parâmetros!$B$15:$B$20,0)),""))</f>
        <v/>
      </c>
      <c r="N1189" s="46" t="str">
        <f aca="false">IF($E1189="","",IF($P1189="","",IF($P1189&gt;=8,"Alta",IF($P1189&gt;=5,"Média","Baixa"))))</f>
        <v/>
      </c>
      <c r="O1189" s="46" t="str">
        <f aca="false">IF($E1189="","",IF(AND(Parâmetros!$C$5&gt;0,$P1189&lt;&gt;"",$P1189&gt;=Parâmetros!$C$5),"Sim","Não"))</f>
        <v/>
      </c>
      <c r="P1189" s="45" t="str">
        <f aca="false">IF($E1189="","",IF($G1189="","",IF($G1189="NOK",$F1189,0)))</f>
        <v/>
      </c>
      <c r="Q1189" s="46" t="str">
        <f aca="false">IF($E1189="","",IF($O1189&lt;&gt;"Sim","",COUNTIF($O$3:$O1189,"Sim")))</f>
        <v/>
      </c>
      <c r="R1189" s="47" t="n">
        <f aca="false">IF($P1189="",0,$P1189)</f>
        <v>0</v>
      </c>
    </row>
    <row r="1190" customFormat="false" ht="18" hidden="false" customHeight="true" outlineLevel="0" collapsed="false">
      <c r="A1190" s="39"/>
      <c r="B1190" s="41"/>
      <c r="C1190" s="40"/>
      <c r="D1190" s="40"/>
      <c r="E1190" s="40"/>
      <c r="F1190" s="42"/>
      <c r="G1190" s="39"/>
      <c r="H1190" s="40"/>
      <c r="I1190" s="40"/>
      <c r="J1190" s="40"/>
      <c r="K1190" s="41"/>
      <c r="L1190" s="39"/>
      <c r="M1190" s="48" t="str">
        <f aca="false">IF($E1190="","",IFERROR(INDEX(Parâmetros!$C$15:$C$20,MATCH($P1190,Parâmetros!$B$15:$B$20,0)),""))</f>
        <v/>
      </c>
      <c r="N1190" s="46" t="str">
        <f aca="false">IF($E1190="","",IF($P1190="","",IF($P1190&gt;=8,"Alta",IF($P1190&gt;=5,"Média","Baixa"))))</f>
        <v/>
      </c>
      <c r="O1190" s="46" t="str">
        <f aca="false">IF($E1190="","",IF(AND(Parâmetros!$C$5&gt;0,$P1190&lt;&gt;"",$P1190&gt;=Parâmetros!$C$5),"Sim","Não"))</f>
        <v/>
      </c>
      <c r="P1190" s="45" t="str">
        <f aca="false">IF($E1190="","",IF($G1190="","",IF($G1190="NOK",$F1190,0)))</f>
        <v/>
      </c>
      <c r="Q1190" s="46" t="str">
        <f aca="false">IF($E1190="","",IF($O1190&lt;&gt;"Sim","",COUNTIF($O$3:$O1190,"Sim")))</f>
        <v/>
      </c>
      <c r="R1190" s="47" t="n">
        <f aca="false">IF($P1190="",0,$P1190)</f>
        <v>0</v>
      </c>
    </row>
    <row r="1191" customFormat="false" ht="18" hidden="false" customHeight="true" outlineLevel="0" collapsed="false">
      <c r="A1191" s="39"/>
      <c r="B1191" s="41"/>
      <c r="C1191" s="40"/>
      <c r="D1191" s="40"/>
      <c r="E1191" s="40"/>
      <c r="F1191" s="42"/>
      <c r="G1191" s="39"/>
      <c r="H1191" s="40"/>
      <c r="I1191" s="40"/>
      <c r="J1191" s="40"/>
      <c r="K1191" s="41"/>
      <c r="L1191" s="39"/>
      <c r="M1191" s="48" t="str">
        <f aca="false">IF($E1191="","",IFERROR(INDEX(Parâmetros!$C$15:$C$20,MATCH($P1191,Parâmetros!$B$15:$B$20,0)),""))</f>
        <v/>
      </c>
      <c r="N1191" s="46" t="str">
        <f aca="false">IF($E1191="","",IF($P1191="","",IF($P1191&gt;=8,"Alta",IF($P1191&gt;=5,"Média","Baixa"))))</f>
        <v/>
      </c>
      <c r="O1191" s="46" t="str">
        <f aca="false">IF($E1191="","",IF(AND(Parâmetros!$C$5&gt;0,$P1191&lt;&gt;"",$P1191&gt;=Parâmetros!$C$5),"Sim","Não"))</f>
        <v/>
      </c>
      <c r="P1191" s="45" t="str">
        <f aca="false">IF($E1191="","",IF($G1191="","",IF($G1191="NOK",$F1191,0)))</f>
        <v/>
      </c>
      <c r="Q1191" s="46" t="str">
        <f aca="false">IF($E1191="","",IF($O1191&lt;&gt;"Sim","",COUNTIF($O$3:$O1191,"Sim")))</f>
        <v/>
      </c>
      <c r="R1191" s="47" t="n">
        <f aca="false">IF($P1191="",0,$P1191)</f>
        <v>0</v>
      </c>
    </row>
    <row r="1192" customFormat="false" ht="18" hidden="false" customHeight="true" outlineLevel="0" collapsed="false">
      <c r="A1192" s="39"/>
      <c r="B1192" s="41"/>
      <c r="C1192" s="40"/>
      <c r="D1192" s="40"/>
      <c r="E1192" s="40"/>
      <c r="F1192" s="42"/>
      <c r="G1192" s="39"/>
      <c r="H1192" s="40"/>
      <c r="I1192" s="40"/>
      <c r="J1192" s="40"/>
      <c r="K1192" s="41"/>
      <c r="L1192" s="39"/>
      <c r="M1192" s="48" t="str">
        <f aca="false">IF($E1192="","",IFERROR(INDEX(Parâmetros!$C$15:$C$20,MATCH($P1192,Parâmetros!$B$15:$B$20,0)),""))</f>
        <v/>
      </c>
      <c r="N1192" s="46" t="str">
        <f aca="false">IF($E1192="","",IF($P1192="","",IF($P1192&gt;=8,"Alta",IF($P1192&gt;=5,"Média","Baixa"))))</f>
        <v/>
      </c>
      <c r="O1192" s="46" t="str">
        <f aca="false">IF($E1192="","",IF(AND(Parâmetros!$C$5&gt;0,$P1192&lt;&gt;"",$P1192&gt;=Parâmetros!$C$5),"Sim","Não"))</f>
        <v/>
      </c>
      <c r="P1192" s="45" t="str">
        <f aca="false">IF($E1192="","",IF($G1192="","",IF($G1192="NOK",$F1192,0)))</f>
        <v/>
      </c>
      <c r="Q1192" s="46" t="str">
        <f aca="false">IF($E1192="","",IF($O1192&lt;&gt;"Sim","",COUNTIF($O$3:$O1192,"Sim")))</f>
        <v/>
      </c>
      <c r="R1192" s="47" t="n">
        <f aca="false">IF($P1192="",0,$P1192)</f>
        <v>0</v>
      </c>
    </row>
    <row r="1193" customFormat="false" ht="18" hidden="false" customHeight="true" outlineLevel="0" collapsed="false">
      <c r="A1193" s="39"/>
      <c r="B1193" s="41"/>
      <c r="C1193" s="40"/>
      <c r="D1193" s="40"/>
      <c r="E1193" s="40"/>
      <c r="F1193" s="42"/>
      <c r="G1193" s="39"/>
      <c r="H1193" s="40"/>
      <c r="I1193" s="40"/>
      <c r="J1193" s="40"/>
      <c r="K1193" s="41"/>
      <c r="L1193" s="39"/>
      <c r="M1193" s="48" t="str">
        <f aca="false">IF($E1193="","",IFERROR(INDEX(Parâmetros!$C$15:$C$20,MATCH($P1193,Parâmetros!$B$15:$B$20,0)),""))</f>
        <v/>
      </c>
      <c r="N1193" s="46" t="str">
        <f aca="false">IF($E1193="","",IF($P1193="","",IF($P1193&gt;=8,"Alta",IF($P1193&gt;=5,"Média","Baixa"))))</f>
        <v/>
      </c>
      <c r="O1193" s="46" t="str">
        <f aca="false">IF($E1193="","",IF(AND(Parâmetros!$C$5&gt;0,$P1193&lt;&gt;"",$P1193&gt;=Parâmetros!$C$5),"Sim","Não"))</f>
        <v/>
      </c>
      <c r="P1193" s="45" t="str">
        <f aca="false">IF($E1193="","",IF($G1193="","",IF($G1193="NOK",$F1193,0)))</f>
        <v/>
      </c>
      <c r="Q1193" s="46" t="str">
        <f aca="false">IF($E1193="","",IF($O1193&lt;&gt;"Sim","",COUNTIF($O$3:$O1193,"Sim")))</f>
        <v/>
      </c>
      <c r="R1193" s="47" t="n">
        <f aca="false">IF($P1193="",0,$P1193)</f>
        <v>0</v>
      </c>
    </row>
    <row r="1194" customFormat="false" ht="18" hidden="false" customHeight="true" outlineLevel="0" collapsed="false">
      <c r="A1194" s="39"/>
      <c r="B1194" s="41"/>
      <c r="C1194" s="40"/>
      <c r="D1194" s="40"/>
      <c r="E1194" s="40"/>
      <c r="F1194" s="42"/>
      <c r="G1194" s="39"/>
      <c r="H1194" s="40"/>
      <c r="I1194" s="40"/>
      <c r="J1194" s="40"/>
      <c r="K1194" s="41"/>
      <c r="L1194" s="39"/>
      <c r="M1194" s="48" t="str">
        <f aca="false">IF($E1194="","",IFERROR(INDEX(Parâmetros!$C$15:$C$20,MATCH($P1194,Parâmetros!$B$15:$B$20,0)),""))</f>
        <v/>
      </c>
      <c r="N1194" s="46" t="str">
        <f aca="false">IF($E1194="","",IF($P1194="","",IF($P1194&gt;=8,"Alta",IF($P1194&gt;=5,"Média","Baixa"))))</f>
        <v/>
      </c>
      <c r="O1194" s="46" t="str">
        <f aca="false">IF($E1194="","",IF(AND(Parâmetros!$C$5&gt;0,$P1194&lt;&gt;"",$P1194&gt;=Parâmetros!$C$5),"Sim","Não"))</f>
        <v/>
      </c>
      <c r="P1194" s="45" t="str">
        <f aca="false">IF($E1194="","",IF($G1194="","",IF($G1194="NOK",$F1194,0)))</f>
        <v/>
      </c>
      <c r="Q1194" s="46" t="str">
        <f aca="false">IF($E1194="","",IF($O1194&lt;&gt;"Sim","",COUNTIF($O$3:$O1194,"Sim")))</f>
        <v/>
      </c>
      <c r="R1194" s="47" t="n">
        <f aca="false">IF($P1194="",0,$P1194)</f>
        <v>0</v>
      </c>
    </row>
    <row r="1195" customFormat="false" ht="18" hidden="false" customHeight="true" outlineLevel="0" collapsed="false">
      <c r="A1195" s="39"/>
      <c r="B1195" s="41"/>
      <c r="C1195" s="40"/>
      <c r="D1195" s="40"/>
      <c r="E1195" s="40"/>
      <c r="F1195" s="42"/>
      <c r="G1195" s="39"/>
      <c r="H1195" s="40"/>
      <c r="I1195" s="40"/>
      <c r="J1195" s="40"/>
      <c r="K1195" s="41"/>
      <c r="L1195" s="39"/>
      <c r="M1195" s="48" t="str">
        <f aca="false">IF($E1195="","",IFERROR(INDEX(Parâmetros!$C$15:$C$20,MATCH($P1195,Parâmetros!$B$15:$B$20,0)),""))</f>
        <v/>
      </c>
      <c r="N1195" s="46" t="str">
        <f aca="false">IF($E1195="","",IF($P1195="","",IF($P1195&gt;=8,"Alta",IF($P1195&gt;=5,"Média","Baixa"))))</f>
        <v/>
      </c>
      <c r="O1195" s="46" t="str">
        <f aca="false">IF($E1195="","",IF(AND(Parâmetros!$C$5&gt;0,$P1195&lt;&gt;"",$P1195&gt;=Parâmetros!$C$5),"Sim","Não"))</f>
        <v/>
      </c>
      <c r="P1195" s="45" t="str">
        <f aca="false">IF($E1195="","",IF($G1195="","",IF($G1195="NOK",$F1195,0)))</f>
        <v/>
      </c>
      <c r="Q1195" s="46" t="str">
        <f aca="false">IF($E1195="","",IF($O1195&lt;&gt;"Sim","",COUNTIF($O$3:$O1195,"Sim")))</f>
        <v/>
      </c>
      <c r="R1195" s="47" t="n">
        <f aca="false">IF($P1195="",0,$P1195)</f>
        <v>0</v>
      </c>
    </row>
    <row r="1196" customFormat="false" ht="18" hidden="false" customHeight="true" outlineLevel="0" collapsed="false">
      <c r="A1196" s="39"/>
      <c r="B1196" s="41"/>
      <c r="C1196" s="40"/>
      <c r="D1196" s="40"/>
      <c r="E1196" s="40"/>
      <c r="F1196" s="42"/>
      <c r="G1196" s="39"/>
      <c r="H1196" s="40"/>
      <c r="I1196" s="40"/>
      <c r="J1196" s="40"/>
      <c r="K1196" s="41"/>
      <c r="L1196" s="39"/>
      <c r="M1196" s="48" t="str">
        <f aca="false">IF($E1196="","",IFERROR(INDEX(Parâmetros!$C$15:$C$20,MATCH($P1196,Parâmetros!$B$15:$B$20,0)),""))</f>
        <v/>
      </c>
      <c r="N1196" s="46" t="str">
        <f aca="false">IF($E1196="","",IF($P1196="","",IF($P1196&gt;=8,"Alta",IF($P1196&gt;=5,"Média","Baixa"))))</f>
        <v/>
      </c>
      <c r="O1196" s="46" t="str">
        <f aca="false">IF($E1196="","",IF(AND(Parâmetros!$C$5&gt;0,$P1196&lt;&gt;"",$P1196&gt;=Parâmetros!$C$5),"Sim","Não"))</f>
        <v/>
      </c>
      <c r="P1196" s="45" t="str">
        <f aca="false">IF($E1196="","",IF($G1196="","",IF($G1196="NOK",$F1196,0)))</f>
        <v/>
      </c>
      <c r="Q1196" s="46" t="str">
        <f aca="false">IF($E1196="","",IF($O1196&lt;&gt;"Sim","",COUNTIF($O$3:$O1196,"Sim")))</f>
        <v/>
      </c>
      <c r="R1196" s="47" t="n">
        <f aca="false">IF($P1196="",0,$P1196)</f>
        <v>0</v>
      </c>
    </row>
    <row r="1197" customFormat="false" ht="18" hidden="false" customHeight="true" outlineLevel="0" collapsed="false">
      <c r="A1197" s="39"/>
      <c r="B1197" s="41"/>
      <c r="C1197" s="40"/>
      <c r="D1197" s="40"/>
      <c r="E1197" s="40"/>
      <c r="F1197" s="42"/>
      <c r="G1197" s="39"/>
      <c r="H1197" s="40"/>
      <c r="I1197" s="40"/>
      <c r="J1197" s="40"/>
      <c r="K1197" s="41"/>
      <c r="L1197" s="39"/>
      <c r="M1197" s="48" t="str">
        <f aca="false">IF($E1197="","",IFERROR(INDEX(Parâmetros!$C$15:$C$20,MATCH($P1197,Parâmetros!$B$15:$B$20,0)),""))</f>
        <v/>
      </c>
      <c r="N1197" s="46" t="str">
        <f aca="false">IF($E1197="","",IF($P1197="","",IF($P1197&gt;=8,"Alta",IF($P1197&gt;=5,"Média","Baixa"))))</f>
        <v/>
      </c>
      <c r="O1197" s="46" t="str">
        <f aca="false">IF($E1197="","",IF(AND(Parâmetros!$C$5&gt;0,$P1197&lt;&gt;"",$P1197&gt;=Parâmetros!$C$5),"Sim","Não"))</f>
        <v/>
      </c>
      <c r="P1197" s="45" t="str">
        <f aca="false">IF($E1197="","",IF($G1197="","",IF($G1197="NOK",$F1197,0)))</f>
        <v/>
      </c>
      <c r="Q1197" s="46" t="str">
        <f aca="false">IF($E1197="","",IF($O1197&lt;&gt;"Sim","",COUNTIF($O$3:$O1197,"Sim")))</f>
        <v/>
      </c>
      <c r="R1197" s="47" t="n">
        <f aca="false">IF($P1197="",0,$P1197)</f>
        <v>0</v>
      </c>
    </row>
    <row r="1198" customFormat="false" ht="18" hidden="false" customHeight="true" outlineLevel="0" collapsed="false">
      <c r="A1198" s="39"/>
      <c r="B1198" s="41"/>
      <c r="C1198" s="40"/>
      <c r="D1198" s="40"/>
      <c r="E1198" s="40"/>
      <c r="F1198" s="42"/>
      <c r="G1198" s="39"/>
      <c r="H1198" s="40"/>
      <c r="I1198" s="40"/>
      <c r="J1198" s="40"/>
      <c r="K1198" s="41"/>
      <c r="L1198" s="39"/>
      <c r="M1198" s="48" t="str">
        <f aca="false">IF($E1198="","",IFERROR(INDEX(Parâmetros!$C$15:$C$20,MATCH($P1198,Parâmetros!$B$15:$B$20,0)),""))</f>
        <v/>
      </c>
      <c r="N1198" s="46" t="str">
        <f aca="false">IF($E1198="","",IF($P1198="","",IF($P1198&gt;=8,"Alta",IF($P1198&gt;=5,"Média","Baixa"))))</f>
        <v/>
      </c>
      <c r="O1198" s="46" t="str">
        <f aca="false">IF($E1198="","",IF(AND(Parâmetros!$C$5&gt;0,$P1198&lt;&gt;"",$P1198&gt;=Parâmetros!$C$5),"Sim","Não"))</f>
        <v/>
      </c>
      <c r="P1198" s="45" t="str">
        <f aca="false">IF($E1198="","",IF($G1198="","",IF($G1198="NOK",$F1198,0)))</f>
        <v/>
      </c>
      <c r="Q1198" s="46" t="str">
        <f aca="false">IF($E1198="","",IF($O1198&lt;&gt;"Sim","",COUNTIF($O$3:$O1198,"Sim")))</f>
        <v/>
      </c>
      <c r="R1198" s="47" t="n">
        <f aca="false">IF($P1198="",0,$P1198)</f>
        <v>0</v>
      </c>
    </row>
    <row r="1199" customFormat="false" ht="18" hidden="false" customHeight="true" outlineLevel="0" collapsed="false">
      <c r="A1199" s="39"/>
      <c r="B1199" s="41"/>
      <c r="C1199" s="40"/>
      <c r="D1199" s="40"/>
      <c r="E1199" s="40"/>
      <c r="F1199" s="42"/>
      <c r="G1199" s="39"/>
      <c r="H1199" s="40"/>
      <c r="I1199" s="40"/>
      <c r="J1199" s="40"/>
      <c r="K1199" s="41"/>
      <c r="L1199" s="39"/>
      <c r="M1199" s="48" t="str">
        <f aca="false">IF($E1199="","",IFERROR(INDEX(Parâmetros!$C$15:$C$20,MATCH($P1199,Parâmetros!$B$15:$B$20,0)),""))</f>
        <v/>
      </c>
      <c r="N1199" s="46" t="str">
        <f aca="false">IF($E1199="","",IF($P1199="","",IF($P1199&gt;=8,"Alta",IF($P1199&gt;=5,"Média","Baixa"))))</f>
        <v/>
      </c>
      <c r="O1199" s="46" t="str">
        <f aca="false">IF($E1199="","",IF(AND(Parâmetros!$C$5&gt;0,$P1199&lt;&gt;"",$P1199&gt;=Parâmetros!$C$5),"Sim","Não"))</f>
        <v/>
      </c>
      <c r="P1199" s="45" t="str">
        <f aca="false">IF($E1199="","",IF($G1199="","",IF($G1199="NOK",$F1199,0)))</f>
        <v/>
      </c>
      <c r="Q1199" s="46" t="str">
        <f aca="false">IF($E1199="","",IF($O1199&lt;&gt;"Sim","",COUNTIF($O$3:$O1199,"Sim")))</f>
        <v/>
      </c>
      <c r="R1199" s="47" t="n">
        <f aca="false">IF($P1199="",0,$P1199)</f>
        <v>0</v>
      </c>
    </row>
    <row r="1200" customFormat="false" ht="18" hidden="false" customHeight="true" outlineLevel="0" collapsed="false">
      <c r="A1200" s="39"/>
      <c r="B1200" s="41"/>
      <c r="C1200" s="40"/>
      <c r="D1200" s="40"/>
      <c r="E1200" s="40"/>
      <c r="F1200" s="42"/>
      <c r="G1200" s="39"/>
      <c r="H1200" s="40"/>
      <c r="I1200" s="40"/>
      <c r="J1200" s="40"/>
      <c r="K1200" s="41"/>
      <c r="L1200" s="39"/>
      <c r="M1200" s="48" t="str">
        <f aca="false">IF($E1200="","",IFERROR(INDEX(Parâmetros!$C$15:$C$20,MATCH($P1200,Parâmetros!$B$15:$B$20,0)),""))</f>
        <v/>
      </c>
      <c r="N1200" s="46" t="str">
        <f aca="false">IF($E1200="","",IF($P1200="","",IF($P1200&gt;=8,"Alta",IF($P1200&gt;=5,"Média","Baixa"))))</f>
        <v/>
      </c>
      <c r="O1200" s="46" t="str">
        <f aca="false">IF($E1200="","",IF(AND(Parâmetros!$C$5&gt;0,$P1200&lt;&gt;"",$P1200&gt;=Parâmetros!$C$5),"Sim","Não"))</f>
        <v/>
      </c>
      <c r="P1200" s="45" t="str">
        <f aca="false">IF($E1200="","",IF($G1200="","",IF($G1200="NOK",$F1200,0)))</f>
        <v/>
      </c>
      <c r="Q1200" s="46" t="str">
        <f aca="false">IF($E1200="","",IF($O1200&lt;&gt;"Sim","",COUNTIF($O$3:$O1200,"Sim")))</f>
        <v/>
      </c>
      <c r="R1200" s="47" t="n">
        <f aca="false">IF($P1200="",0,$P1200)</f>
        <v>0</v>
      </c>
    </row>
    <row r="1201" customFormat="false" ht="18" hidden="false" customHeight="true" outlineLevel="0" collapsed="false">
      <c r="A1201" s="39"/>
      <c r="B1201" s="41"/>
      <c r="C1201" s="40"/>
      <c r="D1201" s="40"/>
      <c r="E1201" s="40"/>
      <c r="F1201" s="42"/>
      <c r="G1201" s="39"/>
      <c r="H1201" s="40"/>
      <c r="I1201" s="40"/>
      <c r="J1201" s="40"/>
      <c r="K1201" s="41"/>
      <c r="L1201" s="39"/>
      <c r="M1201" s="48" t="str">
        <f aca="false">IF($E1201="","",IFERROR(INDEX(Parâmetros!$C$15:$C$20,MATCH($P1201,Parâmetros!$B$15:$B$20,0)),""))</f>
        <v/>
      </c>
      <c r="N1201" s="46" t="str">
        <f aca="false">IF($E1201="","",IF($P1201="","",IF($P1201&gt;=8,"Alta",IF($P1201&gt;=5,"Média","Baixa"))))</f>
        <v/>
      </c>
      <c r="O1201" s="46" t="str">
        <f aca="false">IF($E1201="","",IF(AND(Parâmetros!$C$5&gt;0,$P1201&lt;&gt;"",$P1201&gt;=Parâmetros!$C$5),"Sim","Não"))</f>
        <v/>
      </c>
      <c r="P1201" s="45" t="str">
        <f aca="false">IF($E1201="","",IF($G1201="","",IF($G1201="NOK",$F1201,0)))</f>
        <v/>
      </c>
      <c r="Q1201" s="46" t="str">
        <f aca="false">IF($E1201="","",IF($O1201&lt;&gt;"Sim","",COUNTIF($O$3:$O1201,"Sim")))</f>
        <v/>
      </c>
      <c r="R1201" s="47" t="n">
        <f aca="false">IF($P1201="",0,$P1201)</f>
        <v>0</v>
      </c>
    </row>
    <row r="1202" customFormat="false" ht="18" hidden="false" customHeight="true" outlineLevel="0" collapsed="false">
      <c r="A1202" s="39"/>
      <c r="B1202" s="41"/>
      <c r="C1202" s="40"/>
      <c r="D1202" s="40"/>
      <c r="E1202" s="40"/>
      <c r="F1202" s="42"/>
      <c r="G1202" s="39"/>
      <c r="H1202" s="40"/>
      <c r="I1202" s="40"/>
      <c r="J1202" s="40"/>
      <c r="K1202" s="41"/>
      <c r="L1202" s="39"/>
      <c r="M1202" s="48" t="str">
        <f aca="false">IF($E1202="","",IFERROR(INDEX(Parâmetros!$C$15:$C$20,MATCH($P1202,Parâmetros!$B$15:$B$20,0)),""))</f>
        <v/>
      </c>
      <c r="N1202" s="46" t="str">
        <f aca="false">IF($E1202="","",IF($P1202="","",IF($P1202&gt;=8,"Alta",IF($P1202&gt;=5,"Média","Baixa"))))</f>
        <v/>
      </c>
      <c r="O1202" s="46" t="str">
        <f aca="false">IF($E1202="","",IF(AND(Parâmetros!$C$5&gt;0,$P1202&lt;&gt;"",$P1202&gt;=Parâmetros!$C$5),"Sim","Não"))</f>
        <v/>
      </c>
      <c r="P1202" s="45" t="str">
        <f aca="false">IF($E1202="","",IF($G1202="","",IF($G1202="NOK",$F1202,0)))</f>
        <v/>
      </c>
      <c r="Q1202" s="46" t="str">
        <f aca="false">IF($E1202="","",IF($O1202&lt;&gt;"Sim","",COUNTIF($O$3:$O1202,"Sim")))</f>
        <v/>
      </c>
      <c r="R1202" s="47" t="n">
        <f aca="false">IF($P1202="",0,$P1202)</f>
        <v>0</v>
      </c>
    </row>
    <row r="1203" customFormat="false" ht="18" hidden="false" customHeight="true" outlineLevel="0" collapsed="false">
      <c r="A1203" s="39"/>
      <c r="B1203" s="41"/>
      <c r="C1203" s="40"/>
      <c r="D1203" s="40"/>
      <c r="E1203" s="40"/>
      <c r="F1203" s="42"/>
      <c r="G1203" s="39"/>
      <c r="H1203" s="40"/>
      <c r="I1203" s="40"/>
      <c r="J1203" s="40"/>
      <c r="K1203" s="41"/>
      <c r="L1203" s="39"/>
      <c r="M1203" s="48" t="str">
        <f aca="false">IF($E1203="","",IFERROR(INDEX(Parâmetros!$C$15:$C$20,MATCH($P1203,Parâmetros!$B$15:$B$20,0)),""))</f>
        <v/>
      </c>
      <c r="N1203" s="46" t="str">
        <f aca="false">IF($E1203="","",IF($P1203="","",IF($P1203&gt;=8,"Alta",IF($P1203&gt;=5,"Média","Baixa"))))</f>
        <v/>
      </c>
      <c r="O1203" s="46" t="str">
        <f aca="false">IF($E1203="","",IF(AND(Parâmetros!$C$5&gt;0,$P1203&lt;&gt;"",$P1203&gt;=Parâmetros!$C$5),"Sim","Não"))</f>
        <v/>
      </c>
      <c r="P1203" s="45" t="str">
        <f aca="false">IF($E1203="","",IF($G1203="","",IF($G1203="NOK",$F1203,0)))</f>
        <v/>
      </c>
      <c r="Q1203" s="46" t="str">
        <f aca="false">IF($E1203="","",IF($O1203&lt;&gt;"Sim","",COUNTIF($O$3:$O1203,"Sim")))</f>
        <v/>
      </c>
      <c r="R1203" s="47" t="n">
        <f aca="false">IF($P1203="",0,$P1203)</f>
        <v>0</v>
      </c>
    </row>
    <row r="1204" customFormat="false" ht="18" hidden="false" customHeight="true" outlineLevel="0" collapsed="false">
      <c r="A1204" s="39"/>
      <c r="B1204" s="41"/>
      <c r="C1204" s="40"/>
      <c r="D1204" s="40"/>
      <c r="E1204" s="40"/>
      <c r="F1204" s="42"/>
      <c r="G1204" s="39"/>
      <c r="H1204" s="40"/>
      <c r="I1204" s="40"/>
      <c r="J1204" s="40"/>
      <c r="K1204" s="41"/>
      <c r="L1204" s="39"/>
      <c r="M1204" s="48" t="str">
        <f aca="false">IF($E1204="","",IFERROR(INDEX(Parâmetros!$C$15:$C$20,MATCH($P1204,Parâmetros!$B$15:$B$20,0)),""))</f>
        <v/>
      </c>
      <c r="N1204" s="46" t="str">
        <f aca="false">IF($E1204="","",IF($P1204="","",IF($P1204&gt;=8,"Alta",IF($P1204&gt;=5,"Média","Baixa"))))</f>
        <v/>
      </c>
      <c r="O1204" s="46" t="str">
        <f aca="false">IF($E1204="","",IF(AND(Parâmetros!$C$5&gt;0,$P1204&lt;&gt;"",$P1204&gt;=Parâmetros!$C$5),"Sim","Não"))</f>
        <v/>
      </c>
      <c r="P1204" s="45" t="str">
        <f aca="false">IF($E1204="","",IF($G1204="","",IF($G1204="NOK",$F1204,0)))</f>
        <v/>
      </c>
      <c r="Q1204" s="46" t="str">
        <f aca="false">IF($E1204="","",IF($O1204&lt;&gt;"Sim","",COUNTIF($O$3:$O1204,"Sim")))</f>
        <v/>
      </c>
      <c r="R1204" s="47" t="n">
        <f aca="false">IF($P1204="",0,$P1204)</f>
        <v>0</v>
      </c>
    </row>
    <row r="1205" customFormat="false" ht="18" hidden="false" customHeight="true" outlineLevel="0" collapsed="false">
      <c r="A1205" s="39"/>
      <c r="B1205" s="41"/>
      <c r="C1205" s="40"/>
      <c r="D1205" s="40"/>
      <c r="E1205" s="40"/>
      <c r="F1205" s="42"/>
      <c r="G1205" s="39"/>
      <c r="H1205" s="40"/>
      <c r="I1205" s="40"/>
      <c r="J1205" s="40"/>
      <c r="K1205" s="41"/>
      <c r="L1205" s="39"/>
      <c r="M1205" s="48" t="str">
        <f aca="false">IF($E1205="","",IFERROR(INDEX(Parâmetros!$C$15:$C$20,MATCH($P1205,Parâmetros!$B$15:$B$20,0)),""))</f>
        <v/>
      </c>
      <c r="N1205" s="46" t="str">
        <f aca="false">IF($E1205="","",IF($P1205="","",IF($P1205&gt;=8,"Alta",IF($P1205&gt;=5,"Média","Baixa"))))</f>
        <v/>
      </c>
      <c r="O1205" s="46" t="str">
        <f aca="false">IF($E1205="","",IF(AND(Parâmetros!$C$5&gt;0,$P1205&lt;&gt;"",$P1205&gt;=Parâmetros!$C$5),"Sim","Não"))</f>
        <v/>
      </c>
      <c r="P1205" s="45" t="str">
        <f aca="false">IF($E1205="","",IF($G1205="","",IF($G1205="NOK",$F1205,0)))</f>
        <v/>
      </c>
      <c r="Q1205" s="46" t="str">
        <f aca="false">IF($E1205="","",IF($O1205&lt;&gt;"Sim","",COUNTIF($O$3:$O1205,"Sim")))</f>
        <v/>
      </c>
      <c r="R1205" s="47" t="n">
        <f aca="false">IF($P1205="",0,$P1205)</f>
        <v>0</v>
      </c>
    </row>
    <row r="1206" customFormat="false" ht="18" hidden="false" customHeight="true" outlineLevel="0" collapsed="false">
      <c r="A1206" s="39"/>
      <c r="B1206" s="41"/>
      <c r="C1206" s="40"/>
      <c r="D1206" s="40"/>
      <c r="E1206" s="40"/>
      <c r="F1206" s="42"/>
      <c r="G1206" s="39"/>
      <c r="H1206" s="40"/>
      <c r="I1206" s="40"/>
      <c r="J1206" s="40"/>
      <c r="K1206" s="41"/>
      <c r="L1206" s="39"/>
      <c r="M1206" s="48" t="str">
        <f aca="false">IF($E1206="","",IFERROR(INDEX(Parâmetros!$C$15:$C$20,MATCH($P1206,Parâmetros!$B$15:$B$20,0)),""))</f>
        <v/>
      </c>
      <c r="N1206" s="46" t="str">
        <f aca="false">IF($E1206="","",IF($P1206="","",IF($P1206&gt;=8,"Alta",IF($P1206&gt;=5,"Média","Baixa"))))</f>
        <v/>
      </c>
      <c r="O1206" s="46" t="str">
        <f aca="false">IF($E1206="","",IF(AND(Parâmetros!$C$5&gt;0,$P1206&lt;&gt;"",$P1206&gt;=Parâmetros!$C$5),"Sim","Não"))</f>
        <v/>
      </c>
      <c r="P1206" s="45" t="str">
        <f aca="false">IF($E1206="","",IF($G1206="","",IF($G1206="NOK",$F1206,0)))</f>
        <v/>
      </c>
      <c r="Q1206" s="46" t="str">
        <f aca="false">IF($E1206="","",IF($O1206&lt;&gt;"Sim","",COUNTIF($O$3:$O1206,"Sim")))</f>
        <v/>
      </c>
      <c r="R1206" s="47" t="n">
        <f aca="false">IF($P1206="",0,$P1206)</f>
        <v>0</v>
      </c>
    </row>
    <row r="1207" customFormat="false" ht="18" hidden="false" customHeight="true" outlineLevel="0" collapsed="false">
      <c r="A1207" s="39"/>
      <c r="B1207" s="41"/>
      <c r="C1207" s="40"/>
      <c r="D1207" s="40"/>
      <c r="E1207" s="40"/>
      <c r="F1207" s="42"/>
      <c r="G1207" s="39"/>
      <c r="H1207" s="40"/>
      <c r="I1207" s="40"/>
      <c r="J1207" s="40"/>
      <c r="K1207" s="41"/>
      <c r="L1207" s="39"/>
      <c r="M1207" s="48" t="str">
        <f aca="false">IF($E1207="","",IFERROR(INDEX(Parâmetros!$C$15:$C$20,MATCH($P1207,Parâmetros!$B$15:$B$20,0)),""))</f>
        <v/>
      </c>
      <c r="N1207" s="46" t="str">
        <f aca="false">IF($E1207="","",IF($P1207="","",IF($P1207&gt;=8,"Alta",IF($P1207&gt;=5,"Média","Baixa"))))</f>
        <v/>
      </c>
      <c r="O1207" s="46" t="str">
        <f aca="false">IF($E1207="","",IF(AND(Parâmetros!$C$5&gt;0,$P1207&lt;&gt;"",$P1207&gt;=Parâmetros!$C$5),"Sim","Não"))</f>
        <v/>
      </c>
      <c r="P1207" s="45" t="str">
        <f aca="false">IF($E1207="","",IF($G1207="","",IF($G1207="NOK",$F1207,0)))</f>
        <v/>
      </c>
      <c r="Q1207" s="46" t="str">
        <f aca="false">IF($E1207="","",IF($O1207&lt;&gt;"Sim","",COUNTIF($O$3:$O1207,"Sim")))</f>
        <v/>
      </c>
      <c r="R1207" s="47" t="n">
        <f aca="false">IF($P1207="",0,$P1207)</f>
        <v>0</v>
      </c>
    </row>
    <row r="1208" customFormat="false" ht="18" hidden="false" customHeight="true" outlineLevel="0" collapsed="false">
      <c r="A1208" s="39"/>
      <c r="B1208" s="41"/>
      <c r="C1208" s="40"/>
      <c r="D1208" s="40"/>
      <c r="E1208" s="40"/>
      <c r="F1208" s="42"/>
      <c r="G1208" s="39"/>
      <c r="H1208" s="40"/>
      <c r="I1208" s="40"/>
      <c r="J1208" s="40"/>
      <c r="K1208" s="41"/>
      <c r="L1208" s="39"/>
      <c r="M1208" s="48" t="str">
        <f aca="false">IF($E1208="","",IFERROR(INDEX(Parâmetros!$C$15:$C$20,MATCH($P1208,Parâmetros!$B$15:$B$20,0)),""))</f>
        <v/>
      </c>
      <c r="N1208" s="46" t="str">
        <f aca="false">IF($E1208="","",IF($P1208="","",IF($P1208&gt;=8,"Alta",IF($P1208&gt;=5,"Média","Baixa"))))</f>
        <v/>
      </c>
      <c r="O1208" s="46" t="str">
        <f aca="false">IF($E1208="","",IF(AND(Parâmetros!$C$5&gt;0,$P1208&lt;&gt;"",$P1208&gt;=Parâmetros!$C$5),"Sim","Não"))</f>
        <v/>
      </c>
      <c r="P1208" s="45" t="str">
        <f aca="false">IF($E1208="","",IF($G1208="","",IF($G1208="NOK",$F1208,0)))</f>
        <v/>
      </c>
      <c r="Q1208" s="46" t="str">
        <f aca="false">IF($E1208="","",IF($O1208&lt;&gt;"Sim","",COUNTIF($O$3:$O1208,"Sim")))</f>
        <v/>
      </c>
      <c r="R1208" s="47" t="n">
        <f aca="false">IF($P1208="",0,$P1208)</f>
        <v>0</v>
      </c>
    </row>
    <row r="1209" customFormat="false" ht="18" hidden="false" customHeight="true" outlineLevel="0" collapsed="false">
      <c r="A1209" s="39"/>
      <c r="B1209" s="41"/>
      <c r="C1209" s="40"/>
      <c r="D1209" s="40"/>
      <c r="E1209" s="40"/>
      <c r="F1209" s="42"/>
      <c r="G1209" s="39"/>
      <c r="H1209" s="40"/>
      <c r="I1209" s="40"/>
      <c r="J1209" s="40"/>
      <c r="K1209" s="41"/>
      <c r="L1209" s="39"/>
      <c r="M1209" s="48" t="str">
        <f aca="false">IF($E1209="","",IFERROR(INDEX(Parâmetros!$C$15:$C$20,MATCH($P1209,Parâmetros!$B$15:$B$20,0)),""))</f>
        <v/>
      </c>
      <c r="N1209" s="46" t="str">
        <f aca="false">IF($E1209="","",IF($P1209="","",IF($P1209&gt;=8,"Alta",IF($P1209&gt;=5,"Média","Baixa"))))</f>
        <v/>
      </c>
      <c r="O1209" s="46" t="str">
        <f aca="false">IF($E1209="","",IF(AND(Parâmetros!$C$5&gt;0,$P1209&lt;&gt;"",$P1209&gt;=Parâmetros!$C$5),"Sim","Não"))</f>
        <v/>
      </c>
      <c r="P1209" s="45" t="str">
        <f aca="false">IF($E1209="","",IF($G1209="","",IF($G1209="NOK",$F1209,0)))</f>
        <v/>
      </c>
      <c r="Q1209" s="46" t="str">
        <f aca="false">IF($E1209="","",IF($O1209&lt;&gt;"Sim","",COUNTIF($O$3:$O1209,"Sim")))</f>
        <v/>
      </c>
      <c r="R1209" s="47" t="n">
        <f aca="false">IF($P1209="",0,$P1209)</f>
        <v>0</v>
      </c>
    </row>
    <row r="1210" customFormat="false" ht="18" hidden="false" customHeight="true" outlineLevel="0" collapsed="false">
      <c r="A1210" s="39"/>
      <c r="B1210" s="41"/>
      <c r="C1210" s="40"/>
      <c r="D1210" s="40"/>
      <c r="E1210" s="40"/>
      <c r="F1210" s="42"/>
      <c r="G1210" s="39"/>
      <c r="H1210" s="40"/>
      <c r="I1210" s="40"/>
      <c r="J1210" s="40"/>
      <c r="K1210" s="41"/>
      <c r="L1210" s="39"/>
      <c r="M1210" s="48" t="str">
        <f aca="false">IF($E1210="","",IFERROR(INDEX(Parâmetros!$C$15:$C$20,MATCH($P1210,Parâmetros!$B$15:$B$20,0)),""))</f>
        <v/>
      </c>
      <c r="N1210" s="46" t="str">
        <f aca="false">IF($E1210="","",IF($P1210="","",IF($P1210&gt;=8,"Alta",IF($P1210&gt;=5,"Média","Baixa"))))</f>
        <v/>
      </c>
      <c r="O1210" s="46" t="str">
        <f aca="false">IF($E1210="","",IF(AND(Parâmetros!$C$5&gt;0,$P1210&lt;&gt;"",$P1210&gt;=Parâmetros!$C$5),"Sim","Não"))</f>
        <v/>
      </c>
      <c r="P1210" s="45" t="str">
        <f aca="false">IF($E1210="","",IF($G1210="","",IF($G1210="NOK",$F1210,0)))</f>
        <v/>
      </c>
      <c r="Q1210" s="46" t="str">
        <f aca="false">IF($E1210="","",IF($O1210&lt;&gt;"Sim","",COUNTIF($O$3:$O1210,"Sim")))</f>
        <v/>
      </c>
      <c r="R1210" s="47" t="n">
        <f aca="false">IF($P1210="",0,$P1210)</f>
        <v>0</v>
      </c>
    </row>
    <row r="1211" customFormat="false" ht="18" hidden="false" customHeight="true" outlineLevel="0" collapsed="false">
      <c r="A1211" s="39"/>
      <c r="B1211" s="41"/>
      <c r="C1211" s="40"/>
      <c r="D1211" s="40"/>
      <c r="E1211" s="40"/>
      <c r="F1211" s="42"/>
      <c r="G1211" s="39"/>
      <c r="H1211" s="40"/>
      <c r="I1211" s="40"/>
      <c r="J1211" s="40"/>
      <c r="K1211" s="41"/>
      <c r="L1211" s="39"/>
      <c r="M1211" s="48" t="str">
        <f aca="false">IF($E1211="","",IFERROR(INDEX(Parâmetros!$C$15:$C$20,MATCH($P1211,Parâmetros!$B$15:$B$20,0)),""))</f>
        <v/>
      </c>
      <c r="N1211" s="46" t="str">
        <f aca="false">IF($E1211="","",IF($P1211="","",IF($P1211&gt;=8,"Alta",IF($P1211&gt;=5,"Média","Baixa"))))</f>
        <v/>
      </c>
      <c r="O1211" s="46" t="str">
        <f aca="false">IF($E1211="","",IF(AND(Parâmetros!$C$5&gt;0,$P1211&lt;&gt;"",$P1211&gt;=Parâmetros!$C$5),"Sim","Não"))</f>
        <v/>
      </c>
      <c r="P1211" s="45" t="str">
        <f aca="false">IF($E1211="","",IF($G1211="","",IF($G1211="NOK",$F1211,0)))</f>
        <v/>
      </c>
      <c r="Q1211" s="46" t="str">
        <f aca="false">IF($E1211="","",IF($O1211&lt;&gt;"Sim","",COUNTIF($O$3:$O1211,"Sim")))</f>
        <v/>
      </c>
      <c r="R1211" s="47" t="n">
        <f aca="false">IF($P1211="",0,$P1211)</f>
        <v>0</v>
      </c>
    </row>
    <row r="1212" customFormat="false" ht="18" hidden="false" customHeight="true" outlineLevel="0" collapsed="false">
      <c r="A1212" s="39"/>
      <c r="B1212" s="41"/>
      <c r="C1212" s="40"/>
      <c r="D1212" s="40"/>
      <c r="E1212" s="40"/>
      <c r="F1212" s="42"/>
      <c r="G1212" s="39"/>
      <c r="H1212" s="40"/>
      <c r="I1212" s="40"/>
      <c r="J1212" s="40"/>
      <c r="K1212" s="41"/>
      <c r="L1212" s="39"/>
      <c r="M1212" s="48" t="str">
        <f aca="false">IF($E1212="","",IFERROR(INDEX(Parâmetros!$C$15:$C$20,MATCH($P1212,Parâmetros!$B$15:$B$20,0)),""))</f>
        <v/>
      </c>
      <c r="N1212" s="46" t="str">
        <f aca="false">IF($E1212="","",IF($P1212="","",IF($P1212&gt;=8,"Alta",IF($P1212&gt;=5,"Média","Baixa"))))</f>
        <v/>
      </c>
      <c r="O1212" s="46" t="str">
        <f aca="false">IF($E1212="","",IF(AND(Parâmetros!$C$5&gt;0,$P1212&lt;&gt;"",$P1212&gt;=Parâmetros!$C$5),"Sim","Não"))</f>
        <v/>
      </c>
      <c r="P1212" s="45" t="str">
        <f aca="false">IF($E1212="","",IF($G1212="","",IF($G1212="NOK",$F1212,0)))</f>
        <v/>
      </c>
      <c r="Q1212" s="46" t="str">
        <f aca="false">IF($E1212="","",IF($O1212&lt;&gt;"Sim","",COUNTIF($O$3:$O1212,"Sim")))</f>
        <v/>
      </c>
      <c r="R1212" s="47" t="n">
        <f aca="false">IF($P1212="",0,$P1212)</f>
        <v>0</v>
      </c>
    </row>
    <row r="1213" customFormat="false" ht="18" hidden="false" customHeight="true" outlineLevel="0" collapsed="false">
      <c r="A1213" s="39"/>
      <c r="B1213" s="41"/>
      <c r="C1213" s="40"/>
      <c r="D1213" s="40"/>
      <c r="E1213" s="40"/>
      <c r="F1213" s="42"/>
      <c r="G1213" s="39"/>
      <c r="H1213" s="40"/>
      <c r="I1213" s="40"/>
      <c r="J1213" s="40"/>
      <c r="K1213" s="41"/>
      <c r="L1213" s="39"/>
      <c r="M1213" s="48" t="str">
        <f aca="false">IF($E1213="","",IFERROR(INDEX(Parâmetros!$C$15:$C$20,MATCH($P1213,Parâmetros!$B$15:$B$20,0)),""))</f>
        <v/>
      </c>
      <c r="N1213" s="46" t="str">
        <f aca="false">IF($E1213="","",IF($P1213="","",IF($P1213&gt;=8,"Alta",IF($P1213&gt;=5,"Média","Baixa"))))</f>
        <v/>
      </c>
      <c r="O1213" s="46" t="str">
        <f aca="false">IF($E1213="","",IF(AND(Parâmetros!$C$5&gt;0,$P1213&lt;&gt;"",$P1213&gt;=Parâmetros!$C$5),"Sim","Não"))</f>
        <v/>
      </c>
      <c r="P1213" s="45" t="str">
        <f aca="false">IF($E1213="","",IF($G1213="","",IF($G1213="NOK",$F1213,0)))</f>
        <v/>
      </c>
      <c r="Q1213" s="46" t="str">
        <f aca="false">IF($E1213="","",IF($O1213&lt;&gt;"Sim","",COUNTIF($O$3:$O1213,"Sim")))</f>
        <v/>
      </c>
      <c r="R1213" s="47" t="n">
        <f aca="false">IF($P1213="",0,$P1213)</f>
        <v>0</v>
      </c>
    </row>
    <row r="1214" customFormat="false" ht="18" hidden="false" customHeight="true" outlineLevel="0" collapsed="false">
      <c r="A1214" s="39"/>
      <c r="B1214" s="41"/>
      <c r="C1214" s="40"/>
      <c r="D1214" s="40"/>
      <c r="E1214" s="40"/>
      <c r="F1214" s="42"/>
      <c r="G1214" s="39"/>
      <c r="H1214" s="40"/>
      <c r="I1214" s="40"/>
      <c r="J1214" s="40"/>
      <c r="K1214" s="41"/>
      <c r="L1214" s="39"/>
      <c r="M1214" s="48" t="str">
        <f aca="false">IF($E1214="","",IFERROR(INDEX(Parâmetros!$C$15:$C$20,MATCH($P1214,Parâmetros!$B$15:$B$20,0)),""))</f>
        <v/>
      </c>
      <c r="N1214" s="46" t="str">
        <f aca="false">IF($E1214="","",IF($P1214="","",IF($P1214&gt;=8,"Alta",IF($P1214&gt;=5,"Média","Baixa"))))</f>
        <v/>
      </c>
      <c r="O1214" s="46" t="str">
        <f aca="false">IF($E1214="","",IF(AND(Parâmetros!$C$5&gt;0,$P1214&lt;&gt;"",$P1214&gt;=Parâmetros!$C$5),"Sim","Não"))</f>
        <v/>
      </c>
      <c r="P1214" s="45" t="str">
        <f aca="false">IF($E1214="","",IF($G1214="","",IF($G1214="NOK",$F1214,0)))</f>
        <v/>
      </c>
      <c r="Q1214" s="46" t="str">
        <f aca="false">IF($E1214="","",IF($O1214&lt;&gt;"Sim","",COUNTIF($O$3:$O1214,"Sim")))</f>
        <v/>
      </c>
      <c r="R1214" s="47" t="n">
        <f aca="false">IF($P1214="",0,$P1214)</f>
        <v>0</v>
      </c>
    </row>
    <row r="1215" customFormat="false" ht="18" hidden="false" customHeight="true" outlineLevel="0" collapsed="false">
      <c r="A1215" s="39"/>
      <c r="B1215" s="41"/>
      <c r="C1215" s="40"/>
      <c r="D1215" s="40"/>
      <c r="E1215" s="40"/>
      <c r="F1215" s="42"/>
      <c r="G1215" s="39"/>
      <c r="H1215" s="40"/>
      <c r="I1215" s="40"/>
      <c r="J1215" s="40"/>
      <c r="K1215" s="41"/>
      <c r="L1215" s="39"/>
      <c r="M1215" s="48" t="str">
        <f aca="false">IF($E1215="","",IFERROR(INDEX(Parâmetros!$C$15:$C$20,MATCH($P1215,Parâmetros!$B$15:$B$20,0)),""))</f>
        <v/>
      </c>
      <c r="N1215" s="46" t="str">
        <f aca="false">IF($E1215="","",IF($P1215="","",IF($P1215&gt;=8,"Alta",IF($P1215&gt;=5,"Média","Baixa"))))</f>
        <v/>
      </c>
      <c r="O1215" s="46" t="str">
        <f aca="false">IF($E1215="","",IF(AND(Parâmetros!$C$5&gt;0,$P1215&lt;&gt;"",$P1215&gt;=Parâmetros!$C$5),"Sim","Não"))</f>
        <v/>
      </c>
      <c r="P1215" s="45" t="str">
        <f aca="false">IF($E1215="","",IF($G1215="","",IF($G1215="NOK",$F1215,0)))</f>
        <v/>
      </c>
      <c r="Q1215" s="46" t="str">
        <f aca="false">IF($E1215="","",IF($O1215&lt;&gt;"Sim","",COUNTIF($O$3:$O1215,"Sim")))</f>
        <v/>
      </c>
      <c r="R1215" s="47" t="n">
        <f aca="false">IF($P1215="",0,$P1215)</f>
        <v>0</v>
      </c>
    </row>
    <row r="1216" customFormat="false" ht="18" hidden="false" customHeight="true" outlineLevel="0" collapsed="false">
      <c r="A1216" s="39"/>
      <c r="B1216" s="41"/>
      <c r="C1216" s="40"/>
      <c r="D1216" s="40"/>
      <c r="E1216" s="40"/>
      <c r="F1216" s="42"/>
      <c r="G1216" s="39"/>
      <c r="H1216" s="40"/>
      <c r="I1216" s="40"/>
      <c r="J1216" s="40"/>
      <c r="K1216" s="41"/>
      <c r="L1216" s="39"/>
      <c r="M1216" s="48" t="str">
        <f aca="false">IF($E1216="","",IFERROR(INDEX(Parâmetros!$C$15:$C$20,MATCH($P1216,Parâmetros!$B$15:$B$20,0)),""))</f>
        <v/>
      </c>
      <c r="N1216" s="46" t="str">
        <f aca="false">IF($E1216="","",IF($P1216="","",IF($P1216&gt;=8,"Alta",IF($P1216&gt;=5,"Média","Baixa"))))</f>
        <v/>
      </c>
      <c r="O1216" s="46" t="str">
        <f aca="false">IF($E1216="","",IF(AND(Parâmetros!$C$5&gt;0,$P1216&lt;&gt;"",$P1216&gt;=Parâmetros!$C$5),"Sim","Não"))</f>
        <v/>
      </c>
      <c r="P1216" s="45" t="str">
        <f aca="false">IF($E1216="","",IF($G1216="","",IF($G1216="NOK",$F1216,0)))</f>
        <v/>
      </c>
      <c r="Q1216" s="46" t="str">
        <f aca="false">IF($E1216="","",IF($O1216&lt;&gt;"Sim","",COUNTIF($O$3:$O1216,"Sim")))</f>
        <v/>
      </c>
      <c r="R1216" s="47" t="n">
        <f aca="false">IF($P1216="",0,$P1216)</f>
        <v>0</v>
      </c>
    </row>
    <row r="1217" customFormat="false" ht="18" hidden="false" customHeight="true" outlineLevel="0" collapsed="false">
      <c r="A1217" s="39"/>
      <c r="B1217" s="41"/>
      <c r="C1217" s="40"/>
      <c r="D1217" s="40"/>
      <c r="E1217" s="40"/>
      <c r="F1217" s="42"/>
      <c r="G1217" s="39"/>
      <c r="H1217" s="40"/>
      <c r="I1217" s="40"/>
      <c r="J1217" s="40"/>
      <c r="K1217" s="41"/>
      <c r="L1217" s="39"/>
      <c r="M1217" s="48" t="str">
        <f aca="false">IF($E1217="","",IFERROR(INDEX(Parâmetros!$C$15:$C$20,MATCH($P1217,Parâmetros!$B$15:$B$20,0)),""))</f>
        <v/>
      </c>
      <c r="N1217" s="46" t="str">
        <f aca="false">IF($E1217="","",IF($P1217="","",IF($P1217&gt;=8,"Alta",IF($P1217&gt;=5,"Média","Baixa"))))</f>
        <v/>
      </c>
      <c r="O1217" s="46" t="str">
        <f aca="false">IF($E1217="","",IF(AND(Parâmetros!$C$5&gt;0,$P1217&lt;&gt;"",$P1217&gt;=Parâmetros!$C$5),"Sim","Não"))</f>
        <v/>
      </c>
      <c r="P1217" s="45" t="str">
        <f aca="false">IF($E1217="","",IF($G1217="","",IF($G1217="NOK",$F1217,0)))</f>
        <v/>
      </c>
      <c r="Q1217" s="46" t="str">
        <f aca="false">IF($E1217="","",IF($O1217&lt;&gt;"Sim","",COUNTIF($O$3:$O1217,"Sim")))</f>
        <v/>
      </c>
      <c r="R1217" s="47" t="n">
        <f aca="false">IF($P1217="",0,$P1217)</f>
        <v>0</v>
      </c>
    </row>
    <row r="1218" customFormat="false" ht="18" hidden="false" customHeight="true" outlineLevel="0" collapsed="false">
      <c r="A1218" s="39"/>
      <c r="B1218" s="41"/>
      <c r="C1218" s="40"/>
      <c r="D1218" s="40"/>
      <c r="E1218" s="40"/>
      <c r="F1218" s="42"/>
      <c r="G1218" s="39"/>
      <c r="H1218" s="40"/>
      <c r="I1218" s="40"/>
      <c r="J1218" s="40"/>
      <c r="K1218" s="41"/>
      <c r="L1218" s="39"/>
      <c r="M1218" s="48" t="str">
        <f aca="false">IF($E1218="","",IFERROR(INDEX(Parâmetros!$C$15:$C$20,MATCH($P1218,Parâmetros!$B$15:$B$20,0)),""))</f>
        <v/>
      </c>
      <c r="N1218" s="46" t="str">
        <f aca="false">IF($E1218="","",IF($P1218="","",IF($P1218&gt;=8,"Alta",IF($P1218&gt;=5,"Média","Baixa"))))</f>
        <v/>
      </c>
      <c r="O1218" s="46" t="str">
        <f aca="false">IF($E1218="","",IF(AND(Parâmetros!$C$5&gt;0,$P1218&lt;&gt;"",$P1218&gt;=Parâmetros!$C$5),"Sim","Não"))</f>
        <v/>
      </c>
      <c r="P1218" s="45" t="str">
        <f aca="false">IF($E1218="","",IF($G1218="","",IF($G1218="NOK",$F1218,0)))</f>
        <v/>
      </c>
      <c r="Q1218" s="46" t="str">
        <f aca="false">IF($E1218="","",IF($O1218&lt;&gt;"Sim","",COUNTIF($O$3:$O1218,"Sim")))</f>
        <v/>
      </c>
      <c r="R1218" s="47" t="n">
        <f aca="false">IF($P1218="",0,$P1218)</f>
        <v>0</v>
      </c>
    </row>
    <row r="1219" customFormat="false" ht="18" hidden="false" customHeight="true" outlineLevel="0" collapsed="false">
      <c r="A1219" s="39"/>
      <c r="B1219" s="41"/>
      <c r="C1219" s="40"/>
      <c r="D1219" s="40"/>
      <c r="E1219" s="40"/>
      <c r="F1219" s="42"/>
      <c r="G1219" s="39"/>
      <c r="H1219" s="40"/>
      <c r="I1219" s="40"/>
      <c r="J1219" s="40"/>
      <c r="K1219" s="41"/>
      <c r="L1219" s="39"/>
      <c r="M1219" s="48" t="str">
        <f aca="false">IF($E1219="","",IFERROR(INDEX(Parâmetros!$C$15:$C$20,MATCH($P1219,Parâmetros!$B$15:$B$20,0)),""))</f>
        <v/>
      </c>
      <c r="N1219" s="46" t="str">
        <f aca="false">IF($E1219="","",IF($P1219="","",IF($P1219&gt;=8,"Alta",IF($P1219&gt;=5,"Média","Baixa"))))</f>
        <v/>
      </c>
      <c r="O1219" s="46" t="str">
        <f aca="false">IF($E1219="","",IF(AND(Parâmetros!$C$5&gt;0,$P1219&lt;&gt;"",$P1219&gt;=Parâmetros!$C$5),"Sim","Não"))</f>
        <v/>
      </c>
      <c r="P1219" s="45" t="str">
        <f aca="false">IF($E1219="","",IF($G1219="","",IF($G1219="NOK",$F1219,0)))</f>
        <v/>
      </c>
      <c r="Q1219" s="46" t="str">
        <f aca="false">IF($E1219="","",IF($O1219&lt;&gt;"Sim","",COUNTIF($O$3:$O1219,"Sim")))</f>
        <v/>
      </c>
      <c r="R1219" s="47" t="n">
        <f aca="false">IF($P1219="",0,$P1219)</f>
        <v>0</v>
      </c>
    </row>
    <row r="1220" customFormat="false" ht="18" hidden="false" customHeight="true" outlineLevel="0" collapsed="false">
      <c r="A1220" s="39"/>
      <c r="B1220" s="41"/>
      <c r="C1220" s="40"/>
      <c r="D1220" s="40"/>
      <c r="E1220" s="40"/>
      <c r="F1220" s="42"/>
      <c r="G1220" s="39"/>
      <c r="H1220" s="40"/>
      <c r="I1220" s="40"/>
      <c r="J1220" s="40"/>
      <c r="K1220" s="41"/>
      <c r="L1220" s="39"/>
      <c r="M1220" s="48" t="str">
        <f aca="false">IF($E1220="","",IFERROR(INDEX(Parâmetros!$C$15:$C$20,MATCH($P1220,Parâmetros!$B$15:$B$20,0)),""))</f>
        <v/>
      </c>
      <c r="N1220" s="46" t="str">
        <f aca="false">IF($E1220="","",IF($P1220="","",IF($P1220&gt;=8,"Alta",IF($P1220&gt;=5,"Média","Baixa"))))</f>
        <v/>
      </c>
      <c r="O1220" s="46" t="str">
        <f aca="false">IF($E1220="","",IF(AND(Parâmetros!$C$5&gt;0,$P1220&lt;&gt;"",$P1220&gt;=Parâmetros!$C$5),"Sim","Não"))</f>
        <v/>
      </c>
      <c r="P1220" s="45" t="str">
        <f aca="false">IF($E1220="","",IF($G1220="","",IF($G1220="NOK",$F1220,0)))</f>
        <v/>
      </c>
      <c r="Q1220" s="46" t="str">
        <f aca="false">IF($E1220="","",IF($O1220&lt;&gt;"Sim","",COUNTIF($O$3:$O1220,"Sim")))</f>
        <v/>
      </c>
      <c r="R1220" s="47" t="n">
        <f aca="false">IF($P1220="",0,$P1220)</f>
        <v>0</v>
      </c>
    </row>
    <row r="1221" customFormat="false" ht="18" hidden="false" customHeight="true" outlineLevel="0" collapsed="false">
      <c r="A1221" s="39"/>
      <c r="B1221" s="41"/>
      <c r="C1221" s="40"/>
      <c r="D1221" s="40"/>
      <c r="E1221" s="40"/>
      <c r="F1221" s="42"/>
      <c r="G1221" s="39"/>
      <c r="H1221" s="40"/>
      <c r="I1221" s="40"/>
      <c r="J1221" s="40"/>
      <c r="K1221" s="41"/>
      <c r="L1221" s="39"/>
      <c r="M1221" s="48" t="str">
        <f aca="false">IF($E1221="","",IFERROR(INDEX(Parâmetros!$C$15:$C$20,MATCH($P1221,Parâmetros!$B$15:$B$20,0)),""))</f>
        <v/>
      </c>
      <c r="N1221" s="46" t="str">
        <f aca="false">IF($E1221="","",IF($P1221="","",IF($P1221&gt;=8,"Alta",IF($P1221&gt;=5,"Média","Baixa"))))</f>
        <v/>
      </c>
      <c r="O1221" s="46" t="str">
        <f aca="false">IF($E1221="","",IF(AND(Parâmetros!$C$5&gt;0,$P1221&lt;&gt;"",$P1221&gt;=Parâmetros!$C$5),"Sim","Não"))</f>
        <v/>
      </c>
      <c r="P1221" s="45" t="str">
        <f aca="false">IF($E1221="","",IF($G1221="","",IF($G1221="NOK",$F1221,0)))</f>
        <v/>
      </c>
      <c r="Q1221" s="46" t="str">
        <f aca="false">IF($E1221="","",IF($O1221&lt;&gt;"Sim","",COUNTIF($O$3:$O1221,"Sim")))</f>
        <v/>
      </c>
      <c r="R1221" s="47" t="n">
        <f aca="false">IF($P1221="",0,$P1221)</f>
        <v>0</v>
      </c>
    </row>
    <row r="1222" customFormat="false" ht="18" hidden="false" customHeight="true" outlineLevel="0" collapsed="false">
      <c r="A1222" s="39"/>
      <c r="B1222" s="41"/>
      <c r="C1222" s="40"/>
      <c r="D1222" s="40"/>
      <c r="E1222" s="40"/>
      <c r="F1222" s="42"/>
      <c r="G1222" s="39"/>
      <c r="H1222" s="40"/>
      <c r="I1222" s="40"/>
      <c r="J1222" s="40"/>
      <c r="K1222" s="41"/>
      <c r="L1222" s="39"/>
      <c r="M1222" s="48" t="str">
        <f aca="false">IF($E1222="","",IFERROR(INDEX(Parâmetros!$C$15:$C$20,MATCH($P1222,Parâmetros!$B$15:$B$20,0)),""))</f>
        <v/>
      </c>
      <c r="N1222" s="46" t="str">
        <f aca="false">IF($E1222="","",IF($P1222="","",IF($P1222&gt;=8,"Alta",IF($P1222&gt;=5,"Média","Baixa"))))</f>
        <v/>
      </c>
      <c r="O1222" s="46" t="str">
        <f aca="false">IF($E1222="","",IF(AND(Parâmetros!$C$5&gt;0,$P1222&lt;&gt;"",$P1222&gt;=Parâmetros!$C$5),"Sim","Não"))</f>
        <v/>
      </c>
      <c r="P1222" s="45" t="str">
        <f aca="false">IF($E1222="","",IF($G1222="","",IF($G1222="NOK",$F1222,0)))</f>
        <v/>
      </c>
      <c r="Q1222" s="46" t="str">
        <f aca="false">IF($E1222="","",IF($O1222&lt;&gt;"Sim","",COUNTIF($O$3:$O1222,"Sim")))</f>
        <v/>
      </c>
      <c r="R1222" s="47" t="n">
        <f aca="false">IF($P1222="",0,$P1222)</f>
        <v>0</v>
      </c>
    </row>
    <row r="1223" customFormat="false" ht="18" hidden="false" customHeight="true" outlineLevel="0" collapsed="false">
      <c r="A1223" s="39"/>
      <c r="B1223" s="41"/>
      <c r="C1223" s="40"/>
      <c r="D1223" s="40"/>
      <c r="E1223" s="40"/>
      <c r="F1223" s="42"/>
      <c r="G1223" s="39"/>
      <c r="H1223" s="40"/>
      <c r="I1223" s="40"/>
      <c r="J1223" s="40"/>
      <c r="K1223" s="41"/>
      <c r="L1223" s="39"/>
      <c r="M1223" s="48" t="str">
        <f aca="false">IF($E1223="","",IFERROR(INDEX(Parâmetros!$C$15:$C$20,MATCH($P1223,Parâmetros!$B$15:$B$20,0)),""))</f>
        <v/>
      </c>
      <c r="N1223" s="46" t="str">
        <f aca="false">IF($E1223="","",IF($P1223="","",IF($P1223&gt;=8,"Alta",IF($P1223&gt;=5,"Média","Baixa"))))</f>
        <v/>
      </c>
      <c r="O1223" s="46" t="str">
        <f aca="false">IF($E1223="","",IF(AND(Parâmetros!$C$5&gt;0,$P1223&lt;&gt;"",$P1223&gt;=Parâmetros!$C$5),"Sim","Não"))</f>
        <v/>
      </c>
      <c r="P1223" s="45" t="str">
        <f aca="false">IF($E1223="","",IF($G1223="","",IF($G1223="NOK",$F1223,0)))</f>
        <v/>
      </c>
      <c r="Q1223" s="46" t="str">
        <f aca="false">IF($E1223="","",IF($O1223&lt;&gt;"Sim","",COUNTIF($O$3:$O1223,"Sim")))</f>
        <v/>
      </c>
      <c r="R1223" s="47" t="n">
        <f aca="false">IF($P1223="",0,$P1223)</f>
        <v>0</v>
      </c>
    </row>
    <row r="1224" customFormat="false" ht="18" hidden="false" customHeight="true" outlineLevel="0" collapsed="false">
      <c r="A1224" s="39"/>
      <c r="B1224" s="41"/>
      <c r="C1224" s="40"/>
      <c r="D1224" s="40"/>
      <c r="E1224" s="40"/>
      <c r="F1224" s="42"/>
      <c r="G1224" s="39"/>
      <c r="H1224" s="40"/>
      <c r="I1224" s="40"/>
      <c r="J1224" s="40"/>
      <c r="K1224" s="41"/>
      <c r="L1224" s="39"/>
      <c r="M1224" s="48" t="str">
        <f aca="false">IF($E1224="","",IFERROR(INDEX(Parâmetros!$C$15:$C$20,MATCH($P1224,Parâmetros!$B$15:$B$20,0)),""))</f>
        <v/>
      </c>
      <c r="N1224" s="46" t="str">
        <f aca="false">IF($E1224="","",IF($P1224="","",IF($P1224&gt;=8,"Alta",IF($P1224&gt;=5,"Média","Baixa"))))</f>
        <v/>
      </c>
      <c r="O1224" s="46" t="str">
        <f aca="false">IF($E1224="","",IF(AND(Parâmetros!$C$5&gt;0,$P1224&lt;&gt;"",$P1224&gt;=Parâmetros!$C$5),"Sim","Não"))</f>
        <v/>
      </c>
      <c r="P1224" s="45" t="str">
        <f aca="false">IF($E1224="","",IF($G1224="","",IF($G1224="NOK",$F1224,0)))</f>
        <v/>
      </c>
      <c r="Q1224" s="46" t="str">
        <f aca="false">IF($E1224="","",IF($O1224&lt;&gt;"Sim","",COUNTIF($O$3:$O1224,"Sim")))</f>
        <v/>
      </c>
      <c r="R1224" s="47" t="n">
        <f aca="false">IF($P1224="",0,$P1224)</f>
        <v>0</v>
      </c>
    </row>
    <row r="1225" customFormat="false" ht="18" hidden="false" customHeight="true" outlineLevel="0" collapsed="false">
      <c r="A1225" s="39"/>
      <c r="B1225" s="41"/>
      <c r="C1225" s="40"/>
      <c r="D1225" s="40"/>
      <c r="E1225" s="40"/>
      <c r="F1225" s="42"/>
      <c r="G1225" s="39"/>
      <c r="H1225" s="40"/>
      <c r="I1225" s="40"/>
      <c r="J1225" s="40"/>
      <c r="K1225" s="41"/>
      <c r="L1225" s="39"/>
      <c r="M1225" s="48" t="str">
        <f aca="false">IF($E1225="","",IFERROR(INDEX(Parâmetros!$C$15:$C$20,MATCH($P1225,Parâmetros!$B$15:$B$20,0)),""))</f>
        <v/>
      </c>
      <c r="N1225" s="46" t="str">
        <f aca="false">IF($E1225="","",IF($P1225="","",IF($P1225&gt;=8,"Alta",IF($P1225&gt;=5,"Média","Baixa"))))</f>
        <v/>
      </c>
      <c r="O1225" s="46" t="str">
        <f aca="false">IF($E1225="","",IF(AND(Parâmetros!$C$5&gt;0,$P1225&lt;&gt;"",$P1225&gt;=Parâmetros!$C$5),"Sim","Não"))</f>
        <v/>
      </c>
      <c r="P1225" s="45" t="str">
        <f aca="false">IF($E1225="","",IF($G1225="","",IF($G1225="NOK",$F1225,0)))</f>
        <v/>
      </c>
      <c r="Q1225" s="46" t="str">
        <f aca="false">IF($E1225="","",IF($O1225&lt;&gt;"Sim","",COUNTIF($O$3:$O1225,"Sim")))</f>
        <v/>
      </c>
      <c r="R1225" s="47" t="n">
        <f aca="false">IF($P1225="",0,$P1225)</f>
        <v>0</v>
      </c>
    </row>
    <row r="1226" customFormat="false" ht="18" hidden="false" customHeight="true" outlineLevel="0" collapsed="false">
      <c r="A1226" s="39"/>
      <c r="B1226" s="41"/>
      <c r="C1226" s="40"/>
      <c r="D1226" s="40"/>
      <c r="E1226" s="40"/>
      <c r="F1226" s="42"/>
      <c r="G1226" s="39"/>
      <c r="H1226" s="40"/>
      <c r="I1226" s="40"/>
      <c r="J1226" s="40"/>
      <c r="K1226" s="41"/>
      <c r="L1226" s="39"/>
      <c r="M1226" s="48" t="str">
        <f aca="false">IF($E1226="","",IFERROR(INDEX(Parâmetros!$C$15:$C$20,MATCH($P1226,Parâmetros!$B$15:$B$20,0)),""))</f>
        <v/>
      </c>
      <c r="N1226" s="46" t="str">
        <f aca="false">IF($E1226="","",IF($P1226="","",IF($P1226&gt;=8,"Alta",IF($P1226&gt;=5,"Média","Baixa"))))</f>
        <v/>
      </c>
      <c r="O1226" s="46" t="str">
        <f aca="false">IF($E1226="","",IF(AND(Parâmetros!$C$5&gt;0,$P1226&lt;&gt;"",$P1226&gt;=Parâmetros!$C$5),"Sim","Não"))</f>
        <v/>
      </c>
      <c r="P1226" s="45" t="str">
        <f aca="false">IF($E1226="","",IF($G1226="","",IF($G1226="NOK",$F1226,0)))</f>
        <v/>
      </c>
      <c r="Q1226" s="46" t="str">
        <f aca="false">IF($E1226="","",IF($O1226&lt;&gt;"Sim","",COUNTIF($O$3:$O1226,"Sim")))</f>
        <v/>
      </c>
      <c r="R1226" s="47" t="n">
        <f aca="false">IF($P1226="",0,$P1226)</f>
        <v>0</v>
      </c>
    </row>
    <row r="1227" customFormat="false" ht="18" hidden="false" customHeight="true" outlineLevel="0" collapsed="false">
      <c r="A1227" s="39"/>
      <c r="B1227" s="41"/>
      <c r="C1227" s="40"/>
      <c r="D1227" s="40"/>
      <c r="E1227" s="40"/>
      <c r="F1227" s="42"/>
      <c r="G1227" s="39"/>
      <c r="H1227" s="40"/>
      <c r="I1227" s="40"/>
      <c r="J1227" s="40"/>
      <c r="K1227" s="41"/>
      <c r="L1227" s="39"/>
      <c r="M1227" s="48" t="str">
        <f aca="false">IF($E1227="","",IFERROR(INDEX(Parâmetros!$C$15:$C$20,MATCH($P1227,Parâmetros!$B$15:$B$20,0)),""))</f>
        <v/>
      </c>
      <c r="N1227" s="46" t="str">
        <f aca="false">IF($E1227="","",IF($P1227="","",IF($P1227&gt;=8,"Alta",IF($P1227&gt;=5,"Média","Baixa"))))</f>
        <v/>
      </c>
      <c r="O1227" s="46" t="str">
        <f aca="false">IF($E1227="","",IF(AND(Parâmetros!$C$5&gt;0,$P1227&lt;&gt;"",$P1227&gt;=Parâmetros!$C$5),"Sim","Não"))</f>
        <v/>
      </c>
      <c r="P1227" s="45" t="str">
        <f aca="false">IF($E1227="","",IF($G1227="","",IF($G1227="NOK",$F1227,0)))</f>
        <v/>
      </c>
      <c r="Q1227" s="46" t="str">
        <f aca="false">IF($E1227="","",IF($O1227&lt;&gt;"Sim","",COUNTIF($O$3:$O1227,"Sim")))</f>
        <v/>
      </c>
      <c r="R1227" s="47" t="n">
        <f aca="false">IF($P1227="",0,$P1227)</f>
        <v>0</v>
      </c>
    </row>
    <row r="1228" customFormat="false" ht="18" hidden="false" customHeight="true" outlineLevel="0" collapsed="false">
      <c r="A1228" s="39"/>
      <c r="B1228" s="41"/>
      <c r="C1228" s="40"/>
      <c r="D1228" s="40"/>
      <c r="E1228" s="40"/>
      <c r="F1228" s="42"/>
      <c r="G1228" s="39"/>
      <c r="H1228" s="40"/>
      <c r="I1228" s="40"/>
      <c r="J1228" s="40"/>
      <c r="K1228" s="41"/>
      <c r="L1228" s="39"/>
      <c r="M1228" s="48" t="str">
        <f aca="false">IF($E1228="","",IFERROR(INDEX(Parâmetros!$C$15:$C$20,MATCH($P1228,Parâmetros!$B$15:$B$20,0)),""))</f>
        <v/>
      </c>
      <c r="N1228" s="46" t="str">
        <f aca="false">IF($E1228="","",IF($P1228="","",IF($P1228&gt;=8,"Alta",IF($P1228&gt;=5,"Média","Baixa"))))</f>
        <v/>
      </c>
      <c r="O1228" s="46" t="str">
        <f aca="false">IF($E1228="","",IF(AND(Parâmetros!$C$5&gt;0,$P1228&lt;&gt;"",$P1228&gt;=Parâmetros!$C$5),"Sim","Não"))</f>
        <v/>
      </c>
      <c r="P1228" s="45" t="str">
        <f aca="false">IF($E1228="","",IF($G1228="","",IF($G1228="NOK",$F1228,0)))</f>
        <v/>
      </c>
      <c r="Q1228" s="46" t="str">
        <f aca="false">IF($E1228="","",IF($O1228&lt;&gt;"Sim","",COUNTIF($O$3:$O1228,"Sim")))</f>
        <v/>
      </c>
      <c r="R1228" s="47" t="n">
        <f aca="false">IF($P1228="",0,$P1228)</f>
        <v>0</v>
      </c>
    </row>
    <row r="1229" customFormat="false" ht="18" hidden="false" customHeight="true" outlineLevel="0" collapsed="false">
      <c r="A1229" s="39"/>
      <c r="B1229" s="41"/>
      <c r="C1229" s="40"/>
      <c r="D1229" s="40"/>
      <c r="E1229" s="40"/>
      <c r="F1229" s="42"/>
      <c r="G1229" s="39"/>
      <c r="H1229" s="40"/>
      <c r="I1229" s="40"/>
      <c r="J1229" s="40"/>
      <c r="K1229" s="41"/>
      <c r="L1229" s="39"/>
      <c r="M1229" s="48" t="str">
        <f aca="false">IF($E1229="","",IFERROR(INDEX(Parâmetros!$C$15:$C$20,MATCH($P1229,Parâmetros!$B$15:$B$20,0)),""))</f>
        <v/>
      </c>
      <c r="N1229" s="46" t="str">
        <f aca="false">IF($E1229="","",IF($P1229="","",IF($P1229&gt;=8,"Alta",IF($P1229&gt;=5,"Média","Baixa"))))</f>
        <v/>
      </c>
      <c r="O1229" s="46" t="str">
        <f aca="false">IF($E1229="","",IF(AND(Parâmetros!$C$5&gt;0,$P1229&lt;&gt;"",$P1229&gt;=Parâmetros!$C$5),"Sim","Não"))</f>
        <v/>
      </c>
      <c r="P1229" s="45" t="str">
        <f aca="false">IF($E1229="","",IF($G1229="","",IF($G1229="NOK",$F1229,0)))</f>
        <v/>
      </c>
      <c r="Q1229" s="46" t="str">
        <f aca="false">IF($E1229="","",IF($O1229&lt;&gt;"Sim","",COUNTIF($O$3:$O1229,"Sim")))</f>
        <v/>
      </c>
      <c r="R1229" s="47" t="n">
        <f aca="false">IF($P1229="",0,$P1229)</f>
        <v>0</v>
      </c>
    </row>
    <row r="1230" customFormat="false" ht="18" hidden="false" customHeight="true" outlineLevel="0" collapsed="false">
      <c r="A1230" s="39"/>
      <c r="B1230" s="41"/>
      <c r="C1230" s="40"/>
      <c r="D1230" s="40"/>
      <c r="E1230" s="40"/>
      <c r="F1230" s="42"/>
      <c r="G1230" s="39"/>
      <c r="H1230" s="40"/>
      <c r="I1230" s="40"/>
      <c r="J1230" s="40"/>
      <c r="K1230" s="41"/>
      <c r="L1230" s="39"/>
      <c r="M1230" s="48" t="str">
        <f aca="false">IF($E1230="","",IFERROR(INDEX(Parâmetros!$C$15:$C$20,MATCH($P1230,Parâmetros!$B$15:$B$20,0)),""))</f>
        <v/>
      </c>
      <c r="N1230" s="46" t="str">
        <f aca="false">IF($E1230="","",IF($P1230="","",IF($P1230&gt;=8,"Alta",IF($P1230&gt;=5,"Média","Baixa"))))</f>
        <v/>
      </c>
      <c r="O1230" s="46" t="str">
        <f aca="false">IF($E1230="","",IF(AND(Parâmetros!$C$5&gt;0,$P1230&lt;&gt;"",$P1230&gt;=Parâmetros!$C$5),"Sim","Não"))</f>
        <v/>
      </c>
      <c r="P1230" s="45" t="str">
        <f aca="false">IF($E1230="","",IF($G1230="","",IF($G1230="NOK",$F1230,0)))</f>
        <v/>
      </c>
      <c r="Q1230" s="46" t="str">
        <f aca="false">IF($E1230="","",IF($O1230&lt;&gt;"Sim","",COUNTIF($O$3:$O1230,"Sim")))</f>
        <v/>
      </c>
      <c r="R1230" s="47" t="n">
        <f aca="false">IF($P1230="",0,$P1230)</f>
        <v>0</v>
      </c>
    </row>
    <row r="1231" customFormat="false" ht="18" hidden="false" customHeight="true" outlineLevel="0" collapsed="false">
      <c r="A1231" s="39"/>
      <c r="B1231" s="41"/>
      <c r="C1231" s="40"/>
      <c r="D1231" s="40"/>
      <c r="E1231" s="40"/>
      <c r="F1231" s="42"/>
      <c r="G1231" s="39"/>
      <c r="H1231" s="40"/>
      <c r="I1231" s="40"/>
      <c r="J1231" s="40"/>
      <c r="K1231" s="41"/>
      <c r="L1231" s="39"/>
      <c r="M1231" s="48" t="str">
        <f aca="false">IF($E1231="","",IFERROR(INDEX(Parâmetros!$C$15:$C$20,MATCH($P1231,Parâmetros!$B$15:$B$20,0)),""))</f>
        <v/>
      </c>
      <c r="N1231" s="46" t="str">
        <f aca="false">IF($E1231="","",IF($P1231="","",IF($P1231&gt;=8,"Alta",IF($P1231&gt;=5,"Média","Baixa"))))</f>
        <v/>
      </c>
      <c r="O1231" s="46" t="str">
        <f aca="false">IF($E1231="","",IF(AND(Parâmetros!$C$5&gt;0,$P1231&lt;&gt;"",$P1231&gt;=Parâmetros!$C$5),"Sim","Não"))</f>
        <v/>
      </c>
      <c r="P1231" s="45" t="str">
        <f aca="false">IF($E1231="","",IF($G1231="","",IF($G1231="NOK",$F1231,0)))</f>
        <v/>
      </c>
      <c r="Q1231" s="46" t="str">
        <f aca="false">IF($E1231="","",IF($O1231&lt;&gt;"Sim","",COUNTIF($O$3:$O1231,"Sim")))</f>
        <v/>
      </c>
      <c r="R1231" s="47" t="n">
        <f aca="false">IF($P1231="",0,$P1231)</f>
        <v>0</v>
      </c>
    </row>
    <row r="1232" customFormat="false" ht="18" hidden="false" customHeight="true" outlineLevel="0" collapsed="false">
      <c r="A1232" s="39"/>
      <c r="B1232" s="41"/>
      <c r="C1232" s="40"/>
      <c r="D1232" s="40"/>
      <c r="E1232" s="40"/>
      <c r="F1232" s="42"/>
      <c r="G1232" s="39"/>
      <c r="H1232" s="40"/>
      <c r="I1232" s="40"/>
      <c r="J1232" s="40"/>
      <c r="K1232" s="41"/>
      <c r="L1232" s="39"/>
      <c r="M1232" s="48" t="str">
        <f aca="false">IF($E1232="","",IFERROR(INDEX(Parâmetros!$C$15:$C$20,MATCH($P1232,Parâmetros!$B$15:$B$20,0)),""))</f>
        <v/>
      </c>
      <c r="N1232" s="46" t="str">
        <f aca="false">IF($E1232="","",IF($P1232="","",IF($P1232&gt;=8,"Alta",IF($P1232&gt;=5,"Média","Baixa"))))</f>
        <v/>
      </c>
      <c r="O1232" s="46" t="str">
        <f aca="false">IF($E1232="","",IF(AND(Parâmetros!$C$5&gt;0,$P1232&lt;&gt;"",$P1232&gt;=Parâmetros!$C$5),"Sim","Não"))</f>
        <v/>
      </c>
      <c r="P1232" s="45" t="str">
        <f aca="false">IF($E1232="","",IF($G1232="","",IF($G1232="NOK",$F1232,0)))</f>
        <v/>
      </c>
      <c r="Q1232" s="46" t="str">
        <f aca="false">IF($E1232="","",IF($O1232&lt;&gt;"Sim","",COUNTIF($O$3:$O1232,"Sim")))</f>
        <v/>
      </c>
      <c r="R1232" s="47" t="n">
        <f aca="false">IF($P1232="",0,$P1232)</f>
        <v>0</v>
      </c>
    </row>
    <row r="1233" customFormat="false" ht="18" hidden="false" customHeight="true" outlineLevel="0" collapsed="false">
      <c r="A1233" s="39"/>
      <c r="B1233" s="41"/>
      <c r="C1233" s="40"/>
      <c r="D1233" s="40"/>
      <c r="E1233" s="40"/>
      <c r="F1233" s="42"/>
      <c r="G1233" s="39"/>
      <c r="H1233" s="40"/>
      <c r="I1233" s="40"/>
      <c r="J1233" s="40"/>
      <c r="K1233" s="41"/>
      <c r="L1233" s="39"/>
      <c r="M1233" s="48" t="str">
        <f aca="false">IF($E1233="","",IFERROR(INDEX(Parâmetros!$C$15:$C$20,MATCH($P1233,Parâmetros!$B$15:$B$20,0)),""))</f>
        <v/>
      </c>
      <c r="N1233" s="46" t="str">
        <f aca="false">IF($E1233="","",IF($P1233="","",IF($P1233&gt;=8,"Alta",IF($P1233&gt;=5,"Média","Baixa"))))</f>
        <v/>
      </c>
      <c r="O1233" s="46" t="str">
        <f aca="false">IF($E1233="","",IF(AND(Parâmetros!$C$5&gt;0,$P1233&lt;&gt;"",$P1233&gt;=Parâmetros!$C$5),"Sim","Não"))</f>
        <v/>
      </c>
      <c r="P1233" s="45" t="str">
        <f aca="false">IF($E1233="","",IF($G1233="","",IF($G1233="NOK",$F1233,0)))</f>
        <v/>
      </c>
      <c r="Q1233" s="46" t="str">
        <f aca="false">IF($E1233="","",IF($O1233&lt;&gt;"Sim","",COUNTIF($O$3:$O1233,"Sim")))</f>
        <v/>
      </c>
      <c r="R1233" s="47" t="n">
        <f aca="false">IF($P1233="",0,$P1233)</f>
        <v>0</v>
      </c>
    </row>
    <row r="1234" customFormat="false" ht="18" hidden="false" customHeight="true" outlineLevel="0" collapsed="false">
      <c r="A1234" s="39"/>
      <c r="B1234" s="41"/>
      <c r="C1234" s="40"/>
      <c r="D1234" s="40"/>
      <c r="E1234" s="40"/>
      <c r="F1234" s="42"/>
      <c r="G1234" s="39"/>
      <c r="H1234" s="40"/>
      <c r="I1234" s="40"/>
      <c r="J1234" s="40"/>
      <c r="K1234" s="41"/>
      <c r="L1234" s="39"/>
      <c r="M1234" s="48" t="str">
        <f aca="false">IF($E1234="","",IFERROR(INDEX(Parâmetros!$C$15:$C$20,MATCH($P1234,Parâmetros!$B$15:$B$20,0)),""))</f>
        <v/>
      </c>
      <c r="N1234" s="46" t="str">
        <f aca="false">IF($E1234="","",IF($P1234="","",IF($P1234&gt;=8,"Alta",IF($P1234&gt;=5,"Média","Baixa"))))</f>
        <v/>
      </c>
      <c r="O1234" s="46" t="str">
        <f aca="false">IF($E1234="","",IF(AND(Parâmetros!$C$5&gt;0,$P1234&lt;&gt;"",$P1234&gt;=Parâmetros!$C$5),"Sim","Não"))</f>
        <v/>
      </c>
      <c r="P1234" s="45" t="str">
        <f aca="false">IF($E1234="","",IF($G1234="","",IF($G1234="NOK",$F1234,0)))</f>
        <v/>
      </c>
      <c r="Q1234" s="46" t="str">
        <f aca="false">IF($E1234="","",IF($O1234&lt;&gt;"Sim","",COUNTIF($O$3:$O1234,"Sim")))</f>
        <v/>
      </c>
      <c r="R1234" s="47" t="n">
        <f aca="false">IF($P1234="",0,$P1234)</f>
        <v>0</v>
      </c>
    </row>
    <row r="1235" customFormat="false" ht="18" hidden="false" customHeight="true" outlineLevel="0" collapsed="false">
      <c r="A1235" s="39"/>
      <c r="B1235" s="41"/>
      <c r="C1235" s="40"/>
      <c r="D1235" s="40"/>
      <c r="E1235" s="40"/>
      <c r="F1235" s="42"/>
      <c r="G1235" s="39"/>
      <c r="H1235" s="40"/>
      <c r="I1235" s="40"/>
      <c r="J1235" s="40"/>
      <c r="K1235" s="41"/>
      <c r="L1235" s="39"/>
      <c r="M1235" s="48" t="str">
        <f aca="false">IF($E1235="","",IFERROR(INDEX(Parâmetros!$C$15:$C$20,MATCH($P1235,Parâmetros!$B$15:$B$20,0)),""))</f>
        <v/>
      </c>
      <c r="N1235" s="46" t="str">
        <f aca="false">IF($E1235="","",IF($P1235="","",IF($P1235&gt;=8,"Alta",IF($P1235&gt;=5,"Média","Baixa"))))</f>
        <v/>
      </c>
      <c r="O1235" s="46" t="str">
        <f aca="false">IF($E1235="","",IF(AND(Parâmetros!$C$5&gt;0,$P1235&lt;&gt;"",$P1235&gt;=Parâmetros!$C$5),"Sim","Não"))</f>
        <v/>
      </c>
      <c r="P1235" s="45" t="str">
        <f aca="false">IF($E1235="","",IF($G1235="","",IF($G1235="NOK",$F1235,0)))</f>
        <v/>
      </c>
      <c r="Q1235" s="46" t="str">
        <f aca="false">IF($E1235="","",IF($O1235&lt;&gt;"Sim","",COUNTIF($O$3:$O1235,"Sim")))</f>
        <v/>
      </c>
      <c r="R1235" s="47" t="n">
        <f aca="false">IF($P1235="",0,$P1235)</f>
        <v>0</v>
      </c>
    </row>
    <row r="1236" customFormat="false" ht="18" hidden="false" customHeight="true" outlineLevel="0" collapsed="false">
      <c r="A1236" s="39"/>
      <c r="B1236" s="41"/>
      <c r="C1236" s="40"/>
      <c r="D1236" s="40"/>
      <c r="E1236" s="40"/>
      <c r="F1236" s="42"/>
      <c r="G1236" s="39"/>
      <c r="H1236" s="40"/>
      <c r="I1236" s="40"/>
      <c r="J1236" s="40"/>
      <c r="K1236" s="41"/>
      <c r="L1236" s="39"/>
      <c r="M1236" s="48" t="str">
        <f aca="false">IF($E1236="","",IFERROR(INDEX(Parâmetros!$C$15:$C$20,MATCH($P1236,Parâmetros!$B$15:$B$20,0)),""))</f>
        <v/>
      </c>
      <c r="N1236" s="46" t="str">
        <f aca="false">IF($E1236="","",IF($P1236="","",IF($P1236&gt;=8,"Alta",IF($P1236&gt;=5,"Média","Baixa"))))</f>
        <v/>
      </c>
      <c r="O1236" s="46" t="str">
        <f aca="false">IF($E1236="","",IF(AND(Parâmetros!$C$5&gt;0,$P1236&lt;&gt;"",$P1236&gt;=Parâmetros!$C$5),"Sim","Não"))</f>
        <v/>
      </c>
      <c r="P1236" s="45" t="str">
        <f aca="false">IF($E1236="","",IF($G1236="","",IF($G1236="NOK",$F1236,0)))</f>
        <v/>
      </c>
      <c r="Q1236" s="46" t="str">
        <f aca="false">IF($E1236="","",IF($O1236&lt;&gt;"Sim","",COUNTIF($O$3:$O1236,"Sim")))</f>
        <v/>
      </c>
      <c r="R1236" s="47" t="n">
        <f aca="false">IF($P1236="",0,$P1236)</f>
        <v>0</v>
      </c>
    </row>
    <row r="1237" customFormat="false" ht="18" hidden="false" customHeight="true" outlineLevel="0" collapsed="false">
      <c r="A1237" s="39"/>
      <c r="B1237" s="41"/>
      <c r="C1237" s="40"/>
      <c r="D1237" s="40"/>
      <c r="E1237" s="40"/>
      <c r="F1237" s="42"/>
      <c r="G1237" s="39"/>
      <c r="H1237" s="40"/>
      <c r="I1237" s="40"/>
      <c r="J1237" s="40"/>
      <c r="K1237" s="41"/>
      <c r="L1237" s="39"/>
      <c r="M1237" s="48" t="str">
        <f aca="false">IF($E1237="","",IFERROR(INDEX(Parâmetros!$C$15:$C$20,MATCH($P1237,Parâmetros!$B$15:$B$20,0)),""))</f>
        <v/>
      </c>
      <c r="N1237" s="46" t="str">
        <f aca="false">IF($E1237="","",IF($P1237="","",IF($P1237&gt;=8,"Alta",IF($P1237&gt;=5,"Média","Baixa"))))</f>
        <v/>
      </c>
      <c r="O1237" s="46" t="str">
        <f aca="false">IF($E1237="","",IF(AND(Parâmetros!$C$5&gt;0,$P1237&lt;&gt;"",$P1237&gt;=Parâmetros!$C$5),"Sim","Não"))</f>
        <v/>
      </c>
      <c r="P1237" s="45" t="str">
        <f aca="false">IF($E1237="","",IF($G1237="","",IF($G1237="NOK",$F1237,0)))</f>
        <v/>
      </c>
      <c r="Q1237" s="46" t="str">
        <f aca="false">IF($E1237="","",IF($O1237&lt;&gt;"Sim","",COUNTIF($O$3:$O1237,"Sim")))</f>
        <v/>
      </c>
      <c r="R1237" s="47" t="n">
        <f aca="false">IF($P1237="",0,$P1237)</f>
        <v>0</v>
      </c>
    </row>
    <row r="1238" customFormat="false" ht="18" hidden="false" customHeight="true" outlineLevel="0" collapsed="false">
      <c r="A1238" s="39"/>
      <c r="B1238" s="41"/>
      <c r="C1238" s="40"/>
      <c r="D1238" s="40"/>
      <c r="E1238" s="40"/>
      <c r="F1238" s="42"/>
      <c r="G1238" s="39"/>
      <c r="H1238" s="40"/>
      <c r="I1238" s="40"/>
      <c r="J1238" s="40"/>
      <c r="K1238" s="41"/>
      <c r="L1238" s="39"/>
      <c r="M1238" s="48" t="str">
        <f aca="false">IF($E1238="","",IFERROR(INDEX(Parâmetros!$C$15:$C$20,MATCH($P1238,Parâmetros!$B$15:$B$20,0)),""))</f>
        <v/>
      </c>
      <c r="N1238" s="46" t="str">
        <f aca="false">IF($E1238="","",IF($P1238="","",IF($P1238&gt;=8,"Alta",IF($P1238&gt;=5,"Média","Baixa"))))</f>
        <v/>
      </c>
      <c r="O1238" s="46" t="str">
        <f aca="false">IF($E1238="","",IF(AND(Parâmetros!$C$5&gt;0,$P1238&lt;&gt;"",$P1238&gt;=Parâmetros!$C$5),"Sim","Não"))</f>
        <v/>
      </c>
      <c r="P1238" s="45" t="str">
        <f aca="false">IF($E1238="","",IF($G1238="","",IF($G1238="NOK",$F1238,0)))</f>
        <v/>
      </c>
      <c r="Q1238" s="46" t="str">
        <f aca="false">IF($E1238="","",IF($O1238&lt;&gt;"Sim","",COUNTIF($O$3:$O1238,"Sim")))</f>
        <v/>
      </c>
      <c r="R1238" s="47" t="n">
        <f aca="false">IF($P1238="",0,$P1238)</f>
        <v>0</v>
      </c>
    </row>
    <row r="1239" customFormat="false" ht="18" hidden="false" customHeight="true" outlineLevel="0" collapsed="false">
      <c r="A1239" s="39"/>
      <c r="B1239" s="41"/>
      <c r="C1239" s="40"/>
      <c r="D1239" s="40"/>
      <c r="E1239" s="40"/>
      <c r="F1239" s="42"/>
      <c r="G1239" s="39"/>
      <c r="H1239" s="40"/>
      <c r="I1239" s="40"/>
      <c r="J1239" s="40"/>
      <c r="K1239" s="41"/>
      <c r="L1239" s="39"/>
      <c r="M1239" s="48" t="str">
        <f aca="false">IF($E1239="","",IFERROR(INDEX(Parâmetros!$C$15:$C$20,MATCH($P1239,Parâmetros!$B$15:$B$20,0)),""))</f>
        <v/>
      </c>
      <c r="N1239" s="46" t="str">
        <f aca="false">IF($E1239="","",IF($P1239="","",IF($P1239&gt;=8,"Alta",IF($P1239&gt;=5,"Média","Baixa"))))</f>
        <v/>
      </c>
      <c r="O1239" s="46" t="str">
        <f aca="false">IF($E1239="","",IF(AND(Parâmetros!$C$5&gt;0,$P1239&lt;&gt;"",$P1239&gt;=Parâmetros!$C$5),"Sim","Não"))</f>
        <v/>
      </c>
      <c r="P1239" s="45" t="str">
        <f aca="false">IF($E1239="","",IF($G1239="","",IF($G1239="NOK",$F1239,0)))</f>
        <v/>
      </c>
      <c r="Q1239" s="46" t="str">
        <f aca="false">IF($E1239="","",IF($O1239&lt;&gt;"Sim","",COUNTIF($O$3:$O1239,"Sim")))</f>
        <v/>
      </c>
      <c r="R1239" s="47" t="n">
        <f aca="false">IF($P1239="",0,$P1239)</f>
        <v>0</v>
      </c>
    </row>
    <row r="1240" customFormat="false" ht="18" hidden="false" customHeight="true" outlineLevel="0" collapsed="false">
      <c r="A1240" s="39"/>
      <c r="B1240" s="41"/>
      <c r="C1240" s="40"/>
      <c r="D1240" s="40"/>
      <c r="E1240" s="40"/>
      <c r="F1240" s="42"/>
      <c r="G1240" s="39"/>
      <c r="H1240" s="40"/>
      <c r="I1240" s="40"/>
      <c r="J1240" s="40"/>
      <c r="K1240" s="41"/>
      <c r="L1240" s="39"/>
      <c r="M1240" s="48" t="str">
        <f aca="false">IF($E1240="","",IFERROR(INDEX(Parâmetros!$C$15:$C$20,MATCH($P1240,Parâmetros!$B$15:$B$20,0)),""))</f>
        <v/>
      </c>
      <c r="N1240" s="46" t="str">
        <f aca="false">IF($E1240="","",IF($P1240="","",IF($P1240&gt;=8,"Alta",IF($P1240&gt;=5,"Média","Baixa"))))</f>
        <v/>
      </c>
      <c r="O1240" s="46" t="str">
        <f aca="false">IF($E1240="","",IF(AND(Parâmetros!$C$5&gt;0,$P1240&lt;&gt;"",$P1240&gt;=Parâmetros!$C$5),"Sim","Não"))</f>
        <v/>
      </c>
      <c r="P1240" s="45" t="str">
        <f aca="false">IF($E1240="","",IF($G1240="","",IF($G1240="NOK",$F1240,0)))</f>
        <v/>
      </c>
      <c r="Q1240" s="46" t="str">
        <f aca="false">IF($E1240="","",IF($O1240&lt;&gt;"Sim","",COUNTIF($O$3:$O1240,"Sim")))</f>
        <v/>
      </c>
      <c r="R1240" s="47" t="n">
        <f aca="false">IF($P1240="",0,$P1240)</f>
        <v>0</v>
      </c>
    </row>
    <row r="1241" customFormat="false" ht="18" hidden="false" customHeight="true" outlineLevel="0" collapsed="false">
      <c r="A1241" s="39"/>
      <c r="B1241" s="41"/>
      <c r="C1241" s="40"/>
      <c r="D1241" s="40"/>
      <c r="E1241" s="40"/>
      <c r="F1241" s="42"/>
      <c r="G1241" s="39"/>
      <c r="H1241" s="40"/>
      <c r="I1241" s="40"/>
      <c r="J1241" s="40"/>
      <c r="K1241" s="41"/>
      <c r="L1241" s="39"/>
      <c r="M1241" s="48" t="str">
        <f aca="false">IF($E1241="","",IFERROR(INDEX(Parâmetros!$C$15:$C$20,MATCH($P1241,Parâmetros!$B$15:$B$20,0)),""))</f>
        <v/>
      </c>
      <c r="N1241" s="46" t="str">
        <f aca="false">IF($E1241="","",IF($P1241="","",IF($P1241&gt;=8,"Alta",IF($P1241&gt;=5,"Média","Baixa"))))</f>
        <v/>
      </c>
      <c r="O1241" s="46" t="str">
        <f aca="false">IF($E1241="","",IF(AND(Parâmetros!$C$5&gt;0,$P1241&lt;&gt;"",$P1241&gt;=Parâmetros!$C$5),"Sim","Não"))</f>
        <v/>
      </c>
      <c r="P1241" s="45" t="str">
        <f aca="false">IF($E1241="","",IF($G1241="","",IF($G1241="NOK",$F1241,0)))</f>
        <v/>
      </c>
      <c r="Q1241" s="46" t="str">
        <f aca="false">IF($E1241="","",IF($O1241&lt;&gt;"Sim","",COUNTIF($O$3:$O1241,"Sim")))</f>
        <v/>
      </c>
      <c r="R1241" s="47" t="n">
        <f aca="false">IF($P1241="",0,$P1241)</f>
        <v>0</v>
      </c>
    </row>
    <row r="1242" customFormat="false" ht="18" hidden="false" customHeight="true" outlineLevel="0" collapsed="false">
      <c r="A1242" s="39"/>
      <c r="B1242" s="41"/>
      <c r="C1242" s="40"/>
      <c r="D1242" s="40"/>
      <c r="E1242" s="40"/>
      <c r="F1242" s="42"/>
      <c r="G1242" s="39"/>
      <c r="H1242" s="40"/>
      <c r="I1242" s="40"/>
      <c r="J1242" s="40"/>
      <c r="K1242" s="41"/>
      <c r="L1242" s="39"/>
      <c r="M1242" s="48" t="str">
        <f aca="false">IF($E1242="","",IFERROR(INDEX(Parâmetros!$C$15:$C$20,MATCH($P1242,Parâmetros!$B$15:$B$20,0)),""))</f>
        <v/>
      </c>
      <c r="N1242" s="46" t="str">
        <f aca="false">IF($E1242="","",IF($P1242="","",IF($P1242&gt;=8,"Alta",IF($P1242&gt;=5,"Média","Baixa"))))</f>
        <v/>
      </c>
      <c r="O1242" s="46" t="str">
        <f aca="false">IF($E1242="","",IF(AND(Parâmetros!$C$5&gt;0,$P1242&lt;&gt;"",$P1242&gt;=Parâmetros!$C$5),"Sim","Não"))</f>
        <v/>
      </c>
      <c r="P1242" s="45" t="str">
        <f aca="false">IF($E1242="","",IF($G1242="","",IF($G1242="NOK",$F1242,0)))</f>
        <v/>
      </c>
      <c r="Q1242" s="46" t="str">
        <f aca="false">IF($E1242="","",IF($O1242&lt;&gt;"Sim","",COUNTIF($O$3:$O1242,"Sim")))</f>
        <v/>
      </c>
      <c r="R1242" s="47" t="n">
        <f aca="false">IF($P1242="",0,$P1242)</f>
        <v>0</v>
      </c>
    </row>
    <row r="1243" customFormat="false" ht="18" hidden="false" customHeight="true" outlineLevel="0" collapsed="false">
      <c r="A1243" s="39"/>
      <c r="B1243" s="41"/>
      <c r="C1243" s="40"/>
      <c r="D1243" s="40"/>
      <c r="E1243" s="40"/>
      <c r="F1243" s="42"/>
      <c r="G1243" s="39"/>
      <c r="H1243" s="40"/>
      <c r="I1243" s="40"/>
      <c r="J1243" s="40"/>
      <c r="K1243" s="41"/>
      <c r="L1243" s="39"/>
      <c r="M1243" s="48" t="str">
        <f aca="false">IF($E1243="","",IFERROR(INDEX(Parâmetros!$C$15:$C$20,MATCH($P1243,Parâmetros!$B$15:$B$20,0)),""))</f>
        <v/>
      </c>
      <c r="N1243" s="46" t="str">
        <f aca="false">IF($E1243="","",IF($P1243="","",IF($P1243&gt;=8,"Alta",IF($P1243&gt;=5,"Média","Baixa"))))</f>
        <v/>
      </c>
      <c r="O1243" s="46" t="str">
        <f aca="false">IF($E1243="","",IF(AND(Parâmetros!$C$5&gt;0,$P1243&lt;&gt;"",$P1243&gt;=Parâmetros!$C$5),"Sim","Não"))</f>
        <v/>
      </c>
      <c r="P1243" s="45" t="str">
        <f aca="false">IF($E1243="","",IF($G1243="","",IF($G1243="NOK",$F1243,0)))</f>
        <v/>
      </c>
      <c r="Q1243" s="46" t="str">
        <f aca="false">IF($E1243="","",IF($O1243&lt;&gt;"Sim","",COUNTIF($O$3:$O1243,"Sim")))</f>
        <v/>
      </c>
      <c r="R1243" s="47" t="n">
        <f aca="false">IF($P1243="",0,$P1243)</f>
        <v>0</v>
      </c>
    </row>
    <row r="1244" customFormat="false" ht="18" hidden="false" customHeight="true" outlineLevel="0" collapsed="false">
      <c r="A1244" s="39"/>
      <c r="B1244" s="41"/>
      <c r="C1244" s="40"/>
      <c r="D1244" s="40"/>
      <c r="E1244" s="40"/>
      <c r="F1244" s="42"/>
      <c r="G1244" s="39"/>
      <c r="H1244" s="40"/>
      <c r="I1244" s="40"/>
      <c r="J1244" s="40"/>
      <c r="K1244" s="41"/>
      <c r="L1244" s="39"/>
      <c r="M1244" s="48" t="str">
        <f aca="false">IF($E1244="","",IFERROR(INDEX(Parâmetros!$C$15:$C$20,MATCH($P1244,Parâmetros!$B$15:$B$20,0)),""))</f>
        <v/>
      </c>
      <c r="N1244" s="46" t="str">
        <f aca="false">IF($E1244="","",IF($P1244="","",IF($P1244&gt;=8,"Alta",IF($P1244&gt;=5,"Média","Baixa"))))</f>
        <v/>
      </c>
      <c r="O1244" s="46" t="str">
        <f aca="false">IF($E1244="","",IF(AND(Parâmetros!$C$5&gt;0,$P1244&lt;&gt;"",$P1244&gt;=Parâmetros!$C$5),"Sim","Não"))</f>
        <v/>
      </c>
      <c r="P1244" s="45" t="str">
        <f aca="false">IF($E1244="","",IF($G1244="","",IF($G1244="NOK",$F1244,0)))</f>
        <v/>
      </c>
      <c r="Q1244" s="46" t="str">
        <f aca="false">IF($E1244="","",IF($O1244&lt;&gt;"Sim","",COUNTIF($O$3:$O1244,"Sim")))</f>
        <v/>
      </c>
      <c r="R1244" s="47" t="n">
        <f aca="false">IF($P1244="",0,$P1244)</f>
        <v>0</v>
      </c>
    </row>
    <row r="1245" customFormat="false" ht="18" hidden="false" customHeight="true" outlineLevel="0" collapsed="false">
      <c r="A1245" s="39"/>
      <c r="B1245" s="41"/>
      <c r="C1245" s="40"/>
      <c r="D1245" s="40"/>
      <c r="E1245" s="40"/>
      <c r="F1245" s="42"/>
      <c r="G1245" s="39"/>
      <c r="H1245" s="40"/>
      <c r="I1245" s="40"/>
      <c r="J1245" s="40"/>
      <c r="K1245" s="41"/>
      <c r="L1245" s="39"/>
      <c r="M1245" s="48" t="str">
        <f aca="false">IF($E1245="","",IFERROR(INDEX(Parâmetros!$C$15:$C$20,MATCH($P1245,Parâmetros!$B$15:$B$20,0)),""))</f>
        <v/>
      </c>
      <c r="N1245" s="46" t="str">
        <f aca="false">IF($E1245="","",IF($P1245="","",IF($P1245&gt;=8,"Alta",IF($P1245&gt;=5,"Média","Baixa"))))</f>
        <v/>
      </c>
      <c r="O1245" s="46" t="str">
        <f aca="false">IF($E1245="","",IF(AND(Parâmetros!$C$5&gt;0,$P1245&lt;&gt;"",$P1245&gt;=Parâmetros!$C$5),"Sim","Não"))</f>
        <v/>
      </c>
      <c r="P1245" s="45" t="str">
        <f aca="false">IF($E1245="","",IF($G1245="","",IF($G1245="NOK",$F1245,0)))</f>
        <v/>
      </c>
      <c r="Q1245" s="46" t="str">
        <f aca="false">IF($E1245="","",IF($O1245&lt;&gt;"Sim","",COUNTIF($O$3:$O1245,"Sim")))</f>
        <v/>
      </c>
      <c r="R1245" s="47" t="n">
        <f aca="false">IF($P1245="",0,$P1245)</f>
        <v>0</v>
      </c>
    </row>
    <row r="1246" customFormat="false" ht="18" hidden="false" customHeight="true" outlineLevel="0" collapsed="false">
      <c r="A1246" s="39"/>
      <c r="B1246" s="41"/>
      <c r="C1246" s="40"/>
      <c r="D1246" s="40"/>
      <c r="E1246" s="40"/>
      <c r="F1246" s="42"/>
      <c r="G1246" s="39"/>
      <c r="H1246" s="40"/>
      <c r="I1246" s="40"/>
      <c r="J1246" s="40"/>
      <c r="K1246" s="41"/>
      <c r="L1246" s="39"/>
      <c r="M1246" s="48" t="str">
        <f aca="false">IF($E1246="","",IFERROR(INDEX(Parâmetros!$C$15:$C$20,MATCH($P1246,Parâmetros!$B$15:$B$20,0)),""))</f>
        <v/>
      </c>
      <c r="N1246" s="46" t="str">
        <f aca="false">IF($E1246="","",IF($P1246="","",IF($P1246&gt;=8,"Alta",IF($P1246&gt;=5,"Média","Baixa"))))</f>
        <v/>
      </c>
      <c r="O1246" s="46" t="str">
        <f aca="false">IF($E1246="","",IF(AND(Parâmetros!$C$5&gt;0,$P1246&lt;&gt;"",$P1246&gt;=Parâmetros!$C$5),"Sim","Não"))</f>
        <v/>
      </c>
      <c r="P1246" s="45" t="str">
        <f aca="false">IF($E1246="","",IF($G1246="","",IF($G1246="NOK",$F1246,0)))</f>
        <v/>
      </c>
      <c r="Q1246" s="46" t="str">
        <f aca="false">IF($E1246="","",IF($O1246&lt;&gt;"Sim","",COUNTIF($O$3:$O1246,"Sim")))</f>
        <v/>
      </c>
      <c r="R1246" s="47" t="n">
        <f aca="false">IF($P1246="",0,$P1246)</f>
        <v>0</v>
      </c>
    </row>
    <row r="1247" customFormat="false" ht="18" hidden="false" customHeight="true" outlineLevel="0" collapsed="false">
      <c r="A1247" s="39"/>
      <c r="B1247" s="41"/>
      <c r="C1247" s="40"/>
      <c r="D1247" s="40"/>
      <c r="E1247" s="40"/>
      <c r="F1247" s="42"/>
      <c r="G1247" s="39"/>
      <c r="H1247" s="40"/>
      <c r="I1247" s="40"/>
      <c r="J1247" s="40"/>
      <c r="K1247" s="41"/>
      <c r="L1247" s="39"/>
      <c r="M1247" s="48" t="str">
        <f aca="false">IF($E1247="","",IFERROR(INDEX(Parâmetros!$C$15:$C$20,MATCH($P1247,Parâmetros!$B$15:$B$20,0)),""))</f>
        <v/>
      </c>
      <c r="N1247" s="46" t="str">
        <f aca="false">IF($E1247="","",IF($P1247="","",IF($P1247&gt;=8,"Alta",IF($P1247&gt;=5,"Média","Baixa"))))</f>
        <v/>
      </c>
      <c r="O1247" s="46" t="str">
        <f aca="false">IF($E1247="","",IF(AND(Parâmetros!$C$5&gt;0,$P1247&lt;&gt;"",$P1247&gt;=Parâmetros!$C$5),"Sim","Não"))</f>
        <v/>
      </c>
      <c r="P1247" s="45" t="str">
        <f aca="false">IF($E1247="","",IF($G1247="","",IF($G1247="NOK",$F1247,0)))</f>
        <v/>
      </c>
      <c r="Q1247" s="46" t="str">
        <f aca="false">IF($E1247="","",IF($O1247&lt;&gt;"Sim","",COUNTIF($O$3:$O1247,"Sim")))</f>
        <v/>
      </c>
      <c r="R1247" s="47" t="n">
        <f aca="false">IF($P1247="",0,$P1247)</f>
        <v>0</v>
      </c>
    </row>
    <row r="1248" customFormat="false" ht="18" hidden="false" customHeight="true" outlineLevel="0" collapsed="false">
      <c r="A1248" s="39"/>
      <c r="B1248" s="41"/>
      <c r="C1248" s="40"/>
      <c r="D1248" s="40"/>
      <c r="E1248" s="40"/>
      <c r="F1248" s="42"/>
      <c r="G1248" s="39"/>
      <c r="H1248" s="40"/>
      <c r="I1248" s="40"/>
      <c r="J1248" s="40"/>
      <c r="K1248" s="41"/>
      <c r="L1248" s="39"/>
      <c r="M1248" s="48" t="str">
        <f aca="false">IF($E1248="","",IFERROR(INDEX(Parâmetros!$C$15:$C$20,MATCH($P1248,Parâmetros!$B$15:$B$20,0)),""))</f>
        <v/>
      </c>
      <c r="N1248" s="46" t="str">
        <f aca="false">IF($E1248="","",IF($P1248="","",IF($P1248&gt;=8,"Alta",IF($P1248&gt;=5,"Média","Baixa"))))</f>
        <v/>
      </c>
      <c r="O1248" s="46" t="str">
        <f aca="false">IF($E1248="","",IF(AND(Parâmetros!$C$5&gt;0,$P1248&lt;&gt;"",$P1248&gt;=Parâmetros!$C$5),"Sim","Não"))</f>
        <v/>
      </c>
      <c r="P1248" s="45" t="str">
        <f aca="false">IF($E1248="","",IF($G1248="","",IF($G1248="NOK",$F1248,0)))</f>
        <v/>
      </c>
      <c r="Q1248" s="46" t="str">
        <f aca="false">IF($E1248="","",IF($O1248&lt;&gt;"Sim","",COUNTIF($O$3:$O1248,"Sim")))</f>
        <v/>
      </c>
      <c r="R1248" s="47" t="n">
        <f aca="false">IF($P1248="",0,$P1248)</f>
        <v>0</v>
      </c>
    </row>
    <row r="1249" customFormat="false" ht="18" hidden="false" customHeight="true" outlineLevel="0" collapsed="false">
      <c r="A1249" s="39"/>
      <c r="B1249" s="41"/>
      <c r="C1249" s="40"/>
      <c r="D1249" s="40"/>
      <c r="E1249" s="40"/>
      <c r="F1249" s="42"/>
      <c r="G1249" s="39"/>
      <c r="H1249" s="40"/>
      <c r="I1249" s="40"/>
      <c r="J1249" s="40"/>
      <c r="K1249" s="41"/>
      <c r="L1249" s="39"/>
      <c r="M1249" s="48" t="str">
        <f aca="false">IF($E1249="","",IFERROR(INDEX(Parâmetros!$C$15:$C$20,MATCH($P1249,Parâmetros!$B$15:$B$20,0)),""))</f>
        <v/>
      </c>
      <c r="N1249" s="46" t="str">
        <f aca="false">IF($E1249="","",IF($P1249="","",IF($P1249&gt;=8,"Alta",IF($P1249&gt;=5,"Média","Baixa"))))</f>
        <v/>
      </c>
      <c r="O1249" s="46" t="str">
        <f aca="false">IF($E1249="","",IF(AND(Parâmetros!$C$5&gt;0,$P1249&lt;&gt;"",$P1249&gt;=Parâmetros!$C$5),"Sim","Não"))</f>
        <v/>
      </c>
      <c r="P1249" s="45" t="str">
        <f aca="false">IF($E1249="","",IF($G1249="","",IF($G1249="NOK",$F1249,0)))</f>
        <v/>
      </c>
      <c r="Q1249" s="46" t="str">
        <f aca="false">IF($E1249="","",IF($O1249&lt;&gt;"Sim","",COUNTIF($O$3:$O1249,"Sim")))</f>
        <v/>
      </c>
      <c r="R1249" s="47" t="n">
        <f aca="false">IF($P1249="",0,$P1249)</f>
        <v>0</v>
      </c>
    </row>
    <row r="1250" customFormat="false" ht="18" hidden="false" customHeight="true" outlineLevel="0" collapsed="false">
      <c r="A1250" s="39"/>
      <c r="B1250" s="41"/>
      <c r="C1250" s="40"/>
      <c r="D1250" s="40"/>
      <c r="E1250" s="40"/>
      <c r="F1250" s="42"/>
      <c r="G1250" s="39"/>
      <c r="H1250" s="40"/>
      <c r="I1250" s="40"/>
      <c r="J1250" s="40"/>
      <c r="K1250" s="41"/>
      <c r="L1250" s="39"/>
      <c r="M1250" s="48" t="str">
        <f aca="false">IF($E1250="","",IFERROR(INDEX(Parâmetros!$C$15:$C$20,MATCH($P1250,Parâmetros!$B$15:$B$20,0)),""))</f>
        <v/>
      </c>
      <c r="N1250" s="46" t="str">
        <f aca="false">IF($E1250="","",IF($P1250="","",IF($P1250&gt;=8,"Alta",IF($P1250&gt;=5,"Média","Baixa"))))</f>
        <v/>
      </c>
      <c r="O1250" s="46" t="str">
        <f aca="false">IF($E1250="","",IF(AND(Parâmetros!$C$5&gt;0,$P1250&lt;&gt;"",$P1250&gt;=Parâmetros!$C$5),"Sim","Não"))</f>
        <v/>
      </c>
      <c r="P1250" s="45" t="str">
        <f aca="false">IF($E1250="","",IF($G1250="","",IF($G1250="NOK",$F1250,0)))</f>
        <v/>
      </c>
      <c r="Q1250" s="46" t="str">
        <f aca="false">IF($E1250="","",IF($O1250&lt;&gt;"Sim","",COUNTIF($O$3:$O1250,"Sim")))</f>
        <v/>
      </c>
      <c r="R1250" s="47" t="n">
        <f aca="false">IF($P1250="",0,$P1250)</f>
        <v>0</v>
      </c>
    </row>
    <row r="1251" customFormat="false" ht="18" hidden="false" customHeight="true" outlineLevel="0" collapsed="false">
      <c r="A1251" s="39"/>
      <c r="B1251" s="41"/>
      <c r="C1251" s="40"/>
      <c r="D1251" s="40"/>
      <c r="E1251" s="40"/>
      <c r="F1251" s="42"/>
      <c r="G1251" s="39"/>
      <c r="H1251" s="40"/>
      <c r="I1251" s="40"/>
      <c r="J1251" s="40"/>
      <c r="K1251" s="41"/>
      <c r="L1251" s="39"/>
      <c r="M1251" s="48" t="str">
        <f aca="false">IF($E1251="","",IFERROR(INDEX(Parâmetros!$C$15:$C$20,MATCH($P1251,Parâmetros!$B$15:$B$20,0)),""))</f>
        <v/>
      </c>
      <c r="N1251" s="46" t="str">
        <f aca="false">IF($E1251="","",IF($P1251="","",IF($P1251&gt;=8,"Alta",IF($P1251&gt;=5,"Média","Baixa"))))</f>
        <v/>
      </c>
      <c r="O1251" s="46" t="str">
        <f aca="false">IF($E1251="","",IF(AND(Parâmetros!$C$5&gt;0,$P1251&lt;&gt;"",$P1251&gt;=Parâmetros!$C$5),"Sim","Não"))</f>
        <v/>
      </c>
      <c r="P1251" s="45" t="str">
        <f aca="false">IF($E1251="","",IF($G1251="","",IF($G1251="NOK",$F1251,0)))</f>
        <v/>
      </c>
      <c r="Q1251" s="46" t="str">
        <f aca="false">IF($E1251="","",IF($O1251&lt;&gt;"Sim","",COUNTIF($O$3:$O1251,"Sim")))</f>
        <v/>
      </c>
      <c r="R1251" s="47" t="n">
        <f aca="false">IF($P1251="",0,$P1251)</f>
        <v>0</v>
      </c>
    </row>
    <row r="1252" customFormat="false" ht="18" hidden="false" customHeight="true" outlineLevel="0" collapsed="false">
      <c r="A1252" s="39"/>
      <c r="B1252" s="41"/>
      <c r="C1252" s="40"/>
      <c r="D1252" s="40"/>
      <c r="E1252" s="40"/>
      <c r="F1252" s="42"/>
      <c r="G1252" s="39"/>
      <c r="H1252" s="40"/>
      <c r="I1252" s="40"/>
      <c r="J1252" s="40"/>
      <c r="K1252" s="41"/>
      <c r="L1252" s="39"/>
      <c r="M1252" s="48" t="str">
        <f aca="false">IF($E1252="","",IFERROR(INDEX(Parâmetros!$C$15:$C$20,MATCH($P1252,Parâmetros!$B$15:$B$20,0)),""))</f>
        <v/>
      </c>
      <c r="N1252" s="46" t="str">
        <f aca="false">IF($E1252="","",IF($P1252="","",IF($P1252&gt;=8,"Alta",IF($P1252&gt;=5,"Média","Baixa"))))</f>
        <v/>
      </c>
      <c r="O1252" s="46" t="str">
        <f aca="false">IF($E1252="","",IF(AND(Parâmetros!$C$5&gt;0,$P1252&lt;&gt;"",$P1252&gt;=Parâmetros!$C$5),"Sim","Não"))</f>
        <v/>
      </c>
      <c r="P1252" s="45" t="str">
        <f aca="false">IF($E1252="","",IF($G1252="","",IF($G1252="NOK",$F1252,0)))</f>
        <v/>
      </c>
      <c r="Q1252" s="46" t="str">
        <f aca="false">IF($E1252="","",IF($O1252&lt;&gt;"Sim","",COUNTIF($O$3:$O1252,"Sim")))</f>
        <v/>
      </c>
      <c r="R1252" s="47" t="n">
        <f aca="false">IF($P1252="",0,$P1252)</f>
        <v>0</v>
      </c>
    </row>
    <row r="1253" customFormat="false" ht="18" hidden="false" customHeight="true" outlineLevel="0" collapsed="false">
      <c r="A1253" s="39"/>
      <c r="B1253" s="41"/>
      <c r="C1253" s="40"/>
      <c r="D1253" s="40"/>
      <c r="E1253" s="40"/>
      <c r="F1253" s="42"/>
      <c r="G1253" s="39"/>
      <c r="H1253" s="40"/>
      <c r="I1253" s="40"/>
      <c r="J1253" s="40"/>
      <c r="K1253" s="41"/>
      <c r="L1253" s="39"/>
      <c r="M1253" s="48" t="str">
        <f aca="false">IF($E1253="","",IFERROR(INDEX(Parâmetros!$C$15:$C$20,MATCH($P1253,Parâmetros!$B$15:$B$20,0)),""))</f>
        <v/>
      </c>
      <c r="N1253" s="46" t="str">
        <f aca="false">IF($E1253="","",IF($P1253="","",IF($P1253&gt;=8,"Alta",IF($P1253&gt;=5,"Média","Baixa"))))</f>
        <v/>
      </c>
      <c r="O1253" s="46" t="str">
        <f aca="false">IF($E1253="","",IF(AND(Parâmetros!$C$5&gt;0,$P1253&lt;&gt;"",$P1253&gt;=Parâmetros!$C$5),"Sim","Não"))</f>
        <v/>
      </c>
      <c r="P1253" s="45" t="str">
        <f aca="false">IF($E1253="","",IF($G1253="","",IF($G1253="NOK",$F1253,0)))</f>
        <v/>
      </c>
      <c r="Q1253" s="46" t="str">
        <f aca="false">IF($E1253="","",IF($O1253&lt;&gt;"Sim","",COUNTIF($O$3:$O1253,"Sim")))</f>
        <v/>
      </c>
      <c r="R1253" s="47" t="n">
        <f aca="false">IF($P1253="",0,$P1253)</f>
        <v>0</v>
      </c>
    </row>
    <row r="1254" customFormat="false" ht="18" hidden="false" customHeight="true" outlineLevel="0" collapsed="false">
      <c r="A1254" s="39"/>
      <c r="B1254" s="41"/>
      <c r="C1254" s="40"/>
      <c r="D1254" s="40"/>
      <c r="E1254" s="40"/>
      <c r="F1254" s="42"/>
      <c r="G1254" s="39"/>
      <c r="H1254" s="40"/>
      <c r="I1254" s="40"/>
      <c r="J1254" s="40"/>
      <c r="K1254" s="41"/>
      <c r="L1254" s="39"/>
      <c r="M1254" s="48" t="str">
        <f aca="false">IF($E1254="","",IFERROR(INDEX(Parâmetros!$C$15:$C$20,MATCH($P1254,Parâmetros!$B$15:$B$20,0)),""))</f>
        <v/>
      </c>
      <c r="N1254" s="46" t="str">
        <f aca="false">IF($E1254="","",IF($P1254="","",IF($P1254&gt;=8,"Alta",IF($P1254&gt;=5,"Média","Baixa"))))</f>
        <v/>
      </c>
      <c r="O1254" s="46" t="str">
        <f aca="false">IF($E1254="","",IF(AND(Parâmetros!$C$5&gt;0,$P1254&lt;&gt;"",$P1254&gt;=Parâmetros!$C$5),"Sim","Não"))</f>
        <v/>
      </c>
      <c r="P1254" s="45" t="str">
        <f aca="false">IF($E1254="","",IF($G1254="","",IF($G1254="NOK",$F1254,0)))</f>
        <v/>
      </c>
      <c r="Q1254" s="46" t="str">
        <f aca="false">IF($E1254="","",IF($O1254&lt;&gt;"Sim","",COUNTIF($O$3:$O1254,"Sim")))</f>
        <v/>
      </c>
      <c r="R1254" s="47" t="n">
        <f aca="false">IF($P1254="",0,$P1254)</f>
        <v>0</v>
      </c>
    </row>
    <row r="1255" customFormat="false" ht="18" hidden="false" customHeight="true" outlineLevel="0" collapsed="false">
      <c r="A1255" s="39"/>
      <c r="B1255" s="41"/>
      <c r="C1255" s="40"/>
      <c r="D1255" s="40"/>
      <c r="E1255" s="40"/>
      <c r="F1255" s="42"/>
      <c r="G1255" s="39"/>
      <c r="H1255" s="40"/>
      <c r="I1255" s="40"/>
      <c r="J1255" s="40"/>
      <c r="K1255" s="41"/>
      <c r="L1255" s="39"/>
      <c r="M1255" s="48" t="str">
        <f aca="false">IF($E1255="","",IFERROR(INDEX(Parâmetros!$C$15:$C$20,MATCH($P1255,Parâmetros!$B$15:$B$20,0)),""))</f>
        <v/>
      </c>
      <c r="N1255" s="46" t="str">
        <f aca="false">IF($E1255="","",IF($P1255="","",IF($P1255&gt;=8,"Alta",IF($P1255&gt;=5,"Média","Baixa"))))</f>
        <v/>
      </c>
      <c r="O1255" s="46" t="str">
        <f aca="false">IF($E1255="","",IF(AND(Parâmetros!$C$5&gt;0,$P1255&lt;&gt;"",$P1255&gt;=Parâmetros!$C$5),"Sim","Não"))</f>
        <v/>
      </c>
      <c r="P1255" s="45" t="str">
        <f aca="false">IF($E1255="","",IF($G1255="","",IF($G1255="NOK",$F1255,0)))</f>
        <v/>
      </c>
      <c r="Q1255" s="46" t="str">
        <f aca="false">IF($E1255="","",IF($O1255&lt;&gt;"Sim","",COUNTIF($O$3:$O1255,"Sim")))</f>
        <v/>
      </c>
      <c r="R1255" s="47" t="n">
        <f aca="false">IF($P1255="",0,$P1255)</f>
        <v>0</v>
      </c>
    </row>
    <row r="1256" customFormat="false" ht="18" hidden="false" customHeight="true" outlineLevel="0" collapsed="false">
      <c r="A1256" s="39"/>
      <c r="B1256" s="41"/>
      <c r="C1256" s="40"/>
      <c r="D1256" s="40"/>
      <c r="E1256" s="40"/>
      <c r="F1256" s="42"/>
      <c r="G1256" s="39"/>
      <c r="H1256" s="40"/>
      <c r="I1256" s="40"/>
      <c r="J1256" s="40"/>
      <c r="K1256" s="41"/>
      <c r="L1256" s="39"/>
      <c r="M1256" s="48" t="str">
        <f aca="false">IF($E1256="","",IFERROR(INDEX(Parâmetros!$C$15:$C$20,MATCH($P1256,Parâmetros!$B$15:$B$20,0)),""))</f>
        <v/>
      </c>
      <c r="N1256" s="46" t="str">
        <f aca="false">IF($E1256="","",IF($P1256="","",IF($P1256&gt;=8,"Alta",IF($P1256&gt;=5,"Média","Baixa"))))</f>
        <v/>
      </c>
      <c r="O1256" s="46" t="str">
        <f aca="false">IF($E1256="","",IF(AND(Parâmetros!$C$5&gt;0,$P1256&lt;&gt;"",$P1256&gt;=Parâmetros!$C$5),"Sim","Não"))</f>
        <v/>
      </c>
      <c r="P1256" s="45" t="str">
        <f aca="false">IF($E1256="","",IF($G1256="","",IF($G1256="NOK",$F1256,0)))</f>
        <v/>
      </c>
      <c r="Q1256" s="46" t="str">
        <f aca="false">IF($E1256="","",IF($O1256&lt;&gt;"Sim","",COUNTIF($O$3:$O1256,"Sim")))</f>
        <v/>
      </c>
      <c r="R1256" s="47" t="n">
        <f aca="false">IF($P1256="",0,$P1256)</f>
        <v>0</v>
      </c>
    </row>
    <row r="1257" customFormat="false" ht="18" hidden="false" customHeight="true" outlineLevel="0" collapsed="false">
      <c r="A1257" s="39"/>
      <c r="B1257" s="41"/>
      <c r="C1257" s="40"/>
      <c r="D1257" s="40"/>
      <c r="E1257" s="40"/>
      <c r="F1257" s="42"/>
      <c r="G1257" s="39"/>
      <c r="H1257" s="40"/>
      <c r="I1257" s="40"/>
      <c r="J1257" s="40"/>
      <c r="K1257" s="41"/>
      <c r="L1257" s="39"/>
      <c r="M1257" s="48" t="str">
        <f aca="false">IF($E1257="","",IFERROR(INDEX(Parâmetros!$C$15:$C$20,MATCH($P1257,Parâmetros!$B$15:$B$20,0)),""))</f>
        <v/>
      </c>
      <c r="N1257" s="46" t="str">
        <f aca="false">IF($E1257="","",IF($P1257="","",IF($P1257&gt;=8,"Alta",IF($P1257&gt;=5,"Média","Baixa"))))</f>
        <v/>
      </c>
      <c r="O1257" s="46" t="str">
        <f aca="false">IF($E1257="","",IF(AND(Parâmetros!$C$5&gt;0,$P1257&lt;&gt;"",$P1257&gt;=Parâmetros!$C$5),"Sim","Não"))</f>
        <v/>
      </c>
      <c r="P1257" s="45" t="str">
        <f aca="false">IF($E1257="","",IF($G1257="","",IF($G1257="NOK",$F1257,0)))</f>
        <v/>
      </c>
      <c r="Q1257" s="46" t="str">
        <f aca="false">IF($E1257="","",IF($O1257&lt;&gt;"Sim","",COUNTIF($O$3:$O1257,"Sim")))</f>
        <v/>
      </c>
      <c r="R1257" s="47" t="n">
        <f aca="false">IF($P1257="",0,$P1257)</f>
        <v>0</v>
      </c>
    </row>
    <row r="1258" customFormat="false" ht="18" hidden="false" customHeight="true" outlineLevel="0" collapsed="false">
      <c r="A1258" s="39"/>
      <c r="B1258" s="41"/>
      <c r="C1258" s="40"/>
      <c r="D1258" s="40"/>
      <c r="E1258" s="40"/>
      <c r="F1258" s="42"/>
      <c r="G1258" s="39"/>
      <c r="H1258" s="40"/>
      <c r="I1258" s="40"/>
      <c r="J1258" s="40"/>
      <c r="K1258" s="41"/>
      <c r="L1258" s="39"/>
      <c r="M1258" s="48" t="str">
        <f aca="false">IF($E1258="","",IFERROR(INDEX(Parâmetros!$C$15:$C$20,MATCH($P1258,Parâmetros!$B$15:$B$20,0)),""))</f>
        <v/>
      </c>
      <c r="N1258" s="46" t="str">
        <f aca="false">IF($E1258="","",IF($P1258="","",IF($P1258&gt;=8,"Alta",IF($P1258&gt;=5,"Média","Baixa"))))</f>
        <v/>
      </c>
      <c r="O1258" s="46" t="str">
        <f aca="false">IF($E1258="","",IF(AND(Parâmetros!$C$5&gt;0,$P1258&lt;&gt;"",$P1258&gt;=Parâmetros!$C$5),"Sim","Não"))</f>
        <v/>
      </c>
      <c r="P1258" s="45" t="str">
        <f aca="false">IF($E1258="","",IF($G1258="","",IF($G1258="NOK",$F1258,0)))</f>
        <v/>
      </c>
      <c r="Q1258" s="46" t="str">
        <f aca="false">IF($E1258="","",IF($O1258&lt;&gt;"Sim","",COUNTIF($O$3:$O1258,"Sim")))</f>
        <v/>
      </c>
      <c r="R1258" s="47" t="n">
        <f aca="false">IF($P1258="",0,$P1258)</f>
        <v>0</v>
      </c>
    </row>
    <row r="1259" customFormat="false" ht="18" hidden="false" customHeight="true" outlineLevel="0" collapsed="false">
      <c r="A1259" s="39"/>
      <c r="B1259" s="41"/>
      <c r="C1259" s="40"/>
      <c r="D1259" s="40"/>
      <c r="E1259" s="40"/>
      <c r="F1259" s="42"/>
      <c r="G1259" s="39"/>
      <c r="H1259" s="40"/>
      <c r="I1259" s="40"/>
      <c r="J1259" s="40"/>
      <c r="K1259" s="41"/>
      <c r="L1259" s="39"/>
      <c r="M1259" s="48" t="str">
        <f aca="false">IF($E1259="","",IFERROR(INDEX(Parâmetros!$C$15:$C$20,MATCH($P1259,Parâmetros!$B$15:$B$20,0)),""))</f>
        <v/>
      </c>
      <c r="N1259" s="46" t="str">
        <f aca="false">IF($E1259="","",IF($P1259="","",IF($P1259&gt;=8,"Alta",IF($P1259&gt;=5,"Média","Baixa"))))</f>
        <v/>
      </c>
      <c r="O1259" s="46" t="str">
        <f aca="false">IF($E1259="","",IF(AND(Parâmetros!$C$5&gt;0,$P1259&lt;&gt;"",$P1259&gt;=Parâmetros!$C$5),"Sim","Não"))</f>
        <v/>
      </c>
      <c r="P1259" s="45" t="str">
        <f aca="false">IF($E1259="","",IF($G1259="","",IF($G1259="NOK",$F1259,0)))</f>
        <v/>
      </c>
      <c r="Q1259" s="46" t="str">
        <f aca="false">IF($E1259="","",IF($O1259&lt;&gt;"Sim","",COUNTIF($O$3:$O1259,"Sim")))</f>
        <v/>
      </c>
      <c r="R1259" s="47" t="n">
        <f aca="false">IF($P1259="",0,$P1259)</f>
        <v>0</v>
      </c>
    </row>
    <row r="1260" customFormat="false" ht="18" hidden="false" customHeight="true" outlineLevel="0" collapsed="false">
      <c r="A1260" s="39"/>
      <c r="B1260" s="41"/>
      <c r="C1260" s="40"/>
      <c r="D1260" s="40"/>
      <c r="E1260" s="40"/>
      <c r="F1260" s="42"/>
      <c r="G1260" s="39"/>
      <c r="H1260" s="40"/>
      <c r="I1260" s="40"/>
      <c r="J1260" s="40"/>
      <c r="K1260" s="41"/>
      <c r="L1260" s="39"/>
      <c r="M1260" s="48" t="str">
        <f aca="false">IF($E1260="","",IFERROR(INDEX(Parâmetros!$C$15:$C$20,MATCH($P1260,Parâmetros!$B$15:$B$20,0)),""))</f>
        <v/>
      </c>
      <c r="N1260" s="46" t="str">
        <f aca="false">IF($E1260="","",IF($P1260="","",IF($P1260&gt;=8,"Alta",IF($P1260&gt;=5,"Média","Baixa"))))</f>
        <v/>
      </c>
      <c r="O1260" s="46" t="str">
        <f aca="false">IF($E1260="","",IF(AND(Parâmetros!$C$5&gt;0,$P1260&lt;&gt;"",$P1260&gt;=Parâmetros!$C$5),"Sim","Não"))</f>
        <v/>
      </c>
      <c r="P1260" s="45" t="str">
        <f aca="false">IF($E1260="","",IF($G1260="","",IF($G1260="NOK",$F1260,0)))</f>
        <v/>
      </c>
      <c r="Q1260" s="46" t="str">
        <f aca="false">IF($E1260="","",IF($O1260&lt;&gt;"Sim","",COUNTIF($O$3:$O1260,"Sim")))</f>
        <v/>
      </c>
      <c r="R1260" s="47" t="n">
        <f aca="false">IF($P1260="",0,$P1260)</f>
        <v>0</v>
      </c>
    </row>
    <row r="1261" customFormat="false" ht="18" hidden="false" customHeight="true" outlineLevel="0" collapsed="false">
      <c r="A1261" s="39"/>
      <c r="B1261" s="41"/>
      <c r="C1261" s="40"/>
      <c r="D1261" s="40"/>
      <c r="E1261" s="40"/>
      <c r="F1261" s="42"/>
      <c r="G1261" s="39"/>
      <c r="H1261" s="40"/>
      <c r="I1261" s="40"/>
      <c r="J1261" s="40"/>
      <c r="K1261" s="41"/>
      <c r="L1261" s="39"/>
      <c r="M1261" s="48" t="str">
        <f aca="false">IF($E1261="","",IFERROR(INDEX(Parâmetros!$C$15:$C$20,MATCH($P1261,Parâmetros!$B$15:$B$20,0)),""))</f>
        <v/>
      </c>
      <c r="N1261" s="46" t="str">
        <f aca="false">IF($E1261="","",IF($P1261="","",IF($P1261&gt;=8,"Alta",IF($P1261&gt;=5,"Média","Baixa"))))</f>
        <v/>
      </c>
      <c r="O1261" s="46" t="str">
        <f aca="false">IF($E1261="","",IF(AND(Parâmetros!$C$5&gt;0,$P1261&lt;&gt;"",$P1261&gt;=Parâmetros!$C$5),"Sim","Não"))</f>
        <v/>
      </c>
      <c r="P1261" s="45" t="str">
        <f aca="false">IF($E1261="","",IF($G1261="","",IF($G1261="NOK",$F1261,0)))</f>
        <v/>
      </c>
      <c r="Q1261" s="46" t="str">
        <f aca="false">IF($E1261="","",IF($O1261&lt;&gt;"Sim","",COUNTIF($O$3:$O1261,"Sim")))</f>
        <v/>
      </c>
      <c r="R1261" s="47" t="n">
        <f aca="false">IF($P1261="",0,$P1261)</f>
        <v>0</v>
      </c>
    </row>
    <row r="1262" customFormat="false" ht="18" hidden="false" customHeight="true" outlineLevel="0" collapsed="false">
      <c r="A1262" s="39"/>
      <c r="B1262" s="41"/>
      <c r="C1262" s="40"/>
      <c r="D1262" s="40"/>
      <c r="E1262" s="40"/>
      <c r="F1262" s="42"/>
      <c r="G1262" s="39"/>
      <c r="H1262" s="40"/>
      <c r="I1262" s="40"/>
      <c r="J1262" s="40"/>
      <c r="K1262" s="41"/>
      <c r="L1262" s="39"/>
      <c r="M1262" s="48" t="str">
        <f aca="false">IF($E1262="","",IFERROR(INDEX(Parâmetros!$C$15:$C$20,MATCH($P1262,Parâmetros!$B$15:$B$20,0)),""))</f>
        <v/>
      </c>
      <c r="N1262" s="46" t="str">
        <f aca="false">IF($E1262="","",IF($P1262="","",IF($P1262&gt;=8,"Alta",IF($P1262&gt;=5,"Média","Baixa"))))</f>
        <v/>
      </c>
      <c r="O1262" s="46" t="str">
        <f aca="false">IF($E1262="","",IF(AND(Parâmetros!$C$5&gt;0,$P1262&lt;&gt;"",$P1262&gt;=Parâmetros!$C$5),"Sim","Não"))</f>
        <v/>
      </c>
      <c r="P1262" s="45" t="str">
        <f aca="false">IF($E1262="","",IF($G1262="","",IF($G1262="NOK",$F1262,0)))</f>
        <v/>
      </c>
      <c r="Q1262" s="46" t="str">
        <f aca="false">IF($E1262="","",IF($O1262&lt;&gt;"Sim","",COUNTIF($O$3:$O1262,"Sim")))</f>
        <v/>
      </c>
      <c r="R1262" s="47" t="n">
        <f aca="false">IF($P1262="",0,$P1262)</f>
        <v>0</v>
      </c>
    </row>
    <row r="1263" customFormat="false" ht="18" hidden="false" customHeight="true" outlineLevel="0" collapsed="false">
      <c r="A1263" s="39"/>
      <c r="B1263" s="41"/>
      <c r="C1263" s="40"/>
      <c r="D1263" s="40"/>
      <c r="E1263" s="40"/>
      <c r="F1263" s="42"/>
      <c r="G1263" s="39"/>
      <c r="H1263" s="40"/>
      <c r="I1263" s="40"/>
      <c r="J1263" s="40"/>
      <c r="K1263" s="41"/>
      <c r="L1263" s="39"/>
      <c r="M1263" s="48" t="str">
        <f aca="false">IF($E1263="","",IFERROR(INDEX(Parâmetros!$C$15:$C$20,MATCH($P1263,Parâmetros!$B$15:$B$20,0)),""))</f>
        <v/>
      </c>
      <c r="N1263" s="46" t="str">
        <f aca="false">IF($E1263="","",IF($P1263="","",IF($P1263&gt;=8,"Alta",IF($P1263&gt;=5,"Média","Baixa"))))</f>
        <v/>
      </c>
      <c r="O1263" s="46" t="str">
        <f aca="false">IF($E1263="","",IF(AND(Parâmetros!$C$5&gt;0,$P1263&lt;&gt;"",$P1263&gt;=Parâmetros!$C$5),"Sim","Não"))</f>
        <v/>
      </c>
      <c r="P1263" s="45" t="str">
        <f aca="false">IF($E1263="","",IF($G1263="","",IF($G1263="NOK",$F1263,0)))</f>
        <v/>
      </c>
      <c r="Q1263" s="46" t="str">
        <f aca="false">IF($E1263="","",IF($O1263&lt;&gt;"Sim","",COUNTIF($O$3:$O1263,"Sim")))</f>
        <v/>
      </c>
      <c r="R1263" s="47" t="n">
        <f aca="false">IF($P1263="",0,$P1263)</f>
        <v>0</v>
      </c>
    </row>
    <row r="1264" customFormat="false" ht="18" hidden="false" customHeight="true" outlineLevel="0" collapsed="false">
      <c r="A1264" s="39"/>
      <c r="B1264" s="41"/>
      <c r="C1264" s="40"/>
      <c r="D1264" s="40"/>
      <c r="E1264" s="40"/>
      <c r="F1264" s="42"/>
      <c r="G1264" s="39"/>
      <c r="H1264" s="40"/>
      <c r="I1264" s="40"/>
      <c r="J1264" s="40"/>
      <c r="K1264" s="41"/>
      <c r="L1264" s="39"/>
      <c r="M1264" s="48" t="str">
        <f aca="false">IF($E1264="","",IFERROR(INDEX(Parâmetros!$C$15:$C$20,MATCH($P1264,Parâmetros!$B$15:$B$20,0)),""))</f>
        <v/>
      </c>
      <c r="N1264" s="46" t="str">
        <f aca="false">IF($E1264="","",IF($P1264="","",IF($P1264&gt;=8,"Alta",IF($P1264&gt;=5,"Média","Baixa"))))</f>
        <v/>
      </c>
      <c r="O1264" s="46" t="str">
        <f aca="false">IF($E1264="","",IF(AND(Parâmetros!$C$5&gt;0,$P1264&lt;&gt;"",$P1264&gt;=Parâmetros!$C$5),"Sim","Não"))</f>
        <v/>
      </c>
      <c r="P1264" s="45" t="str">
        <f aca="false">IF($E1264="","",IF($G1264="","",IF($G1264="NOK",$F1264,0)))</f>
        <v/>
      </c>
      <c r="Q1264" s="46" t="str">
        <f aca="false">IF($E1264="","",IF($O1264&lt;&gt;"Sim","",COUNTIF($O$3:$O1264,"Sim")))</f>
        <v/>
      </c>
      <c r="R1264" s="47" t="n">
        <f aca="false">IF($P1264="",0,$P1264)</f>
        <v>0</v>
      </c>
    </row>
    <row r="1265" customFormat="false" ht="18" hidden="false" customHeight="true" outlineLevel="0" collapsed="false">
      <c r="A1265" s="39"/>
      <c r="B1265" s="41"/>
      <c r="C1265" s="40"/>
      <c r="D1265" s="40"/>
      <c r="E1265" s="40"/>
      <c r="F1265" s="42"/>
      <c r="G1265" s="39"/>
      <c r="H1265" s="40"/>
      <c r="I1265" s="40"/>
      <c r="J1265" s="40"/>
      <c r="K1265" s="41"/>
      <c r="L1265" s="39"/>
      <c r="M1265" s="48" t="str">
        <f aca="false">IF($E1265="","",IFERROR(INDEX(Parâmetros!$C$15:$C$20,MATCH($P1265,Parâmetros!$B$15:$B$20,0)),""))</f>
        <v/>
      </c>
      <c r="N1265" s="46" t="str">
        <f aca="false">IF($E1265="","",IF($P1265="","",IF($P1265&gt;=8,"Alta",IF($P1265&gt;=5,"Média","Baixa"))))</f>
        <v/>
      </c>
      <c r="O1265" s="46" t="str">
        <f aca="false">IF($E1265="","",IF(AND(Parâmetros!$C$5&gt;0,$P1265&lt;&gt;"",$P1265&gt;=Parâmetros!$C$5),"Sim","Não"))</f>
        <v/>
      </c>
      <c r="P1265" s="45" t="str">
        <f aca="false">IF($E1265="","",IF($G1265="","",IF($G1265="NOK",$F1265,0)))</f>
        <v/>
      </c>
      <c r="Q1265" s="46" t="str">
        <f aca="false">IF($E1265="","",IF($O1265&lt;&gt;"Sim","",COUNTIF($O$3:$O1265,"Sim")))</f>
        <v/>
      </c>
      <c r="R1265" s="47" t="n">
        <f aca="false">IF($P1265="",0,$P1265)</f>
        <v>0</v>
      </c>
    </row>
    <row r="1266" customFormat="false" ht="18" hidden="false" customHeight="true" outlineLevel="0" collapsed="false">
      <c r="A1266" s="39"/>
      <c r="B1266" s="41"/>
      <c r="C1266" s="40"/>
      <c r="D1266" s="40"/>
      <c r="E1266" s="40"/>
      <c r="F1266" s="42"/>
      <c r="G1266" s="39"/>
      <c r="H1266" s="40"/>
      <c r="I1266" s="40"/>
      <c r="J1266" s="40"/>
      <c r="K1266" s="41"/>
      <c r="L1266" s="39"/>
      <c r="M1266" s="48" t="str">
        <f aca="false">IF($E1266="","",IFERROR(INDEX(Parâmetros!$C$15:$C$20,MATCH($P1266,Parâmetros!$B$15:$B$20,0)),""))</f>
        <v/>
      </c>
      <c r="N1266" s="46" t="str">
        <f aca="false">IF($E1266="","",IF($P1266="","",IF($P1266&gt;=8,"Alta",IF($P1266&gt;=5,"Média","Baixa"))))</f>
        <v/>
      </c>
      <c r="O1266" s="46" t="str">
        <f aca="false">IF($E1266="","",IF(AND(Parâmetros!$C$5&gt;0,$P1266&lt;&gt;"",$P1266&gt;=Parâmetros!$C$5),"Sim","Não"))</f>
        <v/>
      </c>
      <c r="P1266" s="45" t="str">
        <f aca="false">IF($E1266="","",IF($G1266="","",IF($G1266="NOK",$F1266,0)))</f>
        <v/>
      </c>
      <c r="Q1266" s="46" t="str">
        <f aca="false">IF($E1266="","",IF($O1266&lt;&gt;"Sim","",COUNTIF($O$3:$O1266,"Sim")))</f>
        <v/>
      </c>
      <c r="R1266" s="47" t="n">
        <f aca="false">IF($P1266="",0,$P1266)</f>
        <v>0</v>
      </c>
    </row>
    <row r="1267" customFormat="false" ht="18" hidden="false" customHeight="true" outlineLevel="0" collapsed="false">
      <c r="A1267" s="39"/>
      <c r="B1267" s="41"/>
      <c r="C1267" s="40"/>
      <c r="D1267" s="40"/>
      <c r="E1267" s="40"/>
      <c r="F1267" s="42"/>
      <c r="G1267" s="39"/>
      <c r="H1267" s="40"/>
      <c r="I1267" s="40"/>
      <c r="J1267" s="40"/>
      <c r="K1267" s="41"/>
      <c r="L1267" s="39"/>
      <c r="M1267" s="48" t="str">
        <f aca="false">IF($E1267="","",IFERROR(INDEX(Parâmetros!$C$15:$C$20,MATCH($P1267,Parâmetros!$B$15:$B$20,0)),""))</f>
        <v/>
      </c>
      <c r="N1267" s="46" t="str">
        <f aca="false">IF($E1267="","",IF($P1267="","",IF($P1267&gt;=8,"Alta",IF($P1267&gt;=5,"Média","Baixa"))))</f>
        <v/>
      </c>
      <c r="O1267" s="46" t="str">
        <f aca="false">IF($E1267="","",IF(AND(Parâmetros!$C$5&gt;0,$P1267&lt;&gt;"",$P1267&gt;=Parâmetros!$C$5),"Sim","Não"))</f>
        <v/>
      </c>
      <c r="P1267" s="45" t="str">
        <f aca="false">IF($E1267="","",IF($G1267="","",IF($G1267="NOK",$F1267,0)))</f>
        <v/>
      </c>
      <c r="Q1267" s="46" t="str">
        <f aca="false">IF($E1267="","",IF($O1267&lt;&gt;"Sim","",COUNTIF($O$3:$O1267,"Sim")))</f>
        <v/>
      </c>
      <c r="R1267" s="47" t="n">
        <f aca="false">IF($P1267="",0,$P1267)</f>
        <v>0</v>
      </c>
    </row>
    <row r="1268" customFormat="false" ht="18" hidden="false" customHeight="true" outlineLevel="0" collapsed="false">
      <c r="A1268" s="39"/>
      <c r="B1268" s="41"/>
      <c r="C1268" s="40"/>
      <c r="D1268" s="40"/>
      <c r="E1268" s="40"/>
      <c r="F1268" s="42"/>
      <c r="G1268" s="39"/>
      <c r="H1268" s="40"/>
      <c r="I1268" s="40"/>
      <c r="J1268" s="40"/>
      <c r="K1268" s="41"/>
      <c r="L1268" s="39"/>
      <c r="M1268" s="48" t="str">
        <f aca="false">IF($E1268="","",IFERROR(INDEX(Parâmetros!$C$15:$C$20,MATCH($P1268,Parâmetros!$B$15:$B$20,0)),""))</f>
        <v/>
      </c>
      <c r="N1268" s="46" t="str">
        <f aca="false">IF($E1268="","",IF($P1268="","",IF($P1268&gt;=8,"Alta",IF($P1268&gt;=5,"Média","Baixa"))))</f>
        <v/>
      </c>
      <c r="O1268" s="46" t="str">
        <f aca="false">IF($E1268="","",IF(AND(Parâmetros!$C$5&gt;0,$P1268&lt;&gt;"",$P1268&gt;=Parâmetros!$C$5),"Sim","Não"))</f>
        <v/>
      </c>
      <c r="P1268" s="45" t="str">
        <f aca="false">IF($E1268="","",IF($G1268="","",IF($G1268="NOK",$F1268,0)))</f>
        <v/>
      </c>
      <c r="Q1268" s="46" t="str">
        <f aca="false">IF($E1268="","",IF($O1268&lt;&gt;"Sim","",COUNTIF($O$3:$O1268,"Sim")))</f>
        <v/>
      </c>
      <c r="R1268" s="47" t="n">
        <f aca="false">IF($P1268="",0,$P1268)</f>
        <v>0</v>
      </c>
    </row>
    <row r="1269" customFormat="false" ht="18" hidden="false" customHeight="true" outlineLevel="0" collapsed="false">
      <c r="A1269" s="39"/>
      <c r="B1269" s="41"/>
      <c r="C1269" s="40"/>
      <c r="D1269" s="40"/>
      <c r="E1269" s="40"/>
      <c r="F1269" s="42"/>
      <c r="G1269" s="39"/>
      <c r="H1269" s="40"/>
      <c r="I1269" s="40"/>
      <c r="J1269" s="40"/>
      <c r="K1269" s="41"/>
      <c r="L1269" s="39"/>
      <c r="M1269" s="48" t="str">
        <f aca="false">IF($E1269="","",IFERROR(INDEX(Parâmetros!$C$15:$C$20,MATCH($P1269,Parâmetros!$B$15:$B$20,0)),""))</f>
        <v/>
      </c>
      <c r="N1269" s="46" t="str">
        <f aca="false">IF($E1269="","",IF($P1269="","",IF($P1269&gt;=8,"Alta",IF($P1269&gt;=5,"Média","Baixa"))))</f>
        <v/>
      </c>
      <c r="O1269" s="46" t="str">
        <f aca="false">IF($E1269="","",IF(AND(Parâmetros!$C$5&gt;0,$P1269&lt;&gt;"",$P1269&gt;=Parâmetros!$C$5),"Sim","Não"))</f>
        <v/>
      </c>
      <c r="P1269" s="45" t="str">
        <f aca="false">IF($E1269="","",IF($G1269="","",IF($G1269="NOK",$F1269,0)))</f>
        <v/>
      </c>
      <c r="Q1269" s="46" t="str">
        <f aca="false">IF($E1269="","",IF($O1269&lt;&gt;"Sim","",COUNTIF($O$3:$O1269,"Sim")))</f>
        <v/>
      </c>
      <c r="R1269" s="47" t="n">
        <f aca="false">IF($P1269="",0,$P1269)</f>
        <v>0</v>
      </c>
    </row>
    <row r="1270" customFormat="false" ht="18" hidden="false" customHeight="true" outlineLevel="0" collapsed="false">
      <c r="A1270" s="39"/>
      <c r="B1270" s="41"/>
      <c r="C1270" s="40"/>
      <c r="D1270" s="40"/>
      <c r="E1270" s="40"/>
      <c r="F1270" s="42"/>
      <c r="G1270" s="39"/>
      <c r="H1270" s="40"/>
      <c r="I1270" s="40"/>
      <c r="J1270" s="40"/>
      <c r="K1270" s="41"/>
      <c r="L1270" s="39"/>
      <c r="M1270" s="48" t="str">
        <f aca="false">IF($E1270="","",IFERROR(INDEX(Parâmetros!$C$15:$C$20,MATCH($P1270,Parâmetros!$B$15:$B$20,0)),""))</f>
        <v/>
      </c>
      <c r="N1270" s="46" t="str">
        <f aca="false">IF($E1270="","",IF($P1270="","",IF($P1270&gt;=8,"Alta",IF($P1270&gt;=5,"Média","Baixa"))))</f>
        <v/>
      </c>
      <c r="O1270" s="46" t="str">
        <f aca="false">IF($E1270="","",IF(AND(Parâmetros!$C$5&gt;0,$P1270&lt;&gt;"",$P1270&gt;=Parâmetros!$C$5),"Sim","Não"))</f>
        <v/>
      </c>
      <c r="P1270" s="45" t="str">
        <f aca="false">IF($E1270="","",IF($G1270="","",IF($G1270="NOK",$F1270,0)))</f>
        <v/>
      </c>
      <c r="Q1270" s="46" t="str">
        <f aca="false">IF($E1270="","",IF($O1270&lt;&gt;"Sim","",COUNTIF($O$3:$O1270,"Sim")))</f>
        <v/>
      </c>
      <c r="R1270" s="47" t="n">
        <f aca="false">IF($P1270="",0,$P1270)</f>
        <v>0</v>
      </c>
    </row>
    <row r="1271" customFormat="false" ht="18" hidden="false" customHeight="true" outlineLevel="0" collapsed="false">
      <c r="A1271" s="39"/>
      <c r="B1271" s="41"/>
      <c r="C1271" s="40"/>
      <c r="D1271" s="40"/>
      <c r="E1271" s="40"/>
      <c r="F1271" s="42"/>
      <c r="G1271" s="39"/>
      <c r="H1271" s="40"/>
      <c r="I1271" s="40"/>
      <c r="J1271" s="40"/>
      <c r="K1271" s="41"/>
      <c r="L1271" s="39"/>
      <c r="M1271" s="48" t="str">
        <f aca="false">IF($E1271="","",IFERROR(INDEX(Parâmetros!$C$15:$C$20,MATCH($P1271,Parâmetros!$B$15:$B$20,0)),""))</f>
        <v/>
      </c>
      <c r="N1271" s="46" t="str">
        <f aca="false">IF($E1271="","",IF($P1271="","",IF($P1271&gt;=8,"Alta",IF($P1271&gt;=5,"Média","Baixa"))))</f>
        <v/>
      </c>
      <c r="O1271" s="46" t="str">
        <f aca="false">IF($E1271="","",IF(AND(Parâmetros!$C$5&gt;0,$P1271&lt;&gt;"",$P1271&gt;=Parâmetros!$C$5),"Sim","Não"))</f>
        <v/>
      </c>
      <c r="P1271" s="45" t="str">
        <f aca="false">IF($E1271="","",IF($G1271="","",IF($G1271="NOK",$F1271,0)))</f>
        <v/>
      </c>
      <c r="Q1271" s="46" t="str">
        <f aca="false">IF($E1271="","",IF($O1271&lt;&gt;"Sim","",COUNTIF($O$3:$O1271,"Sim")))</f>
        <v/>
      </c>
      <c r="R1271" s="47" t="n">
        <f aca="false">IF($P1271="",0,$P1271)</f>
        <v>0</v>
      </c>
    </row>
    <row r="1272" customFormat="false" ht="18" hidden="false" customHeight="true" outlineLevel="0" collapsed="false">
      <c r="A1272" s="39"/>
      <c r="B1272" s="41"/>
      <c r="C1272" s="40"/>
      <c r="D1272" s="40"/>
      <c r="E1272" s="40"/>
      <c r="F1272" s="42"/>
      <c r="G1272" s="39"/>
      <c r="H1272" s="40"/>
      <c r="I1272" s="40"/>
      <c r="J1272" s="40"/>
      <c r="K1272" s="41"/>
      <c r="L1272" s="39"/>
      <c r="M1272" s="48" t="str">
        <f aca="false">IF($E1272="","",IFERROR(INDEX(Parâmetros!$C$15:$C$20,MATCH($P1272,Parâmetros!$B$15:$B$20,0)),""))</f>
        <v/>
      </c>
      <c r="N1272" s="46" t="str">
        <f aca="false">IF($E1272="","",IF($P1272="","",IF($P1272&gt;=8,"Alta",IF($P1272&gt;=5,"Média","Baixa"))))</f>
        <v/>
      </c>
      <c r="O1272" s="46" t="str">
        <f aca="false">IF($E1272="","",IF(AND(Parâmetros!$C$5&gt;0,$P1272&lt;&gt;"",$P1272&gt;=Parâmetros!$C$5),"Sim","Não"))</f>
        <v/>
      </c>
      <c r="P1272" s="45" t="str">
        <f aca="false">IF($E1272="","",IF($G1272="","",IF($G1272="NOK",$F1272,0)))</f>
        <v/>
      </c>
      <c r="Q1272" s="46" t="str">
        <f aca="false">IF($E1272="","",IF($O1272&lt;&gt;"Sim","",COUNTIF($O$3:$O1272,"Sim")))</f>
        <v/>
      </c>
      <c r="R1272" s="47" t="n">
        <f aca="false">IF($P1272="",0,$P1272)</f>
        <v>0</v>
      </c>
    </row>
    <row r="1273" customFormat="false" ht="18" hidden="false" customHeight="true" outlineLevel="0" collapsed="false">
      <c r="A1273" s="39"/>
      <c r="B1273" s="41"/>
      <c r="C1273" s="40"/>
      <c r="D1273" s="40"/>
      <c r="E1273" s="40"/>
      <c r="F1273" s="42"/>
      <c r="G1273" s="39"/>
      <c r="H1273" s="40"/>
      <c r="I1273" s="40"/>
      <c r="J1273" s="40"/>
      <c r="K1273" s="41"/>
      <c r="L1273" s="39"/>
      <c r="M1273" s="48" t="str">
        <f aca="false">IF($E1273="","",IFERROR(INDEX(Parâmetros!$C$15:$C$20,MATCH($P1273,Parâmetros!$B$15:$B$20,0)),""))</f>
        <v/>
      </c>
      <c r="N1273" s="46" t="str">
        <f aca="false">IF($E1273="","",IF($P1273="","",IF($P1273&gt;=8,"Alta",IF($P1273&gt;=5,"Média","Baixa"))))</f>
        <v/>
      </c>
      <c r="O1273" s="46" t="str">
        <f aca="false">IF($E1273="","",IF(AND(Parâmetros!$C$5&gt;0,$P1273&lt;&gt;"",$P1273&gt;=Parâmetros!$C$5),"Sim","Não"))</f>
        <v/>
      </c>
      <c r="P1273" s="45" t="str">
        <f aca="false">IF($E1273="","",IF($G1273="","",IF($G1273="NOK",$F1273,0)))</f>
        <v/>
      </c>
      <c r="Q1273" s="46" t="str">
        <f aca="false">IF($E1273="","",IF($O1273&lt;&gt;"Sim","",COUNTIF($O$3:$O1273,"Sim")))</f>
        <v/>
      </c>
      <c r="R1273" s="47" t="n">
        <f aca="false">IF($P1273="",0,$P1273)</f>
        <v>0</v>
      </c>
    </row>
    <row r="1274" customFormat="false" ht="18" hidden="false" customHeight="true" outlineLevel="0" collapsed="false">
      <c r="A1274" s="39"/>
      <c r="B1274" s="41"/>
      <c r="C1274" s="40"/>
      <c r="D1274" s="40"/>
      <c r="E1274" s="40"/>
      <c r="F1274" s="42"/>
      <c r="G1274" s="39"/>
      <c r="H1274" s="40"/>
      <c r="I1274" s="40"/>
      <c r="J1274" s="40"/>
      <c r="K1274" s="41"/>
      <c r="L1274" s="39"/>
      <c r="M1274" s="48" t="str">
        <f aca="false">IF($E1274="","",IFERROR(INDEX(Parâmetros!$C$15:$C$20,MATCH($P1274,Parâmetros!$B$15:$B$20,0)),""))</f>
        <v/>
      </c>
      <c r="N1274" s="46" t="str">
        <f aca="false">IF($E1274="","",IF($P1274="","",IF($P1274&gt;=8,"Alta",IF($P1274&gt;=5,"Média","Baixa"))))</f>
        <v/>
      </c>
      <c r="O1274" s="46" t="str">
        <f aca="false">IF($E1274="","",IF(AND(Parâmetros!$C$5&gt;0,$P1274&lt;&gt;"",$P1274&gt;=Parâmetros!$C$5),"Sim","Não"))</f>
        <v/>
      </c>
      <c r="P1274" s="45" t="str">
        <f aca="false">IF($E1274="","",IF($G1274="","",IF($G1274="NOK",$F1274,0)))</f>
        <v/>
      </c>
      <c r="Q1274" s="46" t="str">
        <f aca="false">IF($E1274="","",IF($O1274&lt;&gt;"Sim","",COUNTIF($O$3:$O1274,"Sim")))</f>
        <v/>
      </c>
      <c r="R1274" s="47" t="n">
        <f aca="false">IF($P1274="",0,$P1274)</f>
        <v>0</v>
      </c>
    </row>
    <row r="1275" customFormat="false" ht="18" hidden="false" customHeight="true" outlineLevel="0" collapsed="false">
      <c r="A1275" s="39"/>
      <c r="B1275" s="41"/>
      <c r="C1275" s="40"/>
      <c r="D1275" s="40"/>
      <c r="E1275" s="40"/>
      <c r="F1275" s="42"/>
      <c r="G1275" s="39"/>
      <c r="H1275" s="40"/>
      <c r="I1275" s="40"/>
      <c r="J1275" s="40"/>
      <c r="K1275" s="41"/>
      <c r="L1275" s="39"/>
      <c r="M1275" s="48" t="str">
        <f aca="false">IF($E1275="","",IFERROR(INDEX(Parâmetros!$C$15:$C$20,MATCH($P1275,Parâmetros!$B$15:$B$20,0)),""))</f>
        <v/>
      </c>
      <c r="N1275" s="46" t="str">
        <f aca="false">IF($E1275="","",IF($P1275="","",IF($P1275&gt;=8,"Alta",IF($P1275&gt;=5,"Média","Baixa"))))</f>
        <v/>
      </c>
      <c r="O1275" s="46" t="str">
        <f aca="false">IF($E1275="","",IF(AND(Parâmetros!$C$5&gt;0,$P1275&lt;&gt;"",$P1275&gt;=Parâmetros!$C$5),"Sim","Não"))</f>
        <v/>
      </c>
      <c r="P1275" s="45" t="str">
        <f aca="false">IF($E1275="","",IF($G1275="","",IF($G1275="NOK",$F1275,0)))</f>
        <v/>
      </c>
      <c r="Q1275" s="46" t="str">
        <f aca="false">IF($E1275="","",IF($O1275&lt;&gt;"Sim","",COUNTIF($O$3:$O1275,"Sim")))</f>
        <v/>
      </c>
      <c r="R1275" s="47" t="n">
        <f aca="false">IF($P1275="",0,$P1275)</f>
        <v>0</v>
      </c>
    </row>
    <row r="1276" customFormat="false" ht="18" hidden="false" customHeight="true" outlineLevel="0" collapsed="false">
      <c r="A1276" s="39"/>
      <c r="B1276" s="41"/>
      <c r="C1276" s="40"/>
      <c r="D1276" s="40"/>
      <c r="E1276" s="40"/>
      <c r="F1276" s="42"/>
      <c r="G1276" s="39"/>
      <c r="H1276" s="40"/>
      <c r="I1276" s="40"/>
      <c r="J1276" s="40"/>
      <c r="K1276" s="41"/>
      <c r="L1276" s="39"/>
      <c r="M1276" s="48" t="str">
        <f aca="false">IF($E1276="","",IFERROR(INDEX(Parâmetros!$C$15:$C$20,MATCH($P1276,Parâmetros!$B$15:$B$20,0)),""))</f>
        <v/>
      </c>
      <c r="N1276" s="46" t="str">
        <f aca="false">IF($E1276="","",IF($P1276="","",IF($P1276&gt;=8,"Alta",IF($P1276&gt;=5,"Média","Baixa"))))</f>
        <v/>
      </c>
      <c r="O1276" s="46" t="str">
        <f aca="false">IF($E1276="","",IF(AND(Parâmetros!$C$5&gt;0,$P1276&lt;&gt;"",$P1276&gt;=Parâmetros!$C$5),"Sim","Não"))</f>
        <v/>
      </c>
      <c r="P1276" s="45" t="str">
        <f aca="false">IF($E1276="","",IF($G1276="","",IF($G1276="NOK",$F1276,0)))</f>
        <v/>
      </c>
      <c r="Q1276" s="46" t="str">
        <f aca="false">IF($E1276="","",IF($O1276&lt;&gt;"Sim","",COUNTIF($O$3:$O1276,"Sim")))</f>
        <v/>
      </c>
      <c r="R1276" s="47" t="n">
        <f aca="false">IF($P1276="",0,$P1276)</f>
        <v>0</v>
      </c>
    </row>
    <row r="1277" customFormat="false" ht="18" hidden="false" customHeight="true" outlineLevel="0" collapsed="false">
      <c r="A1277" s="39"/>
      <c r="B1277" s="41"/>
      <c r="C1277" s="40"/>
      <c r="D1277" s="40"/>
      <c r="E1277" s="40"/>
      <c r="F1277" s="42"/>
      <c r="G1277" s="39"/>
      <c r="H1277" s="40"/>
      <c r="I1277" s="40"/>
      <c r="J1277" s="40"/>
      <c r="K1277" s="41"/>
      <c r="L1277" s="39"/>
      <c r="M1277" s="48" t="str">
        <f aca="false">IF($E1277="","",IFERROR(INDEX(Parâmetros!$C$15:$C$20,MATCH($P1277,Parâmetros!$B$15:$B$20,0)),""))</f>
        <v/>
      </c>
      <c r="N1277" s="46" t="str">
        <f aca="false">IF($E1277="","",IF($P1277="","",IF($P1277&gt;=8,"Alta",IF($P1277&gt;=5,"Média","Baixa"))))</f>
        <v/>
      </c>
      <c r="O1277" s="46" t="str">
        <f aca="false">IF($E1277="","",IF(AND(Parâmetros!$C$5&gt;0,$P1277&lt;&gt;"",$P1277&gt;=Parâmetros!$C$5),"Sim","Não"))</f>
        <v/>
      </c>
      <c r="P1277" s="45" t="str">
        <f aca="false">IF($E1277="","",IF($G1277="","",IF($G1277="NOK",$F1277,0)))</f>
        <v/>
      </c>
      <c r="Q1277" s="46" t="str">
        <f aca="false">IF($E1277="","",IF($O1277&lt;&gt;"Sim","",COUNTIF($O$3:$O1277,"Sim")))</f>
        <v/>
      </c>
      <c r="R1277" s="47" t="n">
        <f aca="false">IF($P1277="",0,$P1277)</f>
        <v>0</v>
      </c>
    </row>
    <row r="1278" customFormat="false" ht="18" hidden="false" customHeight="true" outlineLevel="0" collapsed="false">
      <c r="A1278" s="39"/>
      <c r="B1278" s="41"/>
      <c r="C1278" s="40"/>
      <c r="D1278" s="40"/>
      <c r="E1278" s="40"/>
      <c r="F1278" s="42"/>
      <c r="G1278" s="39"/>
      <c r="H1278" s="40"/>
      <c r="I1278" s="40"/>
      <c r="J1278" s="40"/>
      <c r="K1278" s="41"/>
      <c r="L1278" s="39"/>
      <c r="M1278" s="48" t="str">
        <f aca="false">IF($E1278="","",IFERROR(INDEX(Parâmetros!$C$15:$C$20,MATCH($P1278,Parâmetros!$B$15:$B$20,0)),""))</f>
        <v/>
      </c>
      <c r="N1278" s="46" t="str">
        <f aca="false">IF($E1278="","",IF($P1278="","",IF($P1278&gt;=8,"Alta",IF($P1278&gt;=5,"Média","Baixa"))))</f>
        <v/>
      </c>
      <c r="O1278" s="46" t="str">
        <f aca="false">IF($E1278="","",IF(AND(Parâmetros!$C$5&gt;0,$P1278&lt;&gt;"",$P1278&gt;=Parâmetros!$C$5),"Sim","Não"))</f>
        <v/>
      </c>
      <c r="P1278" s="45" t="str">
        <f aca="false">IF($E1278="","",IF($G1278="","",IF($G1278="NOK",$F1278,0)))</f>
        <v/>
      </c>
      <c r="Q1278" s="46" t="str">
        <f aca="false">IF($E1278="","",IF($O1278&lt;&gt;"Sim","",COUNTIF($O$3:$O1278,"Sim")))</f>
        <v/>
      </c>
      <c r="R1278" s="47" t="n">
        <f aca="false">IF($P1278="",0,$P1278)</f>
        <v>0</v>
      </c>
    </row>
    <row r="1279" customFormat="false" ht="18" hidden="false" customHeight="true" outlineLevel="0" collapsed="false">
      <c r="A1279" s="39"/>
      <c r="B1279" s="41"/>
      <c r="C1279" s="40"/>
      <c r="D1279" s="40"/>
      <c r="E1279" s="40"/>
      <c r="F1279" s="42"/>
      <c r="G1279" s="39"/>
      <c r="H1279" s="40"/>
      <c r="I1279" s="40"/>
      <c r="J1279" s="40"/>
      <c r="K1279" s="41"/>
      <c r="L1279" s="39"/>
      <c r="M1279" s="48" t="str">
        <f aca="false">IF($E1279="","",IFERROR(INDEX(Parâmetros!$C$15:$C$20,MATCH($P1279,Parâmetros!$B$15:$B$20,0)),""))</f>
        <v/>
      </c>
      <c r="N1279" s="46" t="str">
        <f aca="false">IF($E1279="","",IF($P1279="","",IF($P1279&gt;=8,"Alta",IF($P1279&gt;=5,"Média","Baixa"))))</f>
        <v/>
      </c>
      <c r="O1279" s="46" t="str">
        <f aca="false">IF($E1279="","",IF(AND(Parâmetros!$C$5&gt;0,$P1279&lt;&gt;"",$P1279&gt;=Parâmetros!$C$5),"Sim","Não"))</f>
        <v/>
      </c>
      <c r="P1279" s="45" t="str">
        <f aca="false">IF($E1279="","",IF($G1279="","",IF($G1279="NOK",$F1279,0)))</f>
        <v/>
      </c>
      <c r="Q1279" s="46" t="str">
        <f aca="false">IF($E1279="","",IF($O1279&lt;&gt;"Sim","",COUNTIF($O$3:$O1279,"Sim")))</f>
        <v/>
      </c>
      <c r="R1279" s="47" t="n">
        <f aca="false">IF($P1279="",0,$P1279)</f>
        <v>0</v>
      </c>
    </row>
    <row r="1280" customFormat="false" ht="18" hidden="false" customHeight="true" outlineLevel="0" collapsed="false">
      <c r="A1280" s="39"/>
      <c r="B1280" s="41"/>
      <c r="C1280" s="40"/>
      <c r="D1280" s="40"/>
      <c r="E1280" s="40"/>
      <c r="F1280" s="42"/>
      <c r="G1280" s="39"/>
      <c r="H1280" s="40"/>
      <c r="I1280" s="40"/>
      <c r="J1280" s="40"/>
      <c r="K1280" s="41"/>
      <c r="L1280" s="39"/>
      <c r="M1280" s="48" t="str">
        <f aca="false">IF($E1280="","",IFERROR(INDEX(Parâmetros!$C$15:$C$20,MATCH($P1280,Parâmetros!$B$15:$B$20,0)),""))</f>
        <v/>
      </c>
      <c r="N1280" s="46" t="str">
        <f aca="false">IF($E1280="","",IF($P1280="","",IF($P1280&gt;=8,"Alta",IF($P1280&gt;=5,"Média","Baixa"))))</f>
        <v/>
      </c>
      <c r="O1280" s="46" t="str">
        <f aca="false">IF($E1280="","",IF(AND(Parâmetros!$C$5&gt;0,$P1280&lt;&gt;"",$P1280&gt;=Parâmetros!$C$5),"Sim","Não"))</f>
        <v/>
      </c>
      <c r="P1280" s="45" t="str">
        <f aca="false">IF($E1280="","",IF($G1280="","",IF($G1280="NOK",$F1280,0)))</f>
        <v/>
      </c>
      <c r="Q1280" s="46" t="str">
        <f aca="false">IF($E1280="","",IF($O1280&lt;&gt;"Sim","",COUNTIF($O$3:$O1280,"Sim")))</f>
        <v/>
      </c>
      <c r="R1280" s="47" t="n">
        <f aca="false">IF($P1280="",0,$P1280)</f>
        <v>0</v>
      </c>
    </row>
    <row r="1281" customFormat="false" ht="18" hidden="false" customHeight="true" outlineLevel="0" collapsed="false">
      <c r="A1281" s="39"/>
      <c r="B1281" s="41"/>
      <c r="C1281" s="40"/>
      <c r="D1281" s="40"/>
      <c r="E1281" s="40"/>
      <c r="F1281" s="42"/>
      <c r="G1281" s="39"/>
      <c r="H1281" s="40"/>
      <c r="I1281" s="40"/>
      <c r="J1281" s="40"/>
      <c r="K1281" s="41"/>
      <c r="L1281" s="39"/>
      <c r="M1281" s="48" t="str">
        <f aca="false">IF($E1281="","",IFERROR(INDEX(Parâmetros!$C$15:$C$20,MATCH($P1281,Parâmetros!$B$15:$B$20,0)),""))</f>
        <v/>
      </c>
      <c r="N1281" s="46" t="str">
        <f aca="false">IF($E1281="","",IF($P1281="","",IF($P1281&gt;=8,"Alta",IF($P1281&gt;=5,"Média","Baixa"))))</f>
        <v/>
      </c>
      <c r="O1281" s="46" t="str">
        <f aca="false">IF($E1281="","",IF(AND(Parâmetros!$C$5&gt;0,$P1281&lt;&gt;"",$P1281&gt;=Parâmetros!$C$5),"Sim","Não"))</f>
        <v/>
      </c>
      <c r="P1281" s="45" t="str">
        <f aca="false">IF($E1281="","",IF($G1281="","",IF($G1281="NOK",$F1281,0)))</f>
        <v/>
      </c>
      <c r="Q1281" s="46" t="str">
        <f aca="false">IF($E1281="","",IF($O1281&lt;&gt;"Sim","",COUNTIF($O$3:$O1281,"Sim")))</f>
        <v/>
      </c>
      <c r="R1281" s="47" t="n">
        <f aca="false">IF($P1281="",0,$P1281)</f>
        <v>0</v>
      </c>
    </row>
    <row r="1282" customFormat="false" ht="18" hidden="false" customHeight="true" outlineLevel="0" collapsed="false">
      <c r="A1282" s="39"/>
      <c r="B1282" s="41"/>
      <c r="C1282" s="40"/>
      <c r="D1282" s="40"/>
      <c r="E1282" s="40"/>
      <c r="F1282" s="42"/>
      <c r="G1282" s="39"/>
      <c r="H1282" s="40"/>
      <c r="I1282" s="40"/>
      <c r="J1282" s="40"/>
      <c r="K1282" s="41"/>
      <c r="L1282" s="39"/>
      <c r="M1282" s="48" t="str">
        <f aca="false">IF($E1282="","",IFERROR(INDEX(Parâmetros!$C$15:$C$20,MATCH($P1282,Parâmetros!$B$15:$B$20,0)),""))</f>
        <v/>
      </c>
      <c r="N1282" s="46" t="str">
        <f aca="false">IF($E1282="","",IF($P1282="","",IF($P1282&gt;=8,"Alta",IF($P1282&gt;=5,"Média","Baixa"))))</f>
        <v/>
      </c>
      <c r="O1282" s="46" t="str">
        <f aca="false">IF($E1282="","",IF(AND(Parâmetros!$C$5&gt;0,$P1282&lt;&gt;"",$P1282&gt;=Parâmetros!$C$5),"Sim","Não"))</f>
        <v/>
      </c>
      <c r="P1282" s="45" t="str">
        <f aca="false">IF($E1282="","",IF($G1282="","",IF($G1282="NOK",$F1282,0)))</f>
        <v/>
      </c>
      <c r="Q1282" s="46" t="str">
        <f aca="false">IF($E1282="","",IF($O1282&lt;&gt;"Sim","",COUNTIF($O$3:$O1282,"Sim")))</f>
        <v/>
      </c>
      <c r="R1282" s="47" t="n">
        <f aca="false">IF($P1282="",0,$P1282)</f>
        <v>0</v>
      </c>
    </row>
    <row r="1283" customFormat="false" ht="18" hidden="false" customHeight="true" outlineLevel="0" collapsed="false">
      <c r="A1283" s="39"/>
      <c r="B1283" s="41"/>
      <c r="C1283" s="40"/>
      <c r="D1283" s="40"/>
      <c r="E1283" s="40"/>
      <c r="F1283" s="42"/>
      <c r="G1283" s="39"/>
      <c r="H1283" s="40"/>
      <c r="I1283" s="40"/>
      <c r="J1283" s="40"/>
      <c r="K1283" s="41"/>
      <c r="L1283" s="39"/>
      <c r="M1283" s="48" t="str">
        <f aca="false">IF($E1283="","",IFERROR(INDEX(Parâmetros!$C$15:$C$20,MATCH($P1283,Parâmetros!$B$15:$B$20,0)),""))</f>
        <v/>
      </c>
      <c r="N1283" s="46" t="str">
        <f aca="false">IF($E1283="","",IF($P1283="","",IF($P1283&gt;=8,"Alta",IF($P1283&gt;=5,"Média","Baixa"))))</f>
        <v/>
      </c>
      <c r="O1283" s="46" t="str">
        <f aca="false">IF($E1283="","",IF(AND(Parâmetros!$C$5&gt;0,$P1283&lt;&gt;"",$P1283&gt;=Parâmetros!$C$5),"Sim","Não"))</f>
        <v/>
      </c>
      <c r="P1283" s="45" t="str">
        <f aca="false">IF($E1283="","",IF($G1283="","",IF($G1283="NOK",$F1283,0)))</f>
        <v/>
      </c>
      <c r="Q1283" s="46" t="str">
        <f aca="false">IF($E1283="","",IF($O1283&lt;&gt;"Sim","",COUNTIF($O$3:$O1283,"Sim")))</f>
        <v/>
      </c>
      <c r="R1283" s="47" t="n">
        <f aca="false">IF($P1283="",0,$P1283)</f>
        <v>0</v>
      </c>
    </row>
    <row r="1284" customFormat="false" ht="18" hidden="false" customHeight="true" outlineLevel="0" collapsed="false">
      <c r="A1284" s="39"/>
      <c r="B1284" s="41"/>
      <c r="C1284" s="40"/>
      <c r="D1284" s="40"/>
      <c r="E1284" s="40"/>
      <c r="F1284" s="42"/>
      <c r="G1284" s="39"/>
      <c r="H1284" s="40"/>
      <c r="I1284" s="40"/>
      <c r="J1284" s="40"/>
      <c r="K1284" s="41"/>
      <c r="L1284" s="39"/>
      <c r="M1284" s="48" t="str">
        <f aca="false">IF($E1284="","",IFERROR(INDEX(Parâmetros!$C$15:$C$20,MATCH($P1284,Parâmetros!$B$15:$B$20,0)),""))</f>
        <v/>
      </c>
      <c r="N1284" s="46" t="str">
        <f aca="false">IF($E1284="","",IF($P1284="","",IF($P1284&gt;=8,"Alta",IF($P1284&gt;=5,"Média","Baixa"))))</f>
        <v/>
      </c>
      <c r="O1284" s="46" t="str">
        <f aca="false">IF($E1284="","",IF(AND(Parâmetros!$C$5&gt;0,$P1284&lt;&gt;"",$P1284&gt;=Parâmetros!$C$5),"Sim","Não"))</f>
        <v/>
      </c>
      <c r="P1284" s="45" t="str">
        <f aca="false">IF($E1284="","",IF($G1284="","",IF($G1284="NOK",$F1284,0)))</f>
        <v/>
      </c>
      <c r="Q1284" s="46" t="str">
        <f aca="false">IF($E1284="","",IF($O1284&lt;&gt;"Sim","",COUNTIF($O$3:$O1284,"Sim")))</f>
        <v/>
      </c>
      <c r="R1284" s="47" t="n">
        <f aca="false">IF($P1284="",0,$P1284)</f>
        <v>0</v>
      </c>
    </row>
    <row r="1285" customFormat="false" ht="18" hidden="false" customHeight="true" outlineLevel="0" collapsed="false">
      <c r="A1285" s="39"/>
      <c r="B1285" s="41"/>
      <c r="C1285" s="40"/>
      <c r="D1285" s="40"/>
      <c r="E1285" s="40"/>
      <c r="F1285" s="42"/>
      <c r="G1285" s="39"/>
      <c r="H1285" s="40"/>
      <c r="I1285" s="40"/>
      <c r="J1285" s="40"/>
      <c r="K1285" s="41"/>
      <c r="L1285" s="39"/>
      <c r="M1285" s="48" t="str">
        <f aca="false">IF($E1285="","",IFERROR(INDEX(Parâmetros!$C$15:$C$20,MATCH($P1285,Parâmetros!$B$15:$B$20,0)),""))</f>
        <v/>
      </c>
      <c r="N1285" s="46" t="str">
        <f aca="false">IF($E1285="","",IF($P1285="","",IF($P1285&gt;=8,"Alta",IF($P1285&gt;=5,"Média","Baixa"))))</f>
        <v/>
      </c>
      <c r="O1285" s="46" t="str">
        <f aca="false">IF($E1285="","",IF(AND(Parâmetros!$C$5&gt;0,$P1285&lt;&gt;"",$P1285&gt;=Parâmetros!$C$5),"Sim","Não"))</f>
        <v/>
      </c>
      <c r="P1285" s="45" t="str">
        <f aca="false">IF($E1285="","",IF($G1285="","",IF($G1285="NOK",$F1285,0)))</f>
        <v/>
      </c>
      <c r="Q1285" s="46" t="str">
        <f aca="false">IF($E1285="","",IF($O1285&lt;&gt;"Sim","",COUNTIF($O$3:$O1285,"Sim")))</f>
        <v/>
      </c>
      <c r="R1285" s="47" t="n">
        <f aca="false">IF($P1285="",0,$P1285)</f>
        <v>0</v>
      </c>
    </row>
    <row r="1286" customFormat="false" ht="18" hidden="false" customHeight="true" outlineLevel="0" collapsed="false">
      <c r="A1286" s="39"/>
      <c r="B1286" s="41"/>
      <c r="C1286" s="40"/>
      <c r="D1286" s="40"/>
      <c r="E1286" s="40"/>
      <c r="F1286" s="42"/>
      <c r="G1286" s="39"/>
      <c r="H1286" s="40"/>
      <c r="I1286" s="40"/>
      <c r="J1286" s="40"/>
      <c r="K1286" s="41"/>
      <c r="L1286" s="39"/>
      <c r="M1286" s="48" t="str">
        <f aca="false">IF($E1286="","",IFERROR(INDEX(Parâmetros!$C$15:$C$20,MATCH($P1286,Parâmetros!$B$15:$B$20,0)),""))</f>
        <v/>
      </c>
      <c r="N1286" s="46" t="str">
        <f aca="false">IF($E1286="","",IF($P1286="","",IF($P1286&gt;=8,"Alta",IF($P1286&gt;=5,"Média","Baixa"))))</f>
        <v/>
      </c>
      <c r="O1286" s="46" t="str">
        <f aca="false">IF($E1286="","",IF(AND(Parâmetros!$C$5&gt;0,$P1286&lt;&gt;"",$P1286&gt;=Parâmetros!$C$5),"Sim","Não"))</f>
        <v/>
      </c>
      <c r="P1286" s="45" t="str">
        <f aca="false">IF($E1286="","",IF($G1286="","",IF($G1286="NOK",$F1286,0)))</f>
        <v/>
      </c>
      <c r="Q1286" s="46" t="str">
        <f aca="false">IF($E1286="","",IF($O1286&lt;&gt;"Sim","",COUNTIF($O$3:$O1286,"Sim")))</f>
        <v/>
      </c>
      <c r="R1286" s="47" t="n">
        <f aca="false">IF($P1286="",0,$P1286)</f>
        <v>0</v>
      </c>
    </row>
    <row r="1287" customFormat="false" ht="18" hidden="false" customHeight="true" outlineLevel="0" collapsed="false">
      <c r="A1287" s="39"/>
      <c r="B1287" s="41"/>
      <c r="C1287" s="40"/>
      <c r="D1287" s="40"/>
      <c r="E1287" s="40"/>
      <c r="F1287" s="42"/>
      <c r="G1287" s="39"/>
      <c r="H1287" s="40"/>
      <c r="I1287" s="40"/>
      <c r="J1287" s="40"/>
      <c r="K1287" s="41"/>
      <c r="L1287" s="39"/>
      <c r="M1287" s="48" t="str">
        <f aca="false">IF($E1287="","",IFERROR(INDEX(Parâmetros!$C$15:$C$20,MATCH($P1287,Parâmetros!$B$15:$B$20,0)),""))</f>
        <v/>
      </c>
      <c r="N1287" s="46" t="str">
        <f aca="false">IF($E1287="","",IF($P1287="","",IF($P1287&gt;=8,"Alta",IF($P1287&gt;=5,"Média","Baixa"))))</f>
        <v/>
      </c>
      <c r="O1287" s="46" t="str">
        <f aca="false">IF($E1287="","",IF(AND(Parâmetros!$C$5&gt;0,$P1287&lt;&gt;"",$P1287&gt;=Parâmetros!$C$5),"Sim","Não"))</f>
        <v/>
      </c>
      <c r="P1287" s="45" t="str">
        <f aca="false">IF($E1287="","",IF($G1287="","",IF($G1287="NOK",$F1287,0)))</f>
        <v/>
      </c>
      <c r="Q1287" s="46" t="str">
        <f aca="false">IF($E1287="","",IF($O1287&lt;&gt;"Sim","",COUNTIF($O$3:$O1287,"Sim")))</f>
        <v/>
      </c>
      <c r="R1287" s="47" t="n">
        <f aca="false">IF($P1287="",0,$P1287)</f>
        <v>0</v>
      </c>
    </row>
    <row r="1288" customFormat="false" ht="18" hidden="false" customHeight="true" outlineLevel="0" collapsed="false">
      <c r="A1288" s="39"/>
      <c r="B1288" s="41"/>
      <c r="C1288" s="40"/>
      <c r="D1288" s="40"/>
      <c r="E1288" s="40"/>
      <c r="F1288" s="42"/>
      <c r="G1288" s="39"/>
      <c r="H1288" s="40"/>
      <c r="I1288" s="40"/>
      <c r="J1288" s="40"/>
      <c r="K1288" s="41"/>
      <c r="L1288" s="39"/>
      <c r="M1288" s="48" t="str">
        <f aca="false">IF($E1288="","",IFERROR(INDEX(Parâmetros!$C$15:$C$20,MATCH($P1288,Parâmetros!$B$15:$B$20,0)),""))</f>
        <v/>
      </c>
      <c r="N1288" s="46" t="str">
        <f aca="false">IF($E1288="","",IF($P1288="","",IF($P1288&gt;=8,"Alta",IF($P1288&gt;=5,"Média","Baixa"))))</f>
        <v/>
      </c>
      <c r="O1288" s="46" t="str">
        <f aca="false">IF($E1288="","",IF(AND(Parâmetros!$C$5&gt;0,$P1288&lt;&gt;"",$P1288&gt;=Parâmetros!$C$5),"Sim","Não"))</f>
        <v/>
      </c>
      <c r="P1288" s="45" t="str">
        <f aca="false">IF($E1288="","",IF($G1288="","",IF($G1288="NOK",$F1288,0)))</f>
        <v/>
      </c>
      <c r="Q1288" s="46" t="str">
        <f aca="false">IF($E1288="","",IF($O1288&lt;&gt;"Sim","",COUNTIF($O$3:$O1288,"Sim")))</f>
        <v/>
      </c>
      <c r="R1288" s="47" t="n">
        <f aca="false">IF($P1288="",0,$P1288)</f>
        <v>0</v>
      </c>
    </row>
    <row r="1289" customFormat="false" ht="18" hidden="false" customHeight="true" outlineLevel="0" collapsed="false">
      <c r="A1289" s="39"/>
      <c r="B1289" s="41"/>
      <c r="C1289" s="40"/>
      <c r="D1289" s="40"/>
      <c r="E1289" s="40"/>
      <c r="F1289" s="42"/>
      <c r="G1289" s="39"/>
      <c r="H1289" s="40"/>
      <c r="I1289" s="40"/>
      <c r="J1289" s="40"/>
      <c r="K1289" s="41"/>
      <c r="L1289" s="39"/>
      <c r="M1289" s="48" t="str">
        <f aca="false">IF($E1289="","",IFERROR(INDEX(Parâmetros!$C$15:$C$20,MATCH($P1289,Parâmetros!$B$15:$B$20,0)),""))</f>
        <v/>
      </c>
      <c r="N1289" s="46" t="str">
        <f aca="false">IF($E1289="","",IF($P1289="","",IF($P1289&gt;=8,"Alta",IF($P1289&gt;=5,"Média","Baixa"))))</f>
        <v/>
      </c>
      <c r="O1289" s="46" t="str">
        <f aca="false">IF($E1289="","",IF(AND(Parâmetros!$C$5&gt;0,$P1289&lt;&gt;"",$P1289&gt;=Parâmetros!$C$5),"Sim","Não"))</f>
        <v/>
      </c>
      <c r="P1289" s="45" t="str">
        <f aca="false">IF($E1289="","",IF($G1289="","",IF($G1289="NOK",$F1289,0)))</f>
        <v/>
      </c>
      <c r="Q1289" s="46" t="str">
        <f aca="false">IF($E1289="","",IF($O1289&lt;&gt;"Sim","",COUNTIF($O$3:$O1289,"Sim")))</f>
        <v/>
      </c>
      <c r="R1289" s="47" t="n">
        <f aca="false">IF($P1289="",0,$P1289)</f>
        <v>0</v>
      </c>
    </row>
    <row r="1290" customFormat="false" ht="18" hidden="false" customHeight="true" outlineLevel="0" collapsed="false">
      <c r="A1290" s="39"/>
      <c r="B1290" s="41"/>
      <c r="C1290" s="40"/>
      <c r="D1290" s="40"/>
      <c r="E1290" s="40"/>
      <c r="F1290" s="42"/>
      <c r="G1290" s="39"/>
      <c r="H1290" s="40"/>
      <c r="I1290" s="40"/>
      <c r="J1290" s="40"/>
      <c r="K1290" s="41"/>
      <c r="L1290" s="39"/>
      <c r="M1290" s="48" t="str">
        <f aca="false">IF($E1290="","",IFERROR(INDEX(Parâmetros!$C$15:$C$20,MATCH($P1290,Parâmetros!$B$15:$B$20,0)),""))</f>
        <v/>
      </c>
      <c r="N1290" s="46" t="str">
        <f aca="false">IF($E1290="","",IF($P1290="","",IF($P1290&gt;=8,"Alta",IF($P1290&gt;=5,"Média","Baixa"))))</f>
        <v/>
      </c>
      <c r="O1290" s="46" t="str">
        <f aca="false">IF($E1290="","",IF(AND(Parâmetros!$C$5&gt;0,$P1290&lt;&gt;"",$P1290&gt;=Parâmetros!$C$5),"Sim","Não"))</f>
        <v/>
      </c>
      <c r="P1290" s="45" t="str">
        <f aca="false">IF($E1290="","",IF($G1290="","",IF($G1290="NOK",$F1290,0)))</f>
        <v/>
      </c>
      <c r="Q1290" s="46" t="str">
        <f aca="false">IF($E1290="","",IF($O1290&lt;&gt;"Sim","",COUNTIF($O$3:$O1290,"Sim")))</f>
        <v/>
      </c>
      <c r="R1290" s="47" t="n">
        <f aca="false">IF($P1290="",0,$P1290)</f>
        <v>0</v>
      </c>
    </row>
    <row r="1291" customFormat="false" ht="18" hidden="false" customHeight="true" outlineLevel="0" collapsed="false">
      <c r="A1291" s="39"/>
      <c r="B1291" s="41"/>
      <c r="C1291" s="40"/>
      <c r="D1291" s="40"/>
      <c r="E1291" s="40"/>
      <c r="F1291" s="42"/>
      <c r="G1291" s="39"/>
      <c r="H1291" s="40"/>
      <c r="I1291" s="40"/>
      <c r="J1291" s="40"/>
      <c r="K1291" s="41"/>
      <c r="L1291" s="39"/>
      <c r="M1291" s="48" t="str">
        <f aca="false">IF($E1291="","",IFERROR(INDEX(Parâmetros!$C$15:$C$20,MATCH($P1291,Parâmetros!$B$15:$B$20,0)),""))</f>
        <v/>
      </c>
      <c r="N1291" s="46" t="str">
        <f aca="false">IF($E1291="","",IF($P1291="","",IF($P1291&gt;=8,"Alta",IF($P1291&gt;=5,"Média","Baixa"))))</f>
        <v/>
      </c>
      <c r="O1291" s="46" t="str">
        <f aca="false">IF($E1291="","",IF(AND(Parâmetros!$C$5&gt;0,$P1291&lt;&gt;"",$P1291&gt;=Parâmetros!$C$5),"Sim","Não"))</f>
        <v/>
      </c>
      <c r="P1291" s="45" t="str">
        <f aca="false">IF($E1291="","",IF($G1291="","",IF($G1291="NOK",$F1291,0)))</f>
        <v/>
      </c>
      <c r="Q1291" s="46" t="str">
        <f aca="false">IF($E1291="","",IF($O1291&lt;&gt;"Sim","",COUNTIF($O$3:$O1291,"Sim")))</f>
        <v/>
      </c>
      <c r="R1291" s="47" t="n">
        <f aca="false">IF($P1291="",0,$P1291)</f>
        <v>0</v>
      </c>
    </row>
    <row r="1292" customFormat="false" ht="18" hidden="false" customHeight="true" outlineLevel="0" collapsed="false">
      <c r="A1292" s="39"/>
      <c r="B1292" s="41"/>
      <c r="C1292" s="40"/>
      <c r="D1292" s="40"/>
      <c r="E1292" s="40"/>
      <c r="F1292" s="42"/>
      <c r="G1292" s="39"/>
      <c r="H1292" s="40"/>
      <c r="I1292" s="40"/>
      <c r="J1292" s="40"/>
      <c r="K1292" s="41"/>
      <c r="L1292" s="39"/>
      <c r="M1292" s="48" t="str">
        <f aca="false">IF($E1292="","",IFERROR(INDEX(Parâmetros!$C$15:$C$20,MATCH($P1292,Parâmetros!$B$15:$B$20,0)),""))</f>
        <v/>
      </c>
      <c r="N1292" s="46" t="str">
        <f aca="false">IF($E1292="","",IF($P1292="","",IF($P1292&gt;=8,"Alta",IF($P1292&gt;=5,"Média","Baixa"))))</f>
        <v/>
      </c>
      <c r="O1292" s="46" t="str">
        <f aca="false">IF($E1292="","",IF(AND(Parâmetros!$C$5&gt;0,$P1292&lt;&gt;"",$P1292&gt;=Parâmetros!$C$5),"Sim","Não"))</f>
        <v/>
      </c>
      <c r="P1292" s="45" t="str">
        <f aca="false">IF($E1292="","",IF($G1292="","",IF($G1292="NOK",$F1292,0)))</f>
        <v/>
      </c>
      <c r="Q1292" s="46" t="str">
        <f aca="false">IF($E1292="","",IF($O1292&lt;&gt;"Sim","",COUNTIF($O$3:$O1292,"Sim")))</f>
        <v/>
      </c>
      <c r="R1292" s="47" t="n">
        <f aca="false">IF($P1292="",0,$P1292)</f>
        <v>0</v>
      </c>
    </row>
    <row r="1293" customFormat="false" ht="18" hidden="false" customHeight="true" outlineLevel="0" collapsed="false">
      <c r="A1293" s="39"/>
      <c r="B1293" s="41"/>
      <c r="C1293" s="40"/>
      <c r="D1293" s="40"/>
      <c r="E1293" s="40"/>
      <c r="F1293" s="42"/>
      <c r="G1293" s="39"/>
      <c r="H1293" s="40"/>
      <c r="I1293" s="40"/>
      <c r="J1293" s="40"/>
      <c r="K1293" s="41"/>
      <c r="L1293" s="39"/>
      <c r="M1293" s="48" t="str">
        <f aca="false">IF($E1293="","",IFERROR(INDEX(Parâmetros!$C$15:$C$20,MATCH($P1293,Parâmetros!$B$15:$B$20,0)),""))</f>
        <v/>
      </c>
      <c r="N1293" s="46" t="str">
        <f aca="false">IF($E1293="","",IF($P1293="","",IF($P1293&gt;=8,"Alta",IF($P1293&gt;=5,"Média","Baixa"))))</f>
        <v/>
      </c>
      <c r="O1293" s="46" t="str">
        <f aca="false">IF($E1293="","",IF(AND(Parâmetros!$C$5&gt;0,$P1293&lt;&gt;"",$P1293&gt;=Parâmetros!$C$5),"Sim","Não"))</f>
        <v/>
      </c>
      <c r="P1293" s="45" t="str">
        <f aca="false">IF($E1293="","",IF($G1293="","",IF($G1293="NOK",$F1293,0)))</f>
        <v/>
      </c>
      <c r="Q1293" s="46" t="str">
        <f aca="false">IF($E1293="","",IF($O1293&lt;&gt;"Sim","",COUNTIF($O$3:$O1293,"Sim")))</f>
        <v/>
      </c>
      <c r="R1293" s="47" t="n">
        <f aca="false">IF($P1293="",0,$P1293)</f>
        <v>0</v>
      </c>
    </row>
    <row r="1294" customFormat="false" ht="18" hidden="false" customHeight="true" outlineLevel="0" collapsed="false">
      <c r="A1294" s="39"/>
      <c r="B1294" s="41"/>
      <c r="C1294" s="40"/>
      <c r="D1294" s="40"/>
      <c r="E1294" s="40"/>
      <c r="F1294" s="42"/>
      <c r="G1294" s="39"/>
      <c r="H1294" s="40"/>
      <c r="I1294" s="40"/>
      <c r="J1294" s="40"/>
      <c r="K1294" s="41"/>
      <c r="L1294" s="39"/>
      <c r="M1294" s="48" t="str">
        <f aca="false">IF($E1294="","",IFERROR(INDEX(Parâmetros!$C$15:$C$20,MATCH($P1294,Parâmetros!$B$15:$B$20,0)),""))</f>
        <v/>
      </c>
      <c r="N1294" s="46" t="str">
        <f aca="false">IF($E1294="","",IF($P1294="","",IF($P1294&gt;=8,"Alta",IF($P1294&gt;=5,"Média","Baixa"))))</f>
        <v/>
      </c>
      <c r="O1294" s="46" t="str">
        <f aca="false">IF($E1294="","",IF(AND(Parâmetros!$C$5&gt;0,$P1294&lt;&gt;"",$P1294&gt;=Parâmetros!$C$5),"Sim","Não"))</f>
        <v/>
      </c>
      <c r="P1294" s="45" t="str">
        <f aca="false">IF($E1294="","",IF($G1294="","",IF($G1294="NOK",$F1294,0)))</f>
        <v/>
      </c>
      <c r="Q1294" s="46" t="str">
        <f aca="false">IF($E1294="","",IF($O1294&lt;&gt;"Sim","",COUNTIF($O$3:$O1294,"Sim")))</f>
        <v/>
      </c>
      <c r="R1294" s="47" t="n">
        <f aca="false">IF($P1294="",0,$P1294)</f>
        <v>0</v>
      </c>
    </row>
    <row r="1295" customFormat="false" ht="18" hidden="false" customHeight="true" outlineLevel="0" collapsed="false">
      <c r="A1295" s="39"/>
      <c r="B1295" s="41"/>
      <c r="C1295" s="40"/>
      <c r="D1295" s="40"/>
      <c r="E1295" s="40"/>
      <c r="F1295" s="42"/>
      <c r="G1295" s="39"/>
      <c r="H1295" s="40"/>
      <c r="I1295" s="40"/>
      <c r="J1295" s="40"/>
      <c r="K1295" s="41"/>
      <c r="L1295" s="39"/>
      <c r="M1295" s="48" t="str">
        <f aca="false">IF($E1295="","",IFERROR(INDEX(Parâmetros!$C$15:$C$20,MATCH($P1295,Parâmetros!$B$15:$B$20,0)),""))</f>
        <v/>
      </c>
      <c r="N1295" s="46" t="str">
        <f aca="false">IF($E1295="","",IF($P1295="","",IF($P1295&gt;=8,"Alta",IF($P1295&gt;=5,"Média","Baixa"))))</f>
        <v/>
      </c>
      <c r="O1295" s="46" t="str">
        <f aca="false">IF($E1295="","",IF(AND(Parâmetros!$C$5&gt;0,$P1295&lt;&gt;"",$P1295&gt;=Parâmetros!$C$5),"Sim","Não"))</f>
        <v/>
      </c>
      <c r="P1295" s="45" t="str">
        <f aca="false">IF($E1295="","",IF($G1295="","",IF($G1295="NOK",$F1295,0)))</f>
        <v/>
      </c>
      <c r="Q1295" s="46" t="str">
        <f aca="false">IF($E1295="","",IF($O1295&lt;&gt;"Sim","",COUNTIF($O$3:$O1295,"Sim")))</f>
        <v/>
      </c>
      <c r="R1295" s="47" t="n">
        <f aca="false">IF($P1295="",0,$P1295)</f>
        <v>0</v>
      </c>
    </row>
    <row r="1296" customFormat="false" ht="18" hidden="false" customHeight="true" outlineLevel="0" collapsed="false">
      <c r="A1296" s="39"/>
      <c r="B1296" s="41"/>
      <c r="C1296" s="40"/>
      <c r="D1296" s="40"/>
      <c r="E1296" s="40"/>
      <c r="F1296" s="42"/>
      <c r="G1296" s="39"/>
      <c r="H1296" s="40"/>
      <c r="I1296" s="40"/>
      <c r="J1296" s="40"/>
      <c r="K1296" s="41"/>
      <c r="L1296" s="39"/>
      <c r="M1296" s="48" t="str">
        <f aca="false">IF($E1296="","",IFERROR(INDEX(Parâmetros!$C$15:$C$20,MATCH($P1296,Parâmetros!$B$15:$B$20,0)),""))</f>
        <v/>
      </c>
      <c r="N1296" s="46" t="str">
        <f aca="false">IF($E1296="","",IF($P1296="","",IF($P1296&gt;=8,"Alta",IF($P1296&gt;=5,"Média","Baixa"))))</f>
        <v/>
      </c>
      <c r="O1296" s="46" t="str">
        <f aca="false">IF($E1296="","",IF(AND(Parâmetros!$C$5&gt;0,$P1296&lt;&gt;"",$P1296&gt;=Parâmetros!$C$5),"Sim","Não"))</f>
        <v/>
      </c>
      <c r="P1296" s="45" t="str">
        <f aca="false">IF($E1296="","",IF($G1296="","",IF($G1296="NOK",$F1296,0)))</f>
        <v/>
      </c>
      <c r="Q1296" s="46" t="str">
        <f aca="false">IF($E1296="","",IF($O1296&lt;&gt;"Sim","",COUNTIF($O$3:$O1296,"Sim")))</f>
        <v/>
      </c>
      <c r="R1296" s="47" t="n">
        <f aca="false">IF($P1296="",0,$P1296)</f>
        <v>0</v>
      </c>
    </row>
    <row r="1297" customFormat="false" ht="18" hidden="false" customHeight="true" outlineLevel="0" collapsed="false">
      <c r="A1297" s="39"/>
      <c r="B1297" s="41"/>
      <c r="C1297" s="40"/>
      <c r="D1297" s="40"/>
      <c r="E1297" s="40"/>
      <c r="F1297" s="42"/>
      <c r="G1297" s="39"/>
      <c r="H1297" s="40"/>
      <c r="I1297" s="40"/>
      <c r="J1297" s="40"/>
      <c r="K1297" s="41"/>
      <c r="L1297" s="39"/>
      <c r="M1297" s="48" t="str">
        <f aca="false">IF($E1297="","",IFERROR(INDEX(Parâmetros!$C$15:$C$20,MATCH($P1297,Parâmetros!$B$15:$B$20,0)),""))</f>
        <v/>
      </c>
      <c r="N1297" s="46" t="str">
        <f aca="false">IF($E1297="","",IF($P1297="","",IF($P1297&gt;=8,"Alta",IF($P1297&gt;=5,"Média","Baixa"))))</f>
        <v/>
      </c>
      <c r="O1297" s="46" t="str">
        <f aca="false">IF($E1297="","",IF(AND(Parâmetros!$C$5&gt;0,$P1297&lt;&gt;"",$P1297&gt;=Parâmetros!$C$5),"Sim","Não"))</f>
        <v/>
      </c>
      <c r="P1297" s="45" t="str">
        <f aca="false">IF($E1297="","",IF($G1297="","",IF($G1297="NOK",$F1297,0)))</f>
        <v/>
      </c>
      <c r="Q1297" s="46" t="str">
        <f aca="false">IF($E1297="","",IF($O1297&lt;&gt;"Sim","",COUNTIF($O$3:$O1297,"Sim")))</f>
        <v/>
      </c>
      <c r="R1297" s="47" t="n">
        <f aca="false">IF($P1297="",0,$P1297)</f>
        <v>0</v>
      </c>
    </row>
    <row r="1298" customFormat="false" ht="18" hidden="false" customHeight="true" outlineLevel="0" collapsed="false">
      <c r="A1298" s="39"/>
      <c r="B1298" s="41"/>
      <c r="C1298" s="40"/>
      <c r="D1298" s="40"/>
      <c r="E1298" s="40"/>
      <c r="F1298" s="42"/>
      <c r="G1298" s="39"/>
      <c r="H1298" s="40"/>
      <c r="I1298" s="40"/>
      <c r="J1298" s="40"/>
      <c r="K1298" s="41"/>
      <c r="L1298" s="39"/>
      <c r="M1298" s="48" t="str">
        <f aca="false">IF($E1298="","",IFERROR(INDEX(Parâmetros!$C$15:$C$20,MATCH($P1298,Parâmetros!$B$15:$B$20,0)),""))</f>
        <v/>
      </c>
      <c r="N1298" s="46" t="str">
        <f aca="false">IF($E1298="","",IF($P1298="","",IF($P1298&gt;=8,"Alta",IF($P1298&gt;=5,"Média","Baixa"))))</f>
        <v/>
      </c>
      <c r="O1298" s="46" t="str">
        <f aca="false">IF($E1298="","",IF(AND(Parâmetros!$C$5&gt;0,$P1298&lt;&gt;"",$P1298&gt;=Parâmetros!$C$5),"Sim","Não"))</f>
        <v/>
      </c>
      <c r="P1298" s="45" t="str">
        <f aca="false">IF($E1298="","",IF($G1298="","",IF($G1298="NOK",$F1298,0)))</f>
        <v/>
      </c>
      <c r="Q1298" s="46" t="str">
        <f aca="false">IF($E1298="","",IF($O1298&lt;&gt;"Sim","",COUNTIF($O$3:$O1298,"Sim")))</f>
        <v/>
      </c>
      <c r="R1298" s="47" t="n">
        <f aca="false">IF($P1298="",0,$P1298)</f>
        <v>0</v>
      </c>
    </row>
    <row r="1299" customFormat="false" ht="18" hidden="false" customHeight="true" outlineLevel="0" collapsed="false">
      <c r="A1299" s="39"/>
      <c r="B1299" s="41"/>
      <c r="C1299" s="40"/>
      <c r="D1299" s="40"/>
      <c r="E1299" s="40"/>
      <c r="F1299" s="42"/>
      <c r="G1299" s="39"/>
      <c r="H1299" s="40"/>
      <c r="I1299" s="40"/>
      <c r="J1299" s="40"/>
      <c r="K1299" s="41"/>
      <c r="L1299" s="39"/>
      <c r="M1299" s="48" t="str">
        <f aca="false">IF($E1299="","",IFERROR(INDEX(Parâmetros!$C$15:$C$20,MATCH($P1299,Parâmetros!$B$15:$B$20,0)),""))</f>
        <v/>
      </c>
      <c r="N1299" s="46" t="str">
        <f aca="false">IF($E1299="","",IF($P1299="","",IF($P1299&gt;=8,"Alta",IF($P1299&gt;=5,"Média","Baixa"))))</f>
        <v/>
      </c>
      <c r="O1299" s="46" t="str">
        <f aca="false">IF($E1299="","",IF(AND(Parâmetros!$C$5&gt;0,$P1299&lt;&gt;"",$P1299&gt;=Parâmetros!$C$5),"Sim","Não"))</f>
        <v/>
      </c>
      <c r="P1299" s="45" t="str">
        <f aca="false">IF($E1299="","",IF($G1299="","",IF($G1299="NOK",$F1299,0)))</f>
        <v/>
      </c>
      <c r="Q1299" s="46" t="str">
        <f aca="false">IF($E1299="","",IF($O1299&lt;&gt;"Sim","",COUNTIF($O$3:$O1299,"Sim")))</f>
        <v/>
      </c>
      <c r="R1299" s="47" t="n">
        <f aca="false">IF($P1299="",0,$P1299)</f>
        <v>0</v>
      </c>
    </row>
    <row r="1300" customFormat="false" ht="18" hidden="false" customHeight="true" outlineLevel="0" collapsed="false">
      <c r="A1300" s="39"/>
      <c r="B1300" s="41"/>
      <c r="C1300" s="40"/>
      <c r="D1300" s="40"/>
      <c r="E1300" s="40"/>
      <c r="F1300" s="42"/>
      <c r="G1300" s="39"/>
      <c r="H1300" s="40"/>
      <c r="I1300" s="40"/>
      <c r="J1300" s="40"/>
      <c r="K1300" s="41"/>
      <c r="L1300" s="39"/>
      <c r="M1300" s="48" t="str">
        <f aca="false">IF($E1300="","",IFERROR(INDEX(Parâmetros!$C$15:$C$20,MATCH($P1300,Parâmetros!$B$15:$B$20,0)),""))</f>
        <v/>
      </c>
      <c r="N1300" s="46" t="str">
        <f aca="false">IF($E1300="","",IF($P1300="","",IF($P1300&gt;=8,"Alta",IF($P1300&gt;=5,"Média","Baixa"))))</f>
        <v/>
      </c>
      <c r="O1300" s="46" t="str">
        <f aca="false">IF($E1300="","",IF(AND(Parâmetros!$C$5&gt;0,$P1300&lt;&gt;"",$P1300&gt;=Parâmetros!$C$5),"Sim","Não"))</f>
        <v/>
      </c>
      <c r="P1300" s="45" t="str">
        <f aca="false">IF($E1300="","",IF($G1300="","",IF($G1300="NOK",$F1300,0)))</f>
        <v/>
      </c>
      <c r="Q1300" s="46" t="str">
        <f aca="false">IF($E1300="","",IF($O1300&lt;&gt;"Sim","",COUNTIF($O$3:$O1300,"Sim")))</f>
        <v/>
      </c>
      <c r="R1300" s="47" t="n">
        <f aca="false">IF($P1300="",0,$P1300)</f>
        <v>0</v>
      </c>
    </row>
    <row r="1301" customFormat="false" ht="18" hidden="false" customHeight="true" outlineLevel="0" collapsed="false">
      <c r="A1301" s="39"/>
      <c r="B1301" s="41"/>
      <c r="C1301" s="40"/>
      <c r="D1301" s="40"/>
      <c r="E1301" s="40"/>
      <c r="F1301" s="42"/>
      <c r="G1301" s="39"/>
      <c r="H1301" s="40"/>
      <c r="I1301" s="40"/>
      <c r="J1301" s="40"/>
      <c r="K1301" s="41"/>
      <c r="L1301" s="39"/>
      <c r="M1301" s="48" t="str">
        <f aca="false">IF($E1301="","",IFERROR(INDEX(Parâmetros!$C$15:$C$20,MATCH($P1301,Parâmetros!$B$15:$B$20,0)),""))</f>
        <v/>
      </c>
      <c r="N1301" s="46" t="str">
        <f aca="false">IF($E1301="","",IF($P1301="","",IF($P1301&gt;=8,"Alta",IF($P1301&gt;=5,"Média","Baixa"))))</f>
        <v/>
      </c>
      <c r="O1301" s="46" t="str">
        <f aca="false">IF($E1301="","",IF(AND(Parâmetros!$C$5&gt;0,$P1301&lt;&gt;"",$P1301&gt;=Parâmetros!$C$5),"Sim","Não"))</f>
        <v/>
      </c>
      <c r="P1301" s="45" t="str">
        <f aca="false">IF($E1301="","",IF($G1301="","",IF($G1301="NOK",$F1301,0)))</f>
        <v/>
      </c>
      <c r="Q1301" s="46" t="str">
        <f aca="false">IF($E1301="","",IF($O1301&lt;&gt;"Sim","",COUNTIF($O$3:$O1301,"Sim")))</f>
        <v/>
      </c>
      <c r="R1301" s="47" t="n">
        <f aca="false">IF($P1301="",0,$P1301)</f>
        <v>0</v>
      </c>
    </row>
    <row r="1302" customFormat="false" ht="18" hidden="false" customHeight="true" outlineLevel="0" collapsed="false">
      <c r="A1302" s="39"/>
      <c r="B1302" s="41"/>
      <c r="C1302" s="40"/>
      <c r="D1302" s="40"/>
      <c r="E1302" s="40"/>
      <c r="F1302" s="42"/>
      <c r="G1302" s="39"/>
      <c r="H1302" s="40"/>
      <c r="I1302" s="40"/>
      <c r="J1302" s="40"/>
      <c r="K1302" s="41"/>
      <c r="L1302" s="39"/>
      <c r="M1302" s="48" t="str">
        <f aca="false">IF($E1302="","",IFERROR(INDEX(Parâmetros!$C$15:$C$20,MATCH($P1302,Parâmetros!$B$15:$B$20,0)),""))</f>
        <v/>
      </c>
      <c r="N1302" s="46" t="str">
        <f aca="false">IF($E1302="","",IF($P1302="","",IF($P1302&gt;=8,"Alta",IF($P1302&gt;=5,"Média","Baixa"))))</f>
        <v/>
      </c>
      <c r="O1302" s="46" t="str">
        <f aca="false">IF($E1302="","",IF(AND(Parâmetros!$C$5&gt;0,$P1302&lt;&gt;"",$P1302&gt;=Parâmetros!$C$5),"Sim","Não"))</f>
        <v/>
      </c>
      <c r="P1302" s="45" t="str">
        <f aca="false">IF($E1302="","",IF($G1302="","",IF($G1302="NOK",$F1302,0)))</f>
        <v/>
      </c>
      <c r="Q1302" s="46" t="str">
        <f aca="false">IF($E1302="","",IF($O1302&lt;&gt;"Sim","",COUNTIF($O$3:$O1302,"Sim")))</f>
        <v/>
      </c>
      <c r="R1302" s="47" t="n">
        <f aca="false">IF($P1302="",0,$P1302)</f>
        <v>0</v>
      </c>
    </row>
    <row r="1303" customFormat="false" ht="18" hidden="false" customHeight="true" outlineLevel="0" collapsed="false">
      <c r="A1303" s="39"/>
      <c r="B1303" s="41"/>
      <c r="C1303" s="40"/>
      <c r="D1303" s="40"/>
      <c r="E1303" s="40"/>
      <c r="F1303" s="42"/>
      <c r="G1303" s="39"/>
      <c r="H1303" s="40"/>
      <c r="I1303" s="40"/>
      <c r="J1303" s="40"/>
      <c r="K1303" s="41"/>
      <c r="L1303" s="39"/>
      <c r="M1303" s="48" t="str">
        <f aca="false">IF($E1303="","",IFERROR(INDEX(Parâmetros!$C$15:$C$20,MATCH($P1303,Parâmetros!$B$15:$B$20,0)),""))</f>
        <v/>
      </c>
      <c r="N1303" s="46" t="str">
        <f aca="false">IF($E1303="","",IF($P1303="","",IF($P1303&gt;=8,"Alta",IF($P1303&gt;=5,"Média","Baixa"))))</f>
        <v/>
      </c>
      <c r="O1303" s="46" t="str">
        <f aca="false">IF($E1303="","",IF(AND(Parâmetros!$C$5&gt;0,$P1303&lt;&gt;"",$P1303&gt;=Parâmetros!$C$5),"Sim","Não"))</f>
        <v/>
      </c>
      <c r="P1303" s="45" t="str">
        <f aca="false">IF($E1303="","",IF($G1303="","",IF($G1303="NOK",$F1303,0)))</f>
        <v/>
      </c>
      <c r="Q1303" s="46" t="str">
        <f aca="false">IF($E1303="","",IF($O1303&lt;&gt;"Sim","",COUNTIF($O$3:$O1303,"Sim")))</f>
        <v/>
      </c>
      <c r="R1303" s="47" t="n">
        <f aca="false">IF($P1303="",0,$P1303)</f>
        <v>0</v>
      </c>
    </row>
    <row r="1304" customFormat="false" ht="18" hidden="false" customHeight="true" outlineLevel="0" collapsed="false">
      <c r="A1304" s="39"/>
      <c r="B1304" s="41"/>
      <c r="C1304" s="40"/>
      <c r="D1304" s="40"/>
      <c r="E1304" s="40"/>
      <c r="F1304" s="42"/>
      <c r="G1304" s="39"/>
      <c r="H1304" s="40"/>
      <c r="I1304" s="40"/>
      <c r="J1304" s="40"/>
      <c r="K1304" s="41"/>
      <c r="L1304" s="39"/>
      <c r="M1304" s="48" t="str">
        <f aca="false">IF($E1304="","",IFERROR(INDEX(Parâmetros!$C$15:$C$20,MATCH($P1304,Parâmetros!$B$15:$B$20,0)),""))</f>
        <v/>
      </c>
      <c r="N1304" s="46" t="str">
        <f aca="false">IF($E1304="","",IF($P1304="","",IF($P1304&gt;=8,"Alta",IF($P1304&gt;=5,"Média","Baixa"))))</f>
        <v/>
      </c>
      <c r="O1304" s="46" t="str">
        <f aca="false">IF($E1304="","",IF(AND(Parâmetros!$C$5&gt;0,$P1304&lt;&gt;"",$P1304&gt;=Parâmetros!$C$5),"Sim","Não"))</f>
        <v/>
      </c>
      <c r="P1304" s="45" t="str">
        <f aca="false">IF($E1304="","",IF($G1304="","",IF($G1304="NOK",$F1304,0)))</f>
        <v/>
      </c>
      <c r="Q1304" s="46" t="str">
        <f aca="false">IF($E1304="","",IF($O1304&lt;&gt;"Sim","",COUNTIF($O$3:$O1304,"Sim")))</f>
        <v/>
      </c>
      <c r="R1304" s="47" t="n">
        <f aca="false">IF($P1304="",0,$P1304)</f>
        <v>0</v>
      </c>
    </row>
    <row r="1305" customFormat="false" ht="18" hidden="false" customHeight="true" outlineLevel="0" collapsed="false">
      <c r="A1305" s="39"/>
      <c r="B1305" s="41"/>
      <c r="C1305" s="40"/>
      <c r="D1305" s="40"/>
      <c r="E1305" s="40"/>
      <c r="F1305" s="42"/>
      <c r="G1305" s="39"/>
      <c r="H1305" s="40"/>
      <c r="I1305" s="40"/>
      <c r="J1305" s="40"/>
      <c r="K1305" s="41"/>
      <c r="L1305" s="39"/>
      <c r="M1305" s="48" t="str">
        <f aca="false">IF($E1305="","",IFERROR(INDEX(Parâmetros!$C$15:$C$20,MATCH($P1305,Parâmetros!$B$15:$B$20,0)),""))</f>
        <v/>
      </c>
      <c r="N1305" s="46" t="str">
        <f aca="false">IF($E1305="","",IF($P1305="","",IF($P1305&gt;=8,"Alta",IF($P1305&gt;=5,"Média","Baixa"))))</f>
        <v/>
      </c>
      <c r="O1305" s="46" t="str">
        <f aca="false">IF($E1305="","",IF(AND(Parâmetros!$C$5&gt;0,$P1305&lt;&gt;"",$P1305&gt;=Parâmetros!$C$5),"Sim","Não"))</f>
        <v/>
      </c>
      <c r="P1305" s="45" t="str">
        <f aca="false">IF($E1305="","",IF($G1305="","",IF($G1305="NOK",$F1305,0)))</f>
        <v/>
      </c>
      <c r="Q1305" s="46" t="str">
        <f aca="false">IF($E1305="","",IF($O1305&lt;&gt;"Sim","",COUNTIF($O$3:$O1305,"Sim")))</f>
        <v/>
      </c>
      <c r="R1305" s="47" t="n">
        <f aca="false">IF($P1305="",0,$P1305)</f>
        <v>0</v>
      </c>
    </row>
    <row r="1306" customFormat="false" ht="18" hidden="false" customHeight="true" outlineLevel="0" collapsed="false">
      <c r="A1306" s="39"/>
      <c r="B1306" s="41"/>
      <c r="C1306" s="40"/>
      <c r="D1306" s="40"/>
      <c r="E1306" s="40"/>
      <c r="F1306" s="42"/>
      <c r="G1306" s="39"/>
      <c r="H1306" s="40"/>
      <c r="I1306" s="40"/>
      <c r="J1306" s="40"/>
      <c r="K1306" s="41"/>
      <c r="L1306" s="39"/>
      <c r="M1306" s="48" t="str">
        <f aca="false">IF($E1306="","",IFERROR(INDEX(Parâmetros!$C$15:$C$20,MATCH($P1306,Parâmetros!$B$15:$B$20,0)),""))</f>
        <v/>
      </c>
      <c r="N1306" s="46" t="str">
        <f aca="false">IF($E1306="","",IF($P1306="","",IF($P1306&gt;=8,"Alta",IF($P1306&gt;=5,"Média","Baixa"))))</f>
        <v/>
      </c>
      <c r="O1306" s="46" t="str">
        <f aca="false">IF($E1306="","",IF(AND(Parâmetros!$C$5&gt;0,$P1306&lt;&gt;"",$P1306&gt;=Parâmetros!$C$5),"Sim","Não"))</f>
        <v/>
      </c>
      <c r="P1306" s="45" t="str">
        <f aca="false">IF($E1306="","",IF($G1306="","",IF($G1306="NOK",$F1306,0)))</f>
        <v/>
      </c>
      <c r="Q1306" s="46" t="str">
        <f aca="false">IF($E1306="","",IF($O1306&lt;&gt;"Sim","",COUNTIF($O$3:$O1306,"Sim")))</f>
        <v/>
      </c>
      <c r="R1306" s="47" t="n">
        <f aca="false">IF($P1306="",0,$P1306)</f>
        <v>0</v>
      </c>
    </row>
    <row r="1307" customFormat="false" ht="18" hidden="false" customHeight="true" outlineLevel="0" collapsed="false">
      <c r="A1307" s="39"/>
      <c r="B1307" s="41"/>
      <c r="C1307" s="40"/>
      <c r="D1307" s="40"/>
      <c r="E1307" s="40"/>
      <c r="F1307" s="42"/>
      <c r="G1307" s="39"/>
      <c r="H1307" s="40"/>
      <c r="I1307" s="40"/>
      <c r="J1307" s="40"/>
      <c r="K1307" s="41"/>
      <c r="L1307" s="39"/>
      <c r="M1307" s="48" t="str">
        <f aca="false">IF($E1307="","",IFERROR(INDEX(Parâmetros!$C$15:$C$20,MATCH($P1307,Parâmetros!$B$15:$B$20,0)),""))</f>
        <v/>
      </c>
      <c r="N1307" s="46" t="str">
        <f aca="false">IF($E1307="","",IF($P1307="","",IF($P1307&gt;=8,"Alta",IF($P1307&gt;=5,"Média","Baixa"))))</f>
        <v/>
      </c>
      <c r="O1307" s="46" t="str">
        <f aca="false">IF($E1307="","",IF(AND(Parâmetros!$C$5&gt;0,$P1307&lt;&gt;"",$P1307&gt;=Parâmetros!$C$5),"Sim","Não"))</f>
        <v/>
      </c>
      <c r="P1307" s="45" t="str">
        <f aca="false">IF($E1307="","",IF($G1307="","",IF($G1307="NOK",$F1307,0)))</f>
        <v/>
      </c>
      <c r="Q1307" s="46" t="str">
        <f aca="false">IF($E1307="","",IF($O1307&lt;&gt;"Sim","",COUNTIF($O$3:$O1307,"Sim")))</f>
        <v/>
      </c>
      <c r="R1307" s="47" t="n">
        <f aca="false">IF($P1307="",0,$P1307)</f>
        <v>0</v>
      </c>
    </row>
    <row r="1308" customFormat="false" ht="18" hidden="false" customHeight="true" outlineLevel="0" collapsed="false">
      <c r="A1308" s="39"/>
      <c r="B1308" s="41"/>
      <c r="C1308" s="40"/>
      <c r="D1308" s="40"/>
      <c r="E1308" s="40"/>
      <c r="F1308" s="42"/>
      <c r="G1308" s="39"/>
      <c r="H1308" s="40"/>
      <c r="I1308" s="40"/>
      <c r="J1308" s="40"/>
      <c r="K1308" s="41"/>
      <c r="L1308" s="39"/>
      <c r="M1308" s="48" t="str">
        <f aca="false">IF($E1308="","",IFERROR(INDEX(Parâmetros!$C$15:$C$20,MATCH($P1308,Parâmetros!$B$15:$B$20,0)),""))</f>
        <v/>
      </c>
      <c r="N1308" s="46" t="str">
        <f aca="false">IF($E1308="","",IF($P1308="","",IF($P1308&gt;=8,"Alta",IF($P1308&gt;=5,"Média","Baixa"))))</f>
        <v/>
      </c>
      <c r="O1308" s="46" t="str">
        <f aca="false">IF($E1308="","",IF(AND(Parâmetros!$C$5&gt;0,$P1308&lt;&gt;"",$P1308&gt;=Parâmetros!$C$5),"Sim","Não"))</f>
        <v/>
      </c>
      <c r="P1308" s="45" t="str">
        <f aca="false">IF($E1308="","",IF($G1308="","",IF($G1308="NOK",$F1308,0)))</f>
        <v/>
      </c>
      <c r="Q1308" s="46" t="str">
        <f aca="false">IF($E1308="","",IF($O1308&lt;&gt;"Sim","",COUNTIF($O$3:$O1308,"Sim")))</f>
        <v/>
      </c>
      <c r="R1308" s="47" t="n">
        <f aca="false">IF($P1308="",0,$P1308)</f>
        <v>0</v>
      </c>
    </row>
    <row r="1309" customFormat="false" ht="18" hidden="false" customHeight="true" outlineLevel="0" collapsed="false">
      <c r="A1309" s="39"/>
      <c r="B1309" s="41"/>
      <c r="C1309" s="40"/>
      <c r="D1309" s="40"/>
      <c r="E1309" s="40"/>
      <c r="F1309" s="42"/>
      <c r="G1309" s="39"/>
      <c r="H1309" s="40"/>
      <c r="I1309" s="40"/>
      <c r="J1309" s="40"/>
      <c r="K1309" s="41"/>
      <c r="L1309" s="39"/>
      <c r="M1309" s="48" t="str">
        <f aca="false">IF($E1309="","",IFERROR(INDEX(Parâmetros!$C$15:$C$20,MATCH($P1309,Parâmetros!$B$15:$B$20,0)),""))</f>
        <v/>
      </c>
      <c r="N1309" s="46" t="str">
        <f aca="false">IF($E1309="","",IF($P1309="","",IF($P1309&gt;=8,"Alta",IF($P1309&gt;=5,"Média","Baixa"))))</f>
        <v/>
      </c>
      <c r="O1309" s="46" t="str">
        <f aca="false">IF($E1309="","",IF(AND(Parâmetros!$C$5&gt;0,$P1309&lt;&gt;"",$P1309&gt;=Parâmetros!$C$5),"Sim","Não"))</f>
        <v/>
      </c>
      <c r="P1309" s="45" t="str">
        <f aca="false">IF($E1309="","",IF($G1309="","",IF($G1309="NOK",$F1309,0)))</f>
        <v/>
      </c>
      <c r="Q1309" s="46" t="str">
        <f aca="false">IF($E1309="","",IF($O1309&lt;&gt;"Sim","",COUNTIF($O$3:$O1309,"Sim")))</f>
        <v/>
      </c>
      <c r="R1309" s="47" t="n">
        <f aca="false">IF($P1309="",0,$P1309)</f>
        <v>0</v>
      </c>
    </row>
    <row r="1310" customFormat="false" ht="18" hidden="false" customHeight="true" outlineLevel="0" collapsed="false">
      <c r="A1310" s="39"/>
      <c r="B1310" s="41"/>
      <c r="C1310" s="40"/>
      <c r="D1310" s="40"/>
      <c r="E1310" s="40"/>
      <c r="F1310" s="42"/>
      <c r="G1310" s="39"/>
      <c r="H1310" s="40"/>
      <c r="I1310" s="40"/>
      <c r="J1310" s="40"/>
      <c r="K1310" s="41"/>
      <c r="L1310" s="39"/>
      <c r="M1310" s="48" t="str">
        <f aca="false">IF($E1310="","",IFERROR(INDEX(Parâmetros!$C$15:$C$20,MATCH($P1310,Parâmetros!$B$15:$B$20,0)),""))</f>
        <v/>
      </c>
      <c r="N1310" s="46" t="str">
        <f aca="false">IF($E1310="","",IF($P1310="","",IF($P1310&gt;=8,"Alta",IF($P1310&gt;=5,"Média","Baixa"))))</f>
        <v/>
      </c>
      <c r="O1310" s="46" t="str">
        <f aca="false">IF($E1310="","",IF(AND(Parâmetros!$C$5&gt;0,$P1310&lt;&gt;"",$P1310&gt;=Parâmetros!$C$5),"Sim","Não"))</f>
        <v/>
      </c>
      <c r="P1310" s="45" t="str">
        <f aca="false">IF($E1310="","",IF($G1310="","",IF($G1310="NOK",$F1310,0)))</f>
        <v/>
      </c>
      <c r="Q1310" s="46" t="str">
        <f aca="false">IF($E1310="","",IF($O1310&lt;&gt;"Sim","",COUNTIF($O$3:$O1310,"Sim")))</f>
        <v/>
      </c>
      <c r="R1310" s="47" t="n">
        <f aca="false">IF($P1310="",0,$P1310)</f>
        <v>0</v>
      </c>
    </row>
    <row r="1311" customFormat="false" ht="18" hidden="false" customHeight="true" outlineLevel="0" collapsed="false">
      <c r="A1311" s="39"/>
      <c r="B1311" s="41"/>
      <c r="C1311" s="40"/>
      <c r="D1311" s="40"/>
      <c r="E1311" s="40"/>
      <c r="F1311" s="42"/>
      <c r="G1311" s="39"/>
      <c r="H1311" s="40"/>
      <c r="I1311" s="40"/>
      <c r="J1311" s="40"/>
      <c r="K1311" s="41"/>
      <c r="L1311" s="39"/>
      <c r="M1311" s="48" t="str">
        <f aca="false">IF($E1311="","",IFERROR(INDEX(Parâmetros!$C$15:$C$20,MATCH($P1311,Parâmetros!$B$15:$B$20,0)),""))</f>
        <v/>
      </c>
      <c r="N1311" s="46" t="str">
        <f aca="false">IF($E1311="","",IF($P1311="","",IF($P1311&gt;=8,"Alta",IF($P1311&gt;=5,"Média","Baixa"))))</f>
        <v/>
      </c>
      <c r="O1311" s="46" t="str">
        <f aca="false">IF($E1311="","",IF(AND(Parâmetros!$C$5&gt;0,$P1311&lt;&gt;"",$P1311&gt;=Parâmetros!$C$5),"Sim","Não"))</f>
        <v/>
      </c>
      <c r="P1311" s="45" t="str">
        <f aca="false">IF($E1311="","",IF($G1311="","",IF($G1311="NOK",$F1311,0)))</f>
        <v/>
      </c>
      <c r="Q1311" s="46" t="str">
        <f aca="false">IF($E1311="","",IF($O1311&lt;&gt;"Sim","",COUNTIF($O$3:$O1311,"Sim")))</f>
        <v/>
      </c>
      <c r="R1311" s="47" t="n">
        <f aca="false">IF($P1311="",0,$P1311)</f>
        <v>0</v>
      </c>
    </row>
    <row r="1312" customFormat="false" ht="18" hidden="false" customHeight="true" outlineLevel="0" collapsed="false">
      <c r="A1312" s="39"/>
      <c r="B1312" s="41"/>
      <c r="C1312" s="40"/>
      <c r="D1312" s="40"/>
      <c r="E1312" s="40"/>
      <c r="F1312" s="42"/>
      <c r="G1312" s="39"/>
      <c r="H1312" s="40"/>
      <c r="I1312" s="40"/>
      <c r="J1312" s="40"/>
      <c r="K1312" s="41"/>
      <c r="L1312" s="39"/>
      <c r="M1312" s="48" t="str">
        <f aca="false">IF($E1312="","",IFERROR(INDEX(Parâmetros!$C$15:$C$20,MATCH($P1312,Parâmetros!$B$15:$B$20,0)),""))</f>
        <v/>
      </c>
      <c r="N1312" s="46" t="str">
        <f aca="false">IF($E1312="","",IF($P1312="","",IF($P1312&gt;=8,"Alta",IF($P1312&gt;=5,"Média","Baixa"))))</f>
        <v/>
      </c>
      <c r="O1312" s="46" t="str">
        <f aca="false">IF($E1312="","",IF(AND(Parâmetros!$C$5&gt;0,$P1312&lt;&gt;"",$P1312&gt;=Parâmetros!$C$5),"Sim","Não"))</f>
        <v/>
      </c>
      <c r="P1312" s="45" t="str">
        <f aca="false">IF($E1312="","",IF($G1312="","",IF($G1312="NOK",$F1312,0)))</f>
        <v/>
      </c>
      <c r="Q1312" s="46" t="str">
        <f aca="false">IF($E1312="","",IF($O1312&lt;&gt;"Sim","",COUNTIF($O$3:$O1312,"Sim")))</f>
        <v/>
      </c>
      <c r="R1312" s="47" t="n">
        <f aca="false">IF($P1312="",0,$P1312)</f>
        <v>0</v>
      </c>
    </row>
    <row r="1313" customFormat="false" ht="18" hidden="false" customHeight="true" outlineLevel="0" collapsed="false">
      <c r="A1313" s="39"/>
      <c r="B1313" s="41"/>
      <c r="C1313" s="40"/>
      <c r="D1313" s="40"/>
      <c r="E1313" s="40"/>
      <c r="F1313" s="42"/>
      <c r="G1313" s="39"/>
      <c r="H1313" s="40"/>
      <c r="I1313" s="40"/>
      <c r="J1313" s="40"/>
      <c r="K1313" s="41"/>
      <c r="L1313" s="39"/>
      <c r="M1313" s="48" t="str">
        <f aca="false">IF($E1313="","",IFERROR(INDEX(Parâmetros!$C$15:$C$20,MATCH($P1313,Parâmetros!$B$15:$B$20,0)),""))</f>
        <v/>
      </c>
      <c r="N1313" s="46" t="str">
        <f aca="false">IF($E1313="","",IF($P1313="","",IF($P1313&gt;=8,"Alta",IF($P1313&gt;=5,"Média","Baixa"))))</f>
        <v/>
      </c>
      <c r="O1313" s="46" t="str">
        <f aca="false">IF($E1313="","",IF(AND(Parâmetros!$C$5&gt;0,$P1313&lt;&gt;"",$P1313&gt;=Parâmetros!$C$5),"Sim","Não"))</f>
        <v/>
      </c>
      <c r="P1313" s="45" t="str">
        <f aca="false">IF($E1313="","",IF($G1313="","",IF($G1313="NOK",$F1313,0)))</f>
        <v/>
      </c>
      <c r="Q1313" s="46" t="str">
        <f aca="false">IF($E1313="","",IF($O1313&lt;&gt;"Sim","",COUNTIF($O$3:$O1313,"Sim")))</f>
        <v/>
      </c>
      <c r="R1313" s="47" t="n">
        <f aca="false">IF($P1313="",0,$P1313)</f>
        <v>0</v>
      </c>
    </row>
    <row r="1314" customFormat="false" ht="18" hidden="false" customHeight="true" outlineLevel="0" collapsed="false">
      <c r="A1314" s="39"/>
      <c r="B1314" s="41"/>
      <c r="C1314" s="40"/>
      <c r="D1314" s="40"/>
      <c r="E1314" s="40"/>
      <c r="F1314" s="42"/>
      <c r="G1314" s="39"/>
      <c r="H1314" s="40"/>
      <c r="I1314" s="40"/>
      <c r="J1314" s="40"/>
      <c r="K1314" s="41"/>
      <c r="L1314" s="39"/>
      <c r="M1314" s="48" t="str">
        <f aca="false">IF($E1314="","",IFERROR(INDEX(Parâmetros!$C$15:$C$20,MATCH($P1314,Parâmetros!$B$15:$B$20,0)),""))</f>
        <v/>
      </c>
      <c r="N1314" s="46" t="str">
        <f aca="false">IF($E1314="","",IF($P1314="","",IF($P1314&gt;=8,"Alta",IF($P1314&gt;=5,"Média","Baixa"))))</f>
        <v/>
      </c>
      <c r="O1314" s="46" t="str">
        <f aca="false">IF($E1314="","",IF(AND(Parâmetros!$C$5&gt;0,$P1314&lt;&gt;"",$P1314&gt;=Parâmetros!$C$5),"Sim","Não"))</f>
        <v/>
      </c>
      <c r="P1314" s="45" t="str">
        <f aca="false">IF($E1314="","",IF($G1314="","",IF($G1314="NOK",$F1314,0)))</f>
        <v/>
      </c>
      <c r="Q1314" s="46" t="str">
        <f aca="false">IF($E1314="","",IF($O1314&lt;&gt;"Sim","",COUNTIF($O$3:$O1314,"Sim")))</f>
        <v/>
      </c>
      <c r="R1314" s="47" t="n">
        <f aca="false">IF($P1314="",0,$P1314)</f>
        <v>0</v>
      </c>
    </row>
    <row r="1315" customFormat="false" ht="18" hidden="false" customHeight="true" outlineLevel="0" collapsed="false">
      <c r="A1315" s="39"/>
      <c r="B1315" s="41"/>
      <c r="C1315" s="40"/>
      <c r="D1315" s="40"/>
      <c r="E1315" s="40"/>
      <c r="F1315" s="42"/>
      <c r="G1315" s="39"/>
      <c r="H1315" s="40"/>
      <c r="I1315" s="40"/>
      <c r="J1315" s="40"/>
      <c r="K1315" s="41"/>
      <c r="L1315" s="39"/>
      <c r="M1315" s="48" t="str">
        <f aca="false">IF($E1315="","",IFERROR(INDEX(Parâmetros!$C$15:$C$20,MATCH($P1315,Parâmetros!$B$15:$B$20,0)),""))</f>
        <v/>
      </c>
      <c r="N1315" s="46" t="str">
        <f aca="false">IF($E1315="","",IF($P1315="","",IF($P1315&gt;=8,"Alta",IF($P1315&gt;=5,"Média","Baixa"))))</f>
        <v/>
      </c>
      <c r="O1315" s="46" t="str">
        <f aca="false">IF($E1315="","",IF(AND(Parâmetros!$C$5&gt;0,$P1315&lt;&gt;"",$P1315&gt;=Parâmetros!$C$5),"Sim","Não"))</f>
        <v/>
      </c>
      <c r="P1315" s="45" t="str">
        <f aca="false">IF($E1315="","",IF($G1315="","",IF($G1315="NOK",$F1315,0)))</f>
        <v/>
      </c>
      <c r="Q1315" s="46" t="str">
        <f aca="false">IF($E1315="","",IF($O1315&lt;&gt;"Sim","",COUNTIF($O$3:$O1315,"Sim")))</f>
        <v/>
      </c>
      <c r="R1315" s="47" t="n">
        <f aca="false">IF($P1315="",0,$P1315)</f>
        <v>0</v>
      </c>
    </row>
    <row r="1316" customFormat="false" ht="18" hidden="false" customHeight="true" outlineLevel="0" collapsed="false">
      <c r="A1316" s="39"/>
      <c r="B1316" s="41"/>
      <c r="C1316" s="40"/>
      <c r="D1316" s="40"/>
      <c r="E1316" s="40"/>
      <c r="F1316" s="42"/>
      <c r="G1316" s="39"/>
      <c r="H1316" s="40"/>
      <c r="I1316" s="40"/>
      <c r="J1316" s="40"/>
      <c r="K1316" s="41"/>
      <c r="L1316" s="39"/>
      <c r="M1316" s="48" t="str">
        <f aca="false">IF($E1316="","",IFERROR(INDEX(Parâmetros!$C$15:$C$20,MATCH($P1316,Parâmetros!$B$15:$B$20,0)),""))</f>
        <v/>
      </c>
      <c r="N1316" s="46" t="str">
        <f aca="false">IF($E1316="","",IF($P1316="","",IF($P1316&gt;=8,"Alta",IF($P1316&gt;=5,"Média","Baixa"))))</f>
        <v/>
      </c>
      <c r="O1316" s="46" t="str">
        <f aca="false">IF($E1316="","",IF(AND(Parâmetros!$C$5&gt;0,$P1316&lt;&gt;"",$P1316&gt;=Parâmetros!$C$5),"Sim","Não"))</f>
        <v/>
      </c>
      <c r="P1316" s="45" t="str">
        <f aca="false">IF($E1316="","",IF($G1316="","",IF($G1316="NOK",$F1316,0)))</f>
        <v/>
      </c>
      <c r="Q1316" s="46" t="str">
        <f aca="false">IF($E1316="","",IF($O1316&lt;&gt;"Sim","",COUNTIF($O$3:$O1316,"Sim")))</f>
        <v/>
      </c>
      <c r="R1316" s="47" t="n">
        <f aca="false">IF($P1316="",0,$P1316)</f>
        <v>0</v>
      </c>
    </row>
    <row r="1317" customFormat="false" ht="18" hidden="false" customHeight="true" outlineLevel="0" collapsed="false">
      <c r="A1317" s="39"/>
      <c r="B1317" s="41"/>
      <c r="C1317" s="40"/>
      <c r="D1317" s="40"/>
      <c r="E1317" s="40"/>
      <c r="F1317" s="42"/>
      <c r="G1317" s="39"/>
      <c r="H1317" s="40"/>
      <c r="I1317" s="40"/>
      <c r="J1317" s="40"/>
      <c r="K1317" s="41"/>
      <c r="L1317" s="39"/>
      <c r="M1317" s="48" t="str">
        <f aca="false">IF($E1317="","",IFERROR(INDEX(Parâmetros!$C$15:$C$20,MATCH($P1317,Parâmetros!$B$15:$B$20,0)),""))</f>
        <v/>
      </c>
      <c r="N1317" s="46" t="str">
        <f aca="false">IF($E1317="","",IF($P1317="","",IF($P1317&gt;=8,"Alta",IF($P1317&gt;=5,"Média","Baixa"))))</f>
        <v/>
      </c>
      <c r="O1317" s="46" t="str">
        <f aca="false">IF($E1317="","",IF(AND(Parâmetros!$C$5&gt;0,$P1317&lt;&gt;"",$P1317&gt;=Parâmetros!$C$5),"Sim","Não"))</f>
        <v/>
      </c>
      <c r="P1317" s="45" t="str">
        <f aca="false">IF($E1317="","",IF($G1317="","",IF($G1317="NOK",$F1317,0)))</f>
        <v/>
      </c>
      <c r="Q1317" s="46" t="str">
        <f aca="false">IF($E1317="","",IF($O1317&lt;&gt;"Sim","",COUNTIF($O$3:$O1317,"Sim")))</f>
        <v/>
      </c>
      <c r="R1317" s="47" t="n">
        <f aca="false">IF($P1317="",0,$P1317)</f>
        <v>0</v>
      </c>
    </row>
    <row r="1318" customFormat="false" ht="18" hidden="false" customHeight="true" outlineLevel="0" collapsed="false">
      <c r="A1318" s="39"/>
      <c r="B1318" s="41"/>
      <c r="C1318" s="40"/>
      <c r="D1318" s="40"/>
      <c r="E1318" s="40"/>
      <c r="F1318" s="42"/>
      <c r="G1318" s="39"/>
      <c r="H1318" s="40"/>
      <c r="I1318" s="40"/>
      <c r="J1318" s="40"/>
      <c r="K1318" s="41"/>
      <c r="L1318" s="39"/>
      <c r="M1318" s="48" t="str">
        <f aca="false">IF($E1318="","",IFERROR(INDEX(Parâmetros!$C$15:$C$20,MATCH($P1318,Parâmetros!$B$15:$B$20,0)),""))</f>
        <v/>
      </c>
      <c r="N1318" s="46" t="str">
        <f aca="false">IF($E1318="","",IF($P1318="","",IF($P1318&gt;=8,"Alta",IF($P1318&gt;=5,"Média","Baixa"))))</f>
        <v/>
      </c>
      <c r="O1318" s="46" t="str">
        <f aca="false">IF($E1318="","",IF(AND(Parâmetros!$C$5&gt;0,$P1318&lt;&gt;"",$P1318&gt;=Parâmetros!$C$5),"Sim","Não"))</f>
        <v/>
      </c>
      <c r="P1318" s="45" t="str">
        <f aca="false">IF($E1318="","",IF($G1318="","",IF($G1318="NOK",$F1318,0)))</f>
        <v/>
      </c>
      <c r="Q1318" s="46" t="str">
        <f aca="false">IF($E1318="","",IF($O1318&lt;&gt;"Sim","",COUNTIF($O$3:$O1318,"Sim")))</f>
        <v/>
      </c>
      <c r="R1318" s="47" t="n">
        <f aca="false">IF($P1318="",0,$P1318)</f>
        <v>0</v>
      </c>
    </row>
    <row r="1319" customFormat="false" ht="18" hidden="false" customHeight="true" outlineLevel="0" collapsed="false">
      <c r="A1319" s="39"/>
      <c r="B1319" s="41"/>
      <c r="C1319" s="40"/>
      <c r="D1319" s="40"/>
      <c r="E1319" s="40"/>
      <c r="F1319" s="42"/>
      <c r="G1319" s="39"/>
      <c r="H1319" s="40"/>
      <c r="I1319" s="40"/>
      <c r="J1319" s="40"/>
      <c r="K1319" s="41"/>
      <c r="L1319" s="39"/>
      <c r="M1319" s="48" t="str">
        <f aca="false">IF($E1319="","",IFERROR(INDEX(Parâmetros!$C$15:$C$20,MATCH($P1319,Parâmetros!$B$15:$B$20,0)),""))</f>
        <v/>
      </c>
      <c r="N1319" s="46" t="str">
        <f aca="false">IF($E1319="","",IF($P1319="","",IF($P1319&gt;=8,"Alta",IF($P1319&gt;=5,"Média","Baixa"))))</f>
        <v/>
      </c>
      <c r="O1319" s="46" t="str">
        <f aca="false">IF($E1319="","",IF(AND(Parâmetros!$C$5&gt;0,$P1319&lt;&gt;"",$P1319&gt;=Parâmetros!$C$5),"Sim","Não"))</f>
        <v/>
      </c>
      <c r="P1319" s="45" t="str">
        <f aca="false">IF($E1319="","",IF($G1319="","",IF($G1319="NOK",$F1319,0)))</f>
        <v/>
      </c>
      <c r="Q1319" s="46" t="str">
        <f aca="false">IF($E1319="","",IF($O1319&lt;&gt;"Sim","",COUNTIF($O$3:$O1319,"Sim")))</f>
        <v/>
      </c>
      <c r="R1319" s="47" t="n">
        <f aca="false">IF($P1319="",0,$P1319)</f>
        <v>0</v>
      </c>
    </row>
    <row r="1320" customFormat="false" ht="18" hidden="false" customHeight="true" outlineLevel="0" collapsed="false">
      <c r="A1320" s="39"/>
      <c r="B1320" s="41"/>
      <c r="C1320" s="40"/>
      <c r="D1320" s="40"/>
      <c r="E1320" s="40"/>
      <c r="F1320" s="42"/>
      <c r="G1320" s="39"/>
      <c r="H1320" s="40"/>
      <c r="I1320" s="40"/>
      <c r="J1320" s="40"/>
      <c r="K1320" s="41"/>
      <c r="L1320" s="39"/>
      <c r="M1320" s="48" t="str">
        <f aca="false">IF($E1320="","",IFERROR(INDEX(Parâmetros!$C$15:$C$20,MATCH($P1320,Parâmetros!$B$15:$B$20,0)),""))</f>
        <v/>
      </c>
      <c r="N1320" s="46" t="str">
        <f aca="false">IF($E1320="","",IF($P1320="","",IF($P1320&gt;=8,"Alta",IF($P1320&gt;=5,"Média","Baixa"))))</f>
        <v/>
      </c>
      <c r="O1320" s="46" t="str">
        <f aca="false">IF($E1320="","",IF(AND(Parâmetros!$C$5&gt;0,$P1320&lt;&gt;"",$P1320&gt;=Parâmetros!$C$5),"Sim","Não"))</f>
        <v/>
      </c>
      <c r="P1320" s="45" t="str">
        <f aca="false">IF($E1320="","",IF($G1320="","",IF($G1320="NOK",$F1320,0)))</f>
        <v/>
      </c>
      <c r="Q1320" s="46" t="str">
        <f aca="false">IF($E1320="","",IF($O1320&lt;&gt;"Sim","",COUNTIF($O$3:$O1320,"Sim")))</f>
        <v/>
      </c>
      <c r="R1320" s="47" t="n">
        <f aca="false">IF($P1320="",0,$P1320)</f>
        <v>0</v>
      </c>
    </row>
    <row r="1321" customFormat="false" ht="18" hidden="false" customHeight="true" outlineLevel="0" collapsed="false">
      <c r="A1321" s="39"/>
      <c r="B1321" s="41"/>
      <c r="C1321" s="40"/>
      <c r="D1321" s="40"/>
      <c r="E1321" s="40"/>
      <c r="F1321" s="42"/>
      <c r="G1321" s="39"/>
      <c r="H1321" s="40"/>
      <c r="I1321" s="40"/>
      <c r="J1321" s="40"/>
      <c r="K1321" s="41"/>
      <c r="L1321" s="39"/>
      <c r="M1321" s="48" t="str">
        <f aca="false">IF($E1321="","",IFERROR(INDEX(Parâmetros!$C$15:$C$20,MATCH($P1321,Parâmetros!$B$15:$B$20,0)),""))</f>
        <v/>
      </c>
      <c r="N1321" s="46" t="str">
        <f aca="false">IF($E1321="","",IF($P1321="","",IF($P1321&gt;=8,"Alta",IF($P1321&gt;=5,"Média","Baixa"))))</f>
        <v/>
      </c>
      <c r="O1321" s="46" t="str">
        <f aca="false">IF($E1321="","",IF(AND(Parâmetros!$C$5&gt;0,$P1321&lt;&gt;"",$P1321&gt;=Parâmetros!$C$5),"Sim","Não"))</f>
        <v/>
      </c>
      <c r="P1321" s="45" t="str">
        <f aca="false">IF($E1321="","",IF($G1321="","",IF($G1321="NOK",$F1321,0)))</f>
        <v/>
      </c>
      <c r="Q1321" s="46" t="str">
        <f aca="false">IF($E1321="","",IF($O1321&lt;&gt;"Sim","",COUNTIF($O$3:$O1321,"Sim")))</f>
        <v/>
      </c>
      <c r="R1321" s="47" t="n">
        <f aca="false">IF($P1321="",0,$P1321)</f>
        <v>0</v>
      </c>
    </row>
    <row r="1322" customFormat="false" ht="18" hidden="false" customHeight="true" outlineLevel="0" collapsed="false">
      <c r="A1322" s="39"/>
      <c r="B1322" s="41"/>
      <c r="C1322" s="40"/>
      <c r="D1322" s="40"/>
      <c r="E1322" s="40"/>
      <c r="F1322" s="42"/>
      <c r="G1322" s="39"/>
      <c r="H1322" s="40"/>
      <c r="I1322" s="40"/>
      <c r="J1322" s="40"/>
      <c r="K1322" s="41"/>
      <c r="L1322" s="39"/>
      <c r="M1322" s="48" t="str">
        <f aca="false">IF($E1322="","",IFERROR(INDEX(Parâmetros!$C$15:$C$20,MATCH($P1322,Parâmetros!$B$15:$B$20,0)),""))</f>
        <v/>
      </c>
      <c r="N1322" s="46" t="str">
        <f aca="false">IF($E1322="","",IF($P1322="","",IF($P1322&gt;=8,"Alta",IF($P1322&gt;=5,"Média","Baixa"))))</f>
        <v/>
      </c>
      <c r="O1322" s="46" t="str">
        <f aca="false">IF($E1322="","",IF(AND(Parâmetros!$C$5&gt;0,$P1322&lt;&gt;"",$P1322&gt;=Parâmetros!$C$5),"Sim","Não"))</f>
        <v/>
      </c>
      <c r="P1322" s="45" t="str">
        <f aca="false">IF($E1322="","",IF($G1322="","",IF($G1322="NOK",$F1322,0)))</f>
        <v/>
      </c>
      <c r="Q1322" s="46" t="str">
        <f aca="false">IF($E1322="","",IF($O1322&lt;&gt;"Sim","",COUNTIF($O$3:$O1322,"Sim")))</f>
        <v/>
      </c>
      <c r="R1322" s="47" t="n">
        <f aca="false">IF($P1322="",0,$P1322)</f>
        <v>0</v>
      </c>
    </row>
    <row r="1323" customFormat="false" ht="18" hidden="false" customHeight="true" outlineLevel="0" collapsed="false">
      <c r="A1323" s="39"/>
      <c r="B1323" s="41"/>
      <c r="C1323" s="40"/>
      <c r="D1323" s="40"/>
      <c r="E1323" s="40"/>
      <c r="F1323" s="42"/>
      <c r="G1323" s="39"/>
      <c r="H1323" s="40"/>
      <c r="I1323" s="40"/>
      <c r="J1323" s="40"/>
      <c r="K1323" s="41"/>
      <c r="L1323" s="39"/>
      <c r="M1323" s="48" t="str">
        <f aca="false">IF($E1323="","",IFERROR(INDEX(Parâmetros!$C$15:$C$20,MATCH($P1323,Parâmetros!$B$15:$B$20,0)),""))</f>
        <v/>
      </c>
      <c r="N1323" s="46" t="str">
        <f aca="false">IF($E1323="","",IF($P1323="","",IF($P1323&gt;=8,"Alta",IF($P1323&gt;=5,"Média","Baixa"))))</f>
        <v/>
      </c>
      <c r="O1323" s="46" t="str">
        <f aca="false">IF($E1323="","",IF(AND(Parâmetros!$C$5&gt;0,$P1323&lt;&gt;"",$P1323&gt;=Parâmetros!$C$5),"Sim","Não"))</f>
        <v/>
      </c>
      <c r="P1323" s="45" t="str">
        <f aca="false">IF($E1323="","",IF($G1323="","",IF($G1323="NOK",$F1323,0)))</f>
        <v/>
      </c>
      <c r="Q1323" s="46" t="str">
        <f aca="false">IF($E1323="","",IF($O1323&lt;&gt;"Sim","",COUNTIF($O$3:$O1323,"Sim")))</f>
        <v/>
      </c>
      <c r="R1323" s="47" t="n">
        <f aca="false">IF($P1323="",0,$P1323)</f>
        <v>0</v>
      </c>
    </row>
    <row r="1324" customFormat="false" ht="18" hidden="false" customHeight="true" outlineLevel="0" collapsed="false">
      <c r="A1324" s="39"/>
      <c r="B1324" s="41"/>
      <c r="C1324" s="40"/>
      <c r="D1324" s="40"/>
      <c r="E1324" s="40"/>
      <c r="F1324" s="42"/>
      <c r="G1324" s="39"/>
      <c r="H1324" s="40"/>
      <c r="I1324" s="40"/>
      <c r="J1324" s="40"/>
      <c r="K1324" s="41"/>
      <c r="L1324" s="39"/>
      <c r="M1324" s="48" t="str">
        <f aca="false">IF($E1324="","",IFERROR(INDEX(Parâmetros!$C$15:$C$20,MATCH($P1324,Parâmetros!$B$15:$B$20,0)),""))</f>
        <v/>
      </c>
      <c r="N1324" s="46" t="str">
        <f aca="false">IF($E1324="","",IF($P1324="","",IF($P1324&gt;=8,"Alta",IF($P1324&gt;=5,"Média","Baixa"))))</f>
        <v/>
      </c>
      <c r="O1324" s="46" t="str">
        <f aca="false">IF($E1324="","",IF(AND(Parâmetros!$C$5&gt;0,$P1324&lt;&gt;"",$P1324&gt;=Parâmetros!$C$5),"Sim","Não"))</f>
        <v/>
      </c>
      <c r="P1324" s="45" t="str">
        <f aca="false">IF($E1324="","",IF($G1324="","",IF($G1324="NOK",$F1324,0)))</f>
        <v/>
      </c>
      <c r="Q1324" s="46" t="str">
        <f aca="false">IF($E1324="","",IF($O1324&lt;&gt;"Sim","",COUNTIF($O$3:$O1324,"Sim")))</f>
        <v/>
      </c>
      <c r="R1324" s="47" t="n">
        <f aca="false">IF($P1324="",0,$P1324)</f>
        <v>0</v>
      </c>
    </row>
    <row r="1325" customFormat="false" ht="18" hidden="false" customHeight="true" outlineLevel="0" collapsed="false">
      <c r="A1325" s="39"/>
      <c r="B1325" s="41"/>
      <c r="C1325" s="40"/>
      <c r="D1325" s="40"/>
      <c r="E1325" s="40"/>
      <c r="F1325" s="42"/>
      <c r="G1325" s="39"/>
      <c r="H1325" s="40"/>
      <c r="I1325" s="40"/>
      <c r="J1325" s="40"/>
      <c r="K1325" s="41"/>
      <c r="L1325" s="39"/>
      <c r="M1325" s="48" t="str">
        <f aca="false">IF($E1325="","",IFERROR(INDEX(Parâmetros!$C$15:$C$20,MATCH($P1325,Parâmetros!$B$15:$B$20,0)),""))</f>
        <v/>
      </c>
      <c r="N1325" s="46" t="str">
        <f aca="false">IF($E1325="","",IF($P1325="","",IF($P1325&gt;=8,"Alta",IF($P1325&gt;=5,"Média","Baixa"))))</f>
        <v/>
      </c>
      <c r="O1325" s="46" t="str">
        <f aca="false">IF($E1325="","",IF(AND(Parâmetros!$C$5&gt;0,$P1325&lt;&gt;"",$P1325&gt;=Parâmetros!$C$5),"Sim","Não"))</f>
        <v/>
      </c>
      <c r="P1325" s="45" t="str">
        <f aca="false">IF($E1325="","",IF($G1325="","",IF($G1325="NOK",$F1325,0)))</f>
        <v/>
      </c>
      <c r="Q1325" s="46" t="str">
        <f aca="false">IF($E1325="","",IF($O1325&lt;&gt;"Sim","",COUNTIF($O$3:$O1325,"Sim")))</f>
        <v/>
      </c>
      <c r="R1325" s="47" t="n">
        <f aca="false">IF($P1325="",0,$P1325)</f>
        <v>0</v>
      </c>
    </row>
    <row r="1326" customFormat="false" ht="18" hidden="false" customHeight="true" outlineLevel="0" collapsed="false">
      <c r="A1326" s="39"/>
      <c r="B1326" s="41"/>
      <c r="C1326" s="40"/>
      <c r="D1326" s="40"/>
      <c r="E1326" s="40"/>
      <c r="F1326" s="42"/>
      <c r="G1326" s="39"/>
      <c r="H1326" s="40"/>
      <c r="I1326" s="40"/>
      <c r="J1326" s="40"/>
      <c r="K1326" s="41"/>
      <c r="L1326" s="39"/>
      <c r="M1326" s="48" t="str">
        <f aca="false">IF($E1326="","",IFERROR(INDEX(Parâmetros!$C$15:$C$20,MATCH($P1326,Parâmetros!$B$15:$B$20,0)),""))</f>
        <v/>
      </c>
      <c r="N1326" s="46" t="str">
        <f aca="false">IF($E1326="","",IF($P1326="","",IF($P1326&gt;=8,"Alta",IF($P1326&gt;=5,"Média","Baixa"))))</f>
        <v/>
      </c>
      <c r="O1326" s="46" t="str">
        <f aca="false">IF($E1326="","",IF(AND(Parâmetros!$C$5&gt;0,$P1326&lt;&gt;"",$P1326&gt;=Parâmetros!$C$5),"Sim","Não"))</f>
        <v/>
      </c>
      <c r="P1326" s="45" t="str">
        <f aca="false">IF($E1326="","",IF($G1326="","",IF($G1326="NOK",$F1326,0)))</f>
        <v/>
      </c>
      <c r="Q1326" s="46" t="str">
        <f aca="false">IF($E1326="","",IF($O1326&lt;&gt;"Sim","",COUNTIF($O$3:$O1326,"Sim")))</f>
        <v/>
      </c>
      <c r="R1326" s="47" t="n">
        <f aca="false">IF($P1326="",0,$P1326)</f>
        <v>0</v>
      </c>
    </row>
    <row r="1327" customFormat="false" ht="18" hidden="false" customHeight="true" outlineLevel="0" collapsed="false">
      <c r="A1327" s="39"/>
      <c r="B1327" s="41"/>
      <c r="C1327" s="40"/>
      <c r="D1327" s="40"/>
      <c r="E1327" s="40"/>
      <c r="F1327" s="42"/>
      <c r="G1327" s="39"/>
      <c r="H1327" s="40"/>
      <c r="I1327" s="40"/>
      <c r="J1327" s="40"/>
      <c r="K1327" s="41"/>
      <c r="L1327" s="39"/>
      <c r="M1327" s="48" t="str">
        <f aca="false">IF($E1327="","",IFERROR(INDEX(Parâmetros!$C$15:$C$20,MATCH($P1327,Parâmetros!$B$15:$B$20,0)),""))</f>
        <v/>
      </c>
      <c r="N1327" s="46" t="str">
        <f aca="false">IF($E1327="","",IF($P1327="","",IF($P1327&gt;=8,"Alta",IF($P1327&gt;=5,"Média","Baixa"))))</f>
        <v/>
      </c>
      <c r="O1327" s="46" t="str">
        <f aca="false">IF($E1327="","",IF(AND(Parâmetros!$C$5&gt;0,$P1327&lt;&gt;"",$P1327&gt;=Parâmetros!$C$5),"Sim","Não"))</f>
        <v/>
      </c>
      <c r="P1327" s="45" t="str">
        <f aca="false">IF($E1327="","",IF($G1327="","",IF($G1327="NOK",$F1327,0)))</f>
        <v/>
      </c>
      <c r="Q1327" s="46" t="str">
        <f aca="false">IF($E1327="","",IF($O1327&lt;&gt;"Sim","",COUNTIF($O$3:$O1327,"Sim")))</f>
        <v/>
      </c>
      <c r="R1327" s="47" t="n">
        <f aca="false">IF($P1327="",0,$P1327)</f>
        <v>0</v>
      </c>
    </row>
    <row r="1328" customFormat="false" ht="18" hidden="false" customHeight="true" outlineLevel="0" collapsed="false">
      <c r="A1328" s="39"/>
      <c r="B1328" s="41"/>
      <c r="C1328" s="40"/>
      <c r="D1328" s="40"/>
      <c r="E1328" s="40"/>
      <c r="F1328" s="42"/>
      <c r="G1328" s="39"/>
      <c r="H1328" s="40"/>
      <c r="I1328" s="40"/>
      <c r="J1328" s="40"/>
      <c r="K1328" s="41"/>
      <c r="L1328" s="39"/>
      <c r="M1328" s="48" t="str">
        <f aca="false">IF($E1328="","",IFERROR(INDEX(Parâmetros!$C$15:$C$20,MATCH($P1328,Parâmetros!$B$15:$B$20,0)),""))</f>
        <v/>
      </c>
      <c r="N1328" s="46" t="str">
        <f aca="false">IF($E1328="","",IF($P1328="","",IF($P1328&gt;=8,"Alta",IF($P1328&gt;=5,"Média","Baixa"))))</f>
        <v/>
      </c>
      <c r="O1328" s="46" t="str">
        <f aca="false">IF($E1328="","",IF(AND(Parâmetros!$C$5&gt;0,$P1328&lt;&gt;"",$P1328&gt;=Parâmetros!$C$5),"Sim","Não"))</f>
        <v/>
      </c>
      <c r="P1328" s="45" t="str">
        <f aca="false">IF($E1328="","",IF($G1328="","",IF($G1328="NOK",$F1328,0)))</f>
        <v/>
      </c>
      <c r="Q1328" s="46" t="str">
        <f aca="false">IF($E1328="","",IF($O1328&lt;&gt;"Sim","",COUNTIF($O$3:$O1328,"Sim")))</f>
        <v/>
      </c>
      <c r="R1328" s="47" t="n">
        <f aca="false">IF($P1328="",0,$P1328)</f>
        <v>0</v>
      </c>
    </row>
    <row r="1329" customFormat="false" ht="18" hidden="false" customHeight="true" outlineLevel="0" collapsed="false">
      <c r="A1329" s="39"/>
      <c r="B1329" s="41"/>
      <c r="C1329" s="40"/>
      <c r="D1329" s="40"/>
      <c r="E1329" s="40"/>
      <c r="F1329" s="42"/>
      <c r="G1329" s="39"/>
      <c r="H1329" s="40"/>
      <c r="I1329" s="40"/>
      <c r="J1329" s="40"/>
      <c r="K1329" s="41"/>
      <c r="L1329" s="39"/>
      <c r="M1329" s="48" t="str">
        <f aca="false">IF($E1329="","",IFERROR(INDEX(Parâmetros!$C$15:$C$20,MATCH($P1329,Parâmetros!$B$15:$B$20,0)),""))</f>
        <v/>
      </c>
      <c r="N1329" s="46" t="str">
        <f aca="false">IF($E1329="","",IF($P1329="","",IF($P1329&gt;=8,"Alta",IF($P1329&gt;=5,"Média","Baixa"))))</f>
        <v/>
      </c>
      <c r="O1329" s="46" t="str">
        <f aca="false">IF($E1329="","",IF(AND(Parâmetros!$C$5&gt;0,$P1329&lt;&gt;"",$P1329&gt;=Parâmetros!$C$5),"Sim","Não"))</f>
        <v/>
      </c>
      <c r="P1329" s="45" t="str">
        <f aca="false">IF($E1329="","",IF($G1329="","",IF($G1329="NOK",$F1329,0)))</f>
        <v/>
      </c>
      <c r="Q1329" s="46" t="str">
        <f aca="false">IF($E1329="","",IF($O1329&lt;&gt;"Sim","",COUNTIF($O$3:$O1329,"Sim")))</f>
        <v/>
      </c>
      <c r="R1329" s="47" t="n">
        <f aca="false">IF($P1329="",0,$P1329)</f>
        <v>0</v>
      </c>
    </row>
    <row r="1330" customFormat="false" ht="18" hidden="false" customHeight="true" outlineLevel="0" collapsed="false">
      <c r="A1330" s="39"/>
      <c r="B1330" s="41"/>
      <c r="C1330" s="40"/>
      <c r="D1330" s="40"/>
      <c r="E1330" s="40"/>
      <c r="F1330" s="42"/>
      <c r="G1330" s="39"/>
      <c r="H1330" s="40"/>
      <c r="I1330" s="40"/>
      <c r="J1330" s="40"/>
      <c r="K1330" s="41"/>
      <c r="L1330" s="39"/>
      <c r="M1330" s="48" t="str">
        <f aca="false">IF($E1330="","",IFERROR(INDEX(Parâmetros!$C$15:$C$20,MATCH($P1330,Parâmetros!$B$15:$B$20,0)),""))</f>
        <v/>
      </c>
      <c r="N1330" s="46" t="str">
        <f aca="false">IF($E1330="","",IF($P1330="","",IF($P1330&gt;=8,"Alta",IF($P1330&gt;=5,"Média","Baixa"))))</f>
        <v/>
      </c>
      <c r="O1330" s="46" t="str">
        <f aca="false">IF($E1330="","",IF(AND(Parâmetros!$C$5&gt;0,$P1330&lt;&gt;"",$P1330&gt;=Parâmetros!$C$5),"Sim","Não"))</f>
        <v/>
      </c>
      <c r="P1330" s="45" t="str">
        <f aca="false">IF($E1330="","",IF($G1330="","",IF($G1330="NOK",$F1330,0)))</f>
        <v/>
      </c>
      <c r="Q1330" s="46" t="str">
        <f aca="false">IF($E1330="","",IF($O1330&lt;&gt;"Sim","",COUNTIF($O$3:$O1330,"Sim")))</f>
        <v/>
      </c>
      <c r="R1330" s="47" t="n">
        <f aca="false">IF($P1330="",0,$P1330)</f>
        <v>0</v>
      </c>
    </row>
    <row r="1331" customFormat="false" ht="18" hidden="false" customHeight="true" outlineLevel="0" collapsed="false">
      <c r="A1331" s="39"/>
      <c r="B1331" s="41"/>
      <c r="C1331" s="40"/>
      <c r="D1331" s="40"/>
      <c r="E1331" s="40"/>
      <c r="F1331" s="42"/>
      <c r="G1331" s="39"/>
      <c r="H1331" s="40"/>
      <c r="I1331" s="40"/>
      <c r="J1331" s="40"/>
      <c r="K1331" s="41"/>
      <c r="L1331" s="39"/>
      <c r="M1331" s="48" t="str">
        <f aca="false">IF($E1331="","",IFERROR(INDEX(Parâmetros!$C$15:$C$20,MATCH($P1331,Parâmetros!$B$15:$B$20,0)),""))</f>
        <v/>
      </c>
      <c r="N1331" s="46" t="str">
        <f aca="false">IF($E1331="","",IF($P1331="","",IF($P1331&gt;=8,"Alta",IF($P1331&gt;=5,"Média","Baixa"))))</f>
        <v/>
      </c>
      <c r="O1331" s="46" t="str">
        <f aca="false">IF($E1331="","",IF(AND(Parâmetros!$C$5&gt;0,$P1331&lt;&gt;"",$P1331&gt;=Parâmetros!$C$5),"Sim","Não"))</f>
        <v/>
      </c>
      <c r="P1331" s="45" t="str">
        <f aca="false">IF($E1331="","",IF($G1331="","",IF($G1331="NOK",$F1331,0)))</f>
        <v/>
      </c>
      <c r="Q1331" s="46" t="str">
        <f aca="false">IF($E1331="","",IF($O1331&lt;&gt;"Sim","",COUNTIF($O$3:$O1331,"Sim")))</f>
        <v/>
      </c>
      <c r="R1331" s="47" t="n">
        <f aca="false">IF($P1331="",0,$P1331)</f>
        <v>0</v>
      </c>
    </row>
    <row r="1332" customFormat="false" ht="18" hidden="false" customHeight="true" outlineLevel="0" collapsed="false">
      <c r="A1332" s="39"/>
      <c r="B1332" s="41"/>
      <c r="C1332" s="40"/>
      <c r="D1332" s="40"/>
      <c r="E1332" s="40"/>
      <c r="F1332" s="42"/>
      <c r="G1332" s="39"/>
      <c r="H1332" s="40"/>
      <c r="I1332" s="40"/>
      <c r="J1332" s="40"/>
      <c r="K1332" s="41"/>
      <c r="L1332" s="39"/>
      <c r="M1332" s="48" t="str">
        <f aca="false">IF($E1332="","",IFERROR(INDEX(Parâmetros!$C$15:$C$20,MATCH($P1332,Parâmetros!$B$15:$B$20,0)),""))</f>
        <v/>
      </c>
      <c r="N1332" s="46" t="str">
        <f aca="false">IF($E1332="","",IF($P1332="","",IF($P1332&gt;=8,"Alta",IF($P1332&gt;=5,"Média","Baixa"))))</f>
        <v/>
      </c>
      <c r="O1332" s="46" t="str">
        <f aca="false">IF($E1332="","",IF(AND(Parâmetros!$C$5&gt;0,$P1332&lt;&gt;"",$P1332&gt;=Parâmetros!$C$5),"Sim","Não"))</f>
        <v/>
      </c>
      <c r="P1332" s="45" t="str">
        <f aca="false">IF($E1332="","",IF($G1332="","",IF($G1332="NOK",$F1332,0)))</f>
        <v/>
      </c>
      <c r="Q1332" s="46" t="str">
        <f aca="false">IF($E1332="","",IF($O1332&lt;&gt;"Sim","",COUNTIF($O$3:$O1332,"Sim")))</f>
        <v/>
      </c>
      <c r="R1332" s="47" t="n">
        <f aca="false">IF($P1332="",0,$P1332)</f>
        <v>0</v>
      </c>
    </row>
    <row r="1333" customFormat="false" ht="18" hidden="false" customHeight="true" outlineLevel="0" collapsed="false">
      <c r="A1333" s="39"/>
      <c r="B1333" s="41"/>
      <c r="C1333" s="40"/>
      <c r="D1333" s="40"/>
      <c r="E1333" s="40"/>
      <c r="F1333" s="42"/>
      <c r="G1333" s="39"/>
      <c r="H1333" s="40"/>
      <c r="I1333" s="40"/>
      <c r="J1333" s="40"/>
      <c r="K1333" s="41"/>
      <c r="L1333" s="39"/>
      <c r="M1333" s="48" t="str">
        <f aca="false">IF($E1333="","",IFERROR(INDEX(Parâmetros!$C$15:$C$20,MATCH($P1333,Parâmetros!$B$15:$B$20,0)),""))</f>
        <v/>
      </c>
      <c r="N1333" s="46" t="str">
        <f aca="false">IF($E1333="","",IF($P1333="","",IF($P1333&gt;=8,"Alta",IF($P1333&gt;=5,"Média","Baixa"))))</f>
        <v/>
      </c>
      <c r="O1333" s="46" t="str">
        <f aca="false">IF($E1333="","",IF(AND(Parâmetros!$C$5&gt;0,$P1333&lt;&gt;"",$P1333&gt;=Parâmetros!$C$5),"Sim","Não"))</f>
        <v/>
      </c>
      <c r="P1333" s="45" t="str">
        <f aca="false">IF($E1333="","",IF($G1333="","",IF($G1333="NOK",$F1333,0)))</f>
        <v/>
      </c>
      <c r="Q1333" s="46" t="str">
        <f aca="false">IF($E1333="","",IF($O1333&lt;&gt;"Sim","",COUNTIF($O$3:$O1333,"Sim")))</f>
        <v/>
      </c>
      <c r="R1333" s="47" t="n">
        <f aca="false">IF($P1333="",0,$P1333)</f>
        <v>0</v>
      </c>
    </row>
    <row r="1334" customFormat="false" ht="18" hidden="false" customHeight="true" outlineLevel="0" collapsed="false">
      <c r="A1334" s="39"/>
      <c r="B1334" s="41"/>
      <c r="C1334" s="40"/>
      <c r="D1334" s="40"/>
      <c r="E1334" s="40"/>
      <c r="F1334" s="42"/>
      <c r="G1334" s="39"/>
      <c r="H1334" s="40"/>
      <c r="I1334" s="40"/>
      <c r="J1334" s="40"/>
      <c r="K1334" s="41"/>
      <c r="L1334" s="39"/>
      <c r="M1334" s="48" t="str">
        <f aca="false">IF($E1334="","",IFERROR(INDEX(Parâmetros!$C$15:$C$20,MATCH($P1334,Parâmetros!$B$15:$B$20,0)),""))</f>
        <v/>
      </c>
      <c r="N1334" s="46" t="str">
        <f aca="false">IF($E1334="","",IF($P1334="","",IF($P1334&gt;=8,"Alta",IF($P1334&gt;=5,"Média","Baixa"))))</f>
        <v/>
      </c>
      <c r="O1334" s="46" t="str">
        <f aca="false">IF($E1334="","",IF(AND(Parâmetros!$C$5&gt;0,$P1334&lt;&gt;"",$P1334&gt;=Parâmetros!$C$5),"Sim","Não"))</f>
        <v/>
      </c>
      <c r="P1334" s="45" t="str">
        <f aca="false">IF($E1334="","",IF($G1334="","",IF($G1334="NOK",$F1334,0)))</f>
        <v/>
      </c>
      <c r="Q1334" s="46" t="str">
        <f aca="false">IF($E1334="","",IF($O1334&lt;&gt;"Sim","",COUNTIF($O$3:$O1334,"Sim")))</f>
        <v/>
      </c>
      <c r="R1334" s="47" t="n">
        <f aca="false">IF($P1334="",0,$P1334)</f>
        <v>0</v>
      </c>
    </row>
    <row r="1335" customFormat="false" ht="18" hidden="false" customHeight="true" outlineLevel="0" collapsed="false">
      <c r="A1335" s="39"/>
      <c r="B1335" s="41"/>
      <c r="C1335" s="40"/>
      <c r="D1335" s="40"/>
      <c r="E1335" s="40"/>
      <c r="F1335" s="42"/>
      <c r="G1335" s="39"/>
      <c r="H1335" s="40"/>
      <c r="I1335" s="40"/>
      <c r="J1335" s="40"/>
      <c r="K1335" s="41"/>
      <c r="L1335" s="39"/>
      <c r="M1335" s="48" t="str">
        <f aca="false">IF($E1335="","",IFERROR(INDEX(Parâmetros!$C$15:$C$20,MATCH($P1335,Parâmetros!$B$15:$B$20,0)),""))</f>
        <v/>
      </c>
      <c r="N1335" s="46" t="str">
        <f aca="false">IF($E1335="","",IF($P1335="","",IF($P1335&gt;=8,"Alta",IF($P1335&gt;=5,"Média","Baixa"))))</f>
        <v/>
      </c>
      <c r="O1335" s="46" t="str">
        <f aca="false">IF($E1335="","",IF(AND(Parâmetros!$C$5&gt;0,$P1335&lt;&gt;"",$P1335&gt;=Parâmetros!$C$5),"Sim","Não"))</f>
        <v/>
      </c>
      <c r="P1335" s="45" t="str">
        <f aca="false">IF($E1335="","",IF($G1335="","",IF($G1335="NOK",$F1335,0)))</f>
        <v/>
      </c>
      <c r="Q1335" s="46" t="str">
        <f aca="false">IF($E1335="","",IF($O1335&lt;&gt;"Sim","",COUNTIF($O$3:$O1335,"Sim")))</f>
        <v/>
      </c>
      <c r="R1335" s="47" t="n">
        <f aca="false">IF($P1335="",0,$P1335)</f>
        <v>0</v>
      </c>
    </row>
    <row r="1336" customFormat="false" ht="18" hidden="false" customHeight="true" outlineLevel="0" collapsed="false">
      <c r="A1336" s="39"/>
      <c r="B1336" s="41"/>
      <c r="C1336" s="40"/>
      <c r="D1336" s="40"/>
      <c r="E1336" s="40"/>
      <c r="F1336" s="42"/>
      <c r="G1336" s="39"/>
      <c r="H1336" s="40"/>
      <c r="I1336" s="40"/>
      <c r="J1336" s="40"/>
      <c r="K1336" s="41"/>
      <c r="L1336" s="39"/>
      <c r="M1336" s="48" t="str">
        <f aca="false">IF($E1336="","",IFERROR(INDEX(Parâmetros!$C$15:$C$20,MATCH($P1336,Parâmetros!$B$15:$B$20,0)),""))</f>
        <v/>
      </c>
      <c r="N1336" s="46" t="str">
        <f aca="false">IF($E1336="","",IF($P1336="","",IF($P1336&gt;=8,"Alta",IF($P1336&gt;=5,"Média","Baixa"))))</f>
        <v/>
      </c>
      <c r="O1336" s="46" t="str">
        <f aca="false">IF($E1336="","",IF(AND(Parâmetros!$C$5&gt;0,$P1336&lt;&gt;"",$P1336&gt;=Parâmetros!$C$5),"Sim","Não"))</f>
        <v/>
      </c>
      <c r="P1336" s="45" t="str">
        <f aca="false">IF($E1336="","",IF($G1336="","",IF($G1336="NOK",$F1336,0)))</f>
        <v/>
      </c>
      <c r="Q1336" s="46" t="str">
        <f aca="false">IF($E1336="","",IF($O1336&lt;&gt;"Sim","",COUNTIF($O$3:$O1336,"Sim")))</f>
        <v/>
      </c>
      <c r="R1336" s="47" t="n">
        <f aca="false">IF($P1336="",0,$P1336)</f>
        <v>0</v>
      </c>
    </row>
    <row r="1337" customFormat="false" ht="18" hidden="false" customHeight="true" outlineLevel="0" collapsed="false">
      <c r="A1337" s="39"/>
      <c r="B1337" s="41"/>
      <c r="C1337" s="40"/>
      <c r="D1337" s="40"/>
      <c r="E1337" s="40"/>
      <c r="F1337" s="42"/>
      <c r="G1337" s="39"/>
      <c r="H1337" s="40"/>
      <c r="I1337" s="40"/>
      <c r="J1337" s="40"/>
      <c r="K1337" s="41"/>
      <c r="L1337" s="39"/>
      <c r="M1337" s="48" t="str">
        <f aca="false">IF($E1337="","",IFERROR(INDEX(Parâmetros!$C$15:$C$20,MATCH($P1337,Parâmetros!$B$15:$B$20,0)),""))</f>
        <v/>
      </c>
      <c r="N1337" s="46" t="str">
        <f aca="false">IF($E1337="","",IF($P1337="","",IF($P1337&gt;=8,"Alta",IF($P1337&gt;=5,"Média","Baixa"))))</f>
        <v/>
      </c>
      <c r="O1337" s="46" t="str">
        <f aca="false">IF($E1337="","",IF(AND(Parâmetros!$C$5&gt;0,$P1337&lt;&gt;"",$P1337&gt;=Parâmetros!$C$5),"Sim","Não"))</f>
        <v/>
      </c>
      <c r="P1337" s="45" t="str">
        <f aca="false">IF($E1337="","",IF($G1337="","",IF($G1337="NOK",$F1337,0)))</f>
        <v/>
      </c>
      <c r="Q1337" s="46" t="str">
        <f aca="false">IF($E1337="","",IF($O1337&lt;&gt;"Sim","",COUNTIF($O$3:$O1337,"Sim")))</f>
        <v/>
      </c>
      <c r="R1337" s="47" t="n">
        <f aca="false">IF($P1337="",0,$P1337)</f>
        <v>0</v>
      </c>
    </row>
    <row r="1338" customFormat="false" ht="18" hidden="false" customHeight="true" outlineLevel="0" collapsed="false">
      <c r="A1338" s="39"/>
      <c r="B1338" s="41"/>
      <c r="C1338" s="40"/>
      <c r="D1338" s="40"/>
      <c r="E1338" s="40"/>
      <c r="F1338" s="42"/>
      <c r="G1338" s="39"/>
      <c r="H1338" s="40"/>
      <c r="I1338" s="40"/>
      <c r="J1338" s="40"/>
      <c r="K1338" s="41"/>
      <c r="L1338" s="39"/>
      <c r="M1338" s="48" t="str">
        <f aca="false">IF($E1338="","",IFERROR(INDEX(Parâmetros!$C$15:$C$20,MATCH($P1338,Parâmetros!$B$15:$B$20,0)),""))</f>
        <v/>
      </c>
      <c r="N1338" s="46" t="str">
        <f aca="false">IF($E1338="","",IF($P1338="","",IF($P1338&gt;=8,"Alta",IF($P1338&gt;=5,"Média","Baixa"))))</f>
        <v/>
      </c>
      <c r="O1338" s="46" t="str">
        <f aca="false">IF($E1338="","",IF(AND(Parâmetros!$C$5&gt;0,$P1338&lt;&gt;"",$P1338&gt;=Parâmetros!$C$5),"Sim","Não"))</f>
        <v/>
      </c>
      <c r="P1338" s="45" t="str">
        <f aca="false">IF($E1338="","",IF($G1338="","",IF($G1338="NOK",$F1338,0)))</f>
        <v/>
      </c>
      <c r="Q1338" s="46" t="str">
        <f aca="false">IF($E1338="","",IF($O1338&lt;&gt;"Sim","",COUNTIF($O$3:$O1338,"Sim")))</f>
        <v/>
      </c>
      <c r="R1338" s="47" t="n">
        <f aca="false">IF($P1338="",0,$P1338)</f>
        <v>0</v>
      </c>
    </row>
    <row r="1339" customFormat="false" ht="18" hidden="false" customHeight="true" outlineLevel="0" collapsed="false">
      <c r="A1339" s="39"/>
      <c r="B1339" s="41"/>
      <c r="C1339" s="40"/>
      <c r="D1339" s="40"/>
      <c r="E1339" s="40"/>
      <c r="F1339" s="42"/>
      <c r="G1339" s="39"/>
      <c r="H1339" s="40"/>
      <c r="I1339" s="40"/>
      <c r="J1339" s="40"/>
      <c r="K1339" s="41"/>
      <c r="L1339" s="39"/>
      <c r="M1339" s="48" t="str">
        <f aca="false">IF($E1339="","",IFERROR(INDEX(Parâmetros!$C$15:$C$20,MATCH($P1339,Parâmetros!$B$15:$B$20,0)),""))</f>
        <v/>
      </c>
      <c r="N1339" s="46" t="str">
        <f aca="false">IF($E1339="","",IF($P1339="","",IF($P1339&gt;=8,"Alta",IF($P1339&gt;=5,"Média","Baixa"))))</f>
        <v/>
      </c>
      <c r="O1339" s="46" t="str">
        <f aca="false">IF($E1339="","",IF(AND(Parâmetros!$C$5&gt;0,$P1339&lt;&gt;"",$P1339&gt;=Parâmetros!$C$5),"Sim","Não"))</f>
        <v/>
      </c>
      <c r="P1339" s="45" t="str">
        <f aca="false">IF($E1339="","",IF($G1339="","",IF($G1339="NOK",$F1339,0)))</f>
        <v/>
      </c>
      <c r="Q1339" s="46" t="str">
        <f aca="false">IF($E1339="","",IF($O1339&lt;&gt;"Sim","",COUNTIF($O$3:$O1339,"Sim")))</f>
        <v/>
      </c>
      <c r="R1339" s="47" t="n">
        <f aca="false">IF($P1339="",0,$P1339)</f>
        <v>0</v>
      </c>
    </row>
    <row r="1340" customFormat="false" ht="18" hidden="false" customHeight="true" outlineLevel="0" collapsed="false">
      <c r="A1340" s="39"/>
      <c r="B1340" s="41"/>
      <c r="C1340" s="40"/>
      <c r="D1340" s="40"/>
      <c r="E1340" s="40"/>
      <c r="F1340" s="42"/>
      <c r="G1340" s="39"/>
      <c r="H1340" s="40"/>
      <c r="I1340" s="40"/>
      <c r="J1340" s="40"/>
      <c r="K1340" s="41"/>
      <c r="L1340" s="39"/>
      <c r="M1340" s="48" t="str">
        <f aca="false">IF($E1340="","",IFERROR(INDEX(Parâmetros!$C$15:$C$20,MATCH($P1340,Parâmetros!$B$15:$B$20,0)),""))</f>
        <v/>
      </c>
      <c r="N1340" s="46" t="str">
        <f aca="false">IF($E1340="","",IF($P1340="","",IF($P1340&gt;=8,"Alta",IF($P1340&gt;=5,"Média","Baixa"))))</f>
        <v/>
      </c>
      <c r="O1340" s="46" t="str">
        <f aca="false">IF($E1340="","",IF(AND(Parâmetros!$C$5&gt;0,$P1340&lt;&gt;"",$P1340&gt;=Parâmetros!$C$5),"Sim","Não"))</f>
        <v/>
      </c>
      <c r="P1340" s="45" t="str">
        <f aca="false">IF($E1340="","",IF($G1340="","",IF($G1340="NOK",$F1340,0)))</f>
        <v/>
      </c>
      <c r="Q1340" s="46" t="str">
        <f aca="false">IF($E1340="","",IF($O1340&lt;&gt;"Sim","",COUNTIF($O$3:$O1340,"Sim")))</f>
        <v/>
      </c>
      <c r="R1340" s="47" t="n">
        <f aca="false">IF($P1340="",0,$P1340)</f>
        <v>0</v>
      </c>
    </row>
    <row r="1341" customFormat="false" ht="18" hidden="false" customHeight="true" outlineLevel="0" collapsed="false">
      <c r="A1341" s="39"/>
      <c r="B1341" s="41"/>
      <c r="C1341" s="40"/>
      <c r="D1341" s="40"/>
      <c r="E1341" s="40"/>
      <c r="F1341" s="42"/>
      <c r="G1341" s="39"/>
      <c r="H1341" s="40"/>
      <c r="I1341" s="40"/>
      <c r="J1341" s="40"/>
      <c r="K1341" s="41"/>
      <c r="L1341" s="39"/>
      <c r="M1341" s="48" t="str">
        <f aca="false">IF($E1341="","",IFERROR(INDEX(Parâmetros!$C$15:$C$20,MATCH($P1341,Parâmetros!$B$15:$B$20,0)),""))</f>
        <v/>
      </c>
      <c r="N1341" s="46" t="str">
        <f aca="false">IF($E1341="","",IF($P1341="","",IF($P1341&gt;=8,"Alta",IF($P1341&gt;=5,"Média","Baixa"))))</f>
        <v/>
      </c>
      <c r="O1341" s="46" t="str">
        <f aca="false">IF($E1341="","",IF(AND(Parâmetros!$C$5&gt;0,$P1341&lt;&gt;"",$P1341&gt;=Parâmetros!$C$5),"Sim","Não"))</f>
        <v/>
      </c>
      <c r="P1341" s="45" t="str">
        <f aca="false">IF($E1341="","",IF($G1341="","",IF($G1341="NOK",$F1341,0)))</f>
        <v/>
      </c>
      <c r="Q1341" s="46" t="str">
        <f aca="false">IF($E1341="","",IF($O1341&lt;&gt;"Sim","",COUNTIF($O$3:$O1341,"Sim")))</f>
        <v/>
      </c>
      <c r="R1341" s="47" t="n">
        <f aca="false">IF($P1341="",0,$P1341)</f>
        <v>0</v>
      </c>
    </row>
    <row r="1342" customFormat="false" ht="18" hidden="false" customHeight="true" outlineLevel="0" collapsed="false">
      <c r="A1342" s="39"/>
      <c r="B1342" s="41"/>
      <c r="C1342" s="40"/>
      <c r="D1342" s="40"/>
      <c r="E1342" s="40"/>
      <c r="F1342" s="42"/>
      <c r="G1342" s="39"/>
      <c r="H1342" s="40"/>
      <c r="I1342" s="40"/>
      <c r="J1342" s="40"/>
      <c r="K1342" s="41"/>
      <c r="L1342" s="39"/>
      <c r="M1342" s="48" t="str">
        <f aca="false">IF($E1342="","",IFERROR(INDEX(Parâmetros!$C$15:$C$20,MATCH($P1342,Parâmetros!$B$15:$B$20,0)),""))</f>
        <v/>
      </c>
      <c r="N1342" s="46" t="str">
        <f aca="false">IF($E1342="","",IF($P1342="","",IF($P1342&gt;=8,"Alta",IF($P1342&gt;=5,"Média","Baixa"))))</f>
        <v/>
      </c>
      <c r="O1342" s="46" t="str">
        <f aca="false">IF($E1342="","",IF(AND(Parâmetros!$C$5&gt;0,$P1342&lt;&gt;"",$P1342&gt;=Parâmetros!$C$5),"Sim","Não"))</f>
        <v/>
      </c>
      <c r="P1342" s="45" t="str">
        <f aca="false">IF($E1342="","",IF($G1342="","",IF($G1342="NOK",$F1342,0)))</f>
        <v/>
      </c>
      <c r="Q1342" s="46" t="str">
        <f aca="false">IF($E1342="","",IF($O1342&lt;&gt;"Sim","",COUNTIF($O$3:$O1342,"Sim")))</f>
        <v/>
      </c>
      <c r="R1342" s="47" t="n">
        <f aca="false">IF($P1342="",0,$P1342)</f>
        <v>0</v>
      </c>
    </row>
    <row r="1343" customFormat="false" ht="18" hidden="false" customHeight="true" outlineLevel="0" collapsed="false">
      <c r="A1343" s="39"/>
      <c r="B1343" s="41"/>
      <c r="C1343" s="40"/>
      <c r="D1343" s="40"/>
      <c r="E1343" s="40"/>
      <c r="F1343" s="42"/>
      <c r="G1343" s="39"/>
      <c r="H1343" s="40"/>
      <c r="I1343" s="40"/>
      <c r="J1343" s="40"/>
      <c r="K1343" s="41"/>
      <c r="L1343" s="39"/>
      <c r="M1343" s="48" t="str">
        <f aca="false">IF($E1343="","",IFERROR(INDEX(Parâmetros!$C$15:$C$20,MATCH($P1343,Parâmetros!$B$15:$B$20,0)),""))</f>
        <v/>
      </c>
      <c r="N1343" s="46" t="str">
        <f aca="false">IF($E1343="","",IF($P1343="","",IF($P1343&gt;=8,"Alta",IF($P1343&gt;=5,"Média","Baixa"))))</f>
        <v/>
      </c>
      <c r="O1343" s="46" t="str">
        <f aca="false">IF($E1343="","",IF(AND(Parâmetros!$C$5&gt;0,$P1343&lt;&gt;"",$P1343&gt;=Parâmetros!$C$5),"Sim","Não"))</f>
        <v/>
      </c>
      <c r="P1343" s="45" t="str">
        <f aca="false">IF($E1343="","",IF($G1343="","",IF($G1343="NOK",$F1343,0)))</f>
        <v/>
      </c>
      <c r="Q1343" s="46" t="str">
        <f aca="false">IF($E1343="","",IF($O1343&lt;&gt;"Sim","",COUNTIF($O$3:$O1343,"Sim")))</f>
        <v/>
      </c>
      <c r="R1343" s="47" t="n">
        <f aca="false">IF($P1343="",0,$P1343)</f>
        <v>0</v>
      </c>
    </row>
    <row r="1344" customFormat="false" ht="18" hidden="false" customHeight="true" outlineLevel="0" collapsed="false">
      <c r="A1344" s="39"/>
      <c r="B1344" s="41"/>
      <c r="C1344" s="40"/>
      <c r="D1344" s="40"/>
      <c r="E1344" s="40"/>
      <c r="F1344" s="42"/>
      <c r="G1344" s="39"/>
      <c r="H1344" s="40"/>
      <c r="I1344" s="40"/>
      <c r="J1344" s="40"/>
      <c r="K1344" s="41"/>
      <c r="L1344" s="39"/>
      <c r="M1344" s="48" t="str">
        <f aca="false">IF($E1344="","",IFERROR(INDEX(Parâmetros!$C$15:$C$20,MATCH($P1344,Parâmetros!$B$15:$B$20,0)),""))</f>
        <v/>
      </c>
      <c r="N1344" s="46" t="str">
        <f aca="false">IF($E1344="","",IF($P1344="","",IF($P1344&gt;=8,"Alta",IF($P1344&gt;=5,"Média","Baixa"))))</f>
        <v/>
      </c>
      <c r="O1344" s="46" t="str">
        <f aca="false">IF($E1344="","",IF(AND(Parâmetros!$C$5&gt;0,$P1344&lt;&gt;"",$P1344&gt;=Parâmetros!$C$5),"Sim","Não"))</f>
        <v/>
      </c>
      <c r="P1344" s="45" t="str">
        <f aca="false">IF($E1344="","",IF($G1344="","",IF($G1344="NOK",$F1344,0)))</f>
        <v/>
      </c>
      <c r="Q1344" s="46" t="str">
        <f aca="false">IF($E1344="","",IF($O1344&lt;&gt;"Sim","",COUNTIF($O$3:$O1344,"Sim")))</f>
        <v/>
      </c>
      <c r="R1344" s="47" t="n">
        <f aca="false">IF($P1344="",0,$P1344)</f>
        <v>0</v>
      </c>
    </row>
    <row r="1345" customFormat="false" ht="18" hidden="false" customHeight="true" outlineLevel="0" collapsed="false">
      <c r="A1345" s="39"/>
      <c r="B1345" s="41"/>
      <c r="C1345" s="40"/>
      <c r="D1345" s="40"/>
      <c r="E1345" s="40"/>
      <c r="F1345" s="42"/>
      <c r="G1345" s="39"/>
      <c r="H1345" s="40"/>
      <c r="I1345" s="40"/>
      <c r="J1345" s="40"/>
      <c r="K1345" s="41"/>
      <c r="L1345" s="39"/>
      <c r="M1345" s="48" t="str">
        <f aca="false">IF($E1345="","",IFERROR(INDEX(Parâmetros!$C$15:$C$20,MATCH($P1345,Parâmetros!$B$15:$B$20,0)),""))</f>
        <v/>
      </c>
      <c r="N1345" s="46" t="str">
        <f aca="false">IF($E1345="","",IF($P1345="","",IF($P1345&gt;=8,"Alta",IF($P1345&gt;=5,"Média","Baixa"))))</f>
        <v/>
      </c>
      <c r="O1345" s="46" t="str">
        <f aca="false">IF($E1345="","",IF(AND(Parâmetros!$C$5&gt;0,$P1345&lt;&gt;"",$P1345&gt;=Parâmetros!$C$5),"Sim","Não"))</f>
        <v/>
      </c>
      <c r="P1345" s="45" t="str">
        <f aca="false">IF($E1345="","",IF($G1345="","",IF($G1345="NOK",$F1345,0)))</f>
        <v/>
      </c>
      <c r="Q1345" s="46" t="str">
        <f aca="false">IF($E1345="","",IF($O1345&lt;&gt;"Sim","",COUNTIF($O$3:$O1345,"Sim")))</f>
        <v/>
      </c>
      <c r="R1345" s="47" t="n">
        <f aca="false">IF($P1345="",0,$P1345)</f>
        <v>0</v>
      </c>
    </row>
    <row r="1346" customFormat="false" ht="18" hidden="false" customHeight="true" outlineLevel="0" collapsed="false">
      <c r="A1346" s="39"/>
      <c r="B1346" s="41"/>
      <c r="C1346" s="40"/>
      <c r="D1346" s="40"/>
      <c r="E1346" s="40"/>
      <c r="F1346" s="42"/>
      <c r="G1346" s="39"/>
      <c r="H1346" s="40"/>
      <c r="I1346" s="40"/>
      <c r="J1346" s="40"/>
      <c r="K1346" s="41"/>
      <c r="L1346" s="39"/>
      <c r="M1346" s="48" t="str">
        <f aca="false">IF($E1346="","",IFERROR(INDEX(Parâmetros!$C$15:$C$20,MATCH($P1346,Parâmetros!$B$15:$B$20,0)),""))</f>
        <v/>
      </c>
      <c r="N1346" s="46" t="str">
        <f aca="false">IF($E1346="","",IF($P1346="","",IF($P1346&gt;=8,"Alta",IF($P1346&gt;=5,"Média","Baixa"))))</f>
        <v/>
      </c>
      <c r="O1346" s="46" t="str">
        <f aca="false">IF($E1346="","",IF(AND(Parâmetros!$C$5&gt;0,$P1346&lt;&gt;"",$P1346&gt;=Parâmetros!$C$5),"Sim","Não"))</f>
        <v/>
      </c>
      <c r="P1346" s="45" t="str">
        <f aca="false">IF($E1346="","",IF($G1346="","",IF($G1346="NOK",$F1346,0)))</f>
        <v/>
      </c>
      <c r="Q1346" s="46" t="str">
        <f aca="false">IF($E1346="","",IF($O1346&lt;&gt;"Sim","",COUNTIF($O$3:$O1346,"Sim")))</f>
        <v/>
      </c>
      <c r="R1346" s="47" t="n">
        <f aca="false">IF($P1346="",0,$P1346)</f>
        <v>0</v>
      </c>
    </row>
    <row r="1347" customFormat="false" ht="18" hidden="false" customHeight="true" outlineLevel="0" collapsed="false">
      <c r="A1347" s="39"/>
      <c r="B1347" s="41"/>
      <c r="C1347" s="40"/>
      <c r="D1347" s="40"/>
      <c r="E1347" s="40"/>
      <c r="F1347" s="42"/>
      <c r="G1347" s="39"/>
      <c r="H1347" s="40"/>
      <c r="I1347" s="40"/>
      <c r="J1347" s="40"/>
      <c r="K1347" s="41"/>
      <c r="L1347" s="39"/>
      <c r="M1347" s="48" t="str">
        <f aca="false">IF($E1347="","",IFERROR(INDEX(Parâmetros!$C$15:$C$20,MATCH($P1347,Parâmetros!$B$15:$B$20,0)),""))</f>
        <v/>
      </c>
      <c r="N1347" s="46" t="str">
        <f aca="false">IF($E1347="","",IF($P1347="","",IF($P1347&gt;=8,"Alta",IF($P1347&gt;=5,"Média","Baixa"))))</f>
        <v/>
      </c>
      <c r="O1347" s="46" t="str">
        <f aca="false">IF($E1347="","",IF(AND(Parâmetros!$C$5&gt;0,$P1347&lt;&gt;"",$P1347&gt;=Parâmetros!$C$5),"Sim","Não"))</f>
        <v/>
      </c>
      <c r="P1347" s="45" t="str">
        <f aca="false">IF($E1347="","",IF($G1347="","",IF($G1347="NOK",$F1347,0)))</f>
        <v/>
      </c>
      <c r="Q1347" s="46" t="str">
        <f aca="false">IF($E1347="","",IF($O1347&lt;&gt;"Sim","",COUNTIF($O$3:$O1347,"Sim")))</f>
        <v/>
      </c>
      <c r="R1347" s="47" t="n">
        <f aca="false">IF($P1347="",0,$P1347)</f>
        <v>0</v>
      </c>
    </row>
    <row r="1348" customFormat="false" ht="18" hidden="false" customHeight="true" outlineLevel="0" collapsed="false">
      <c r="A1348" s="39"/>
      <c r="B1348" s="41"/>
      <c r="C1348" s="40"/>
      <c r="D1348" s="40"/>
      <c r="E1348" s="40"/>
      <c r="F1348" s="42"/>
      <c r="G1348" s="39"/>
      <c r="H1348" s="40"/>
      <c r="I1348" s="40"/>
      <c r="J1348" s="40"/>
      <c r="K1348" s="41"/>
      <c r="L1348" s="39"/>
      <c r="M1348" s="48" t="str">
        <f aca="false">IF($E1348="","",IFERROR(INDEX(Parâmetros!$C$15:$C$20,MATCH($P1348,Parâmetros!$B$15:$B$20,0)),""))</f>
        <v/>
      </c>
      <c r="N1348" s="46" t="str">
        <f aca="false">IF($E1348="","",IF($P1348="","",IF($P1348&gt;=8,"Alta",IF($P1348&gt;=5,"Média","Baixa"))))</f>
        <v/>
      </c>
      <c r="O1348" s="46" t="str">
        <f aca="false">IF($E1348="","",IF(AND(Parâmetros!$C$5&gt;0,$P1348&lt;&gt;"",$P1348&gt;=Parâmetros!$C$5),"Sim","Não"))</f>
        <v/>
      </c>
      <c r="P1348" s="45" t="str">
        <f aca="false">IF($E1348="","",IF($G1348="","",IF($G1348="NOK",$F1348,0)))</f>
        <v/>
      </c>
      <c r="Q1348" s="46" t="str">
        <f aca="false">IF($E1348="","",IF($O1348&lt;&gt;"Sim","",COUNTIF($O$3:$O1348,"Sim")))</f>
        <v/>
      </c>
      <c r="R1348" s="47" t="n">
        <f aca="false">IF($P1348="",0,$P1348)</f>
        <v>0</v>
      </c>
    </row>
    <row r="1349" customFormat="false" ht="18" hidden="false" customHeight="true" outlineLevel="0" collapsed="false">
      <c r="A1349" s="39"/>
      <c r="B1349" s="41"/>
      <c r="C1349" s="40"/>
      <c r="D1349" s="40"/>
      <c r="E1349" s="40"/>
      <c r="F1349" s="42"/>
      <c r="G1349" s="39"/>
      <c r="H1349" s="40"/>
      <c r="I1349" s="40"/>
      <c r="J1349" s="40"/>
      <c r="K1349" s="41"/>
      <c r="L1349" s="39"/>
      <c r="M1349" s="48" t="str">
        <f aca="false">IF($E1349="","",IFERROR(INDEX(Parâmetros!$C$15:$C$20,MATCH($P1349,Parâmetros!$B$15:$B$20,0)),""))</f>
        <v/>
      </c>
      <c r="N1349" s="46" t="str">
        <f aca="false">IF($E1349="","",IF($P1349="","",IF($P1349&gt;=8,"Alta",IF($P1349&gt;=5,"Média","Baixa"))))</f>
        <v/>
      </c>
      <c r="O1349" s="46" t="str">
        <f aca="false">IF($E1349="","",IF(AND(Parâmetros!$C$5&gt;0,$P1349&lt;&gt;"",$P1349&gt;=Parâmetros!$C$5),"Sim","Não"))</f>
        <v/>
      </c>
      <c r="P1349" s="45" t="str">
        <f aca="false">IF($E1349="","",IF($G1349="","",IF($G1349="NOK",$F1349,0)))</f>
        <v/>
      </c>
      <c r="Q1349" s="46" t="str">
        <f aca="false">IF($E1349="","",IF($O1349&lt;&gt;"Sim","",COUNTIF($O$3:$O1349,"Sim")))</f>
        <v/>
      </c>
      <c r="R1349" s="47" t="n">
        <f aca="false">IF($P1349="",0,$P1349)</f>
        <v>0</v>
      </c>
    </row>
    <row r="1350" customFormat="false" ht="18" hidden="false" customHeight="true" outlineLevel="0" collapsed="false">
      <c r="A1350" s="39"/>
      <c r="B1350" s="41"/>
      <c r="C1350" s="40"/>
      <c r="D1350" s="40"/>
      <c r="E1350" s="40"/>
      <c r="F1350" s="42"/>
      <c r="G1350" s="39"/>
      <c r="H1350" s="40"/>
      <c r="I1350" s="40"/>
      <c r="J1350" s="40"/>
      <c r="K1350" s="41"/>
      <c r="L1350" s="39"/>
      <c r="M1350" s="48" t="str">
        <f aca="false">IF($E1350="","",IFERROR(INDEX(Parâmetros!$C$15:$C$20,MATCH($P1350,Parâmetros!$B$15:$B$20,0)),""))</f>
        <v/>
      </c>
      <c r="N1350" s="46" t="str">
        <f aca="false">IF($E1350="","",IF($P1350="","",IF($P1350&gt;=8,"Alta",IF($P1350&gt;=5,"Média","Baixa"))))</f>
        <v/>
      </c>
      <c r="O1350" s="46" t="str">
        <f aca="false">IF($E1350="","",IF(AND(Parâmetros!$C$5&gt;0,$P1350&lt;&gt;"",$P1350&gt;=Parâmetros!$C$5),"Sim","Não"))</f>
        <v/>
      </c>
      <c r="P1350" s="45" t="str">
        <f aca="false">IF($E1350="","",IF($G1350="","",IF($G1350="NOK",$F1350,0)))</f>
        <v/>
      </c>
      <c r="Q1350" s="46" t="str">
        <f aca="false">IF($E1350="","",IF($O1350&lt;&gt;"Sim","",COUNTIF($O$3:$O1350,"Sim")))</f>
        <v/>
      </c>
      <c r="R1350" s="47" t="n">
        <f aca="false">IF($P1350="",0,$P1350)</f>
        <v>0</v>
      </c>
    </row>
    <row r="1351" customFormat="false" ht="18" hidden="false" customHeight="true" outlineLevel="0" collapsed="false">
      <c r="A1351" s="39"/>
      <c r="B1351" s="41"/>
      <c r="C1351" s="40"/>
      <c r="D1351" s="40"/>
      <c r="E1351" s="40"/>
      <c r="F1351" s="42"/>
      <c r="G1351" s="39"/>
      <c r="H1351" s="40"/>
      <c r="I1351" s="40"/>
      <c r="J1351" s="40"/>
      <c r="K1351" s="41"/>
      <c r="L1351" s="39"/>
      <c r="M1351" s="48" t="str">
        <f aca="false">IF($E1351="","",IFERROR(INDEX(Parâmetros!$C$15:$C$20,MATCH($P1351,Parâmetros!$B$15:$B$20,0)),""))</f>
        <v/>
      </c>
      <c r="N1351" s="46" t="str">
        <f aca="false">IF($E1351="","",IF($P1351="","",IF($P1351&gt;=8,"Alta",IF($P1351&gt;=5,"Média","Baixa"))))</f>
        <v/>
      </c>
      <c r="O1351" s="46" t="str">
        <f aca="false">IF($E1351="","",IF(AND(Parâmetros!$C$5&gt;0,$P1351&lt;&gt;"",$P1351&gt;=Parâmetros!$C$5),"Sim","Não"))</f>
        <v/>
      </c>
      <c r="P1351" s="45" t="str">
        <f aca="false">IF($E1351="","",IF($G1351="","",IF($G1351="NOK",$F1351,0)))</f>
        <v/>
      </c>
      <c r="Q1351" s="46" t="str">
        <f aca="false">IF($E1351="","",IF($O1351&lt;&gt;"Sim","",COUNTIF($O$3:$O1351,"Sim")))</f>
        <v/>
      </c>
      <c r="R1351" s="47" t="n">
        <f aca="false">IF($P1351="",0,$P1351)</f>
        <v>0</v>
      </c>
    </row>
    <row r="1352" customFormat="false" ht="18" hidden="false" customHeight="true" outlineLevel="0" collapsed="false">
      <c r="A1352" s="39"/>
      <c r="B1352" s="41"/>
      <c r="C1352" s="40"/>
      <c r="D1352" s="40"/>
      <c r="E1352" s="40"/>
      <c r="F1352" s="42"/>
      <c r="G1352" s="39"/>
      <c r="H1352" s="40"/>
      <c r="I1352" s="40"/>
      <c r="J1352" s="40"/>
      <c r="K1352" s="41"/>
      <c r="L1352" s="39"/>
      <c r="M1352" s="48" t="str">
        <f aca="false">IF($E1352="","",IFERROR(INDEX(Parâmetros!$C$15:$C$20,MATCH($P1352,Parâmetros!$B$15:$B$20,0)),""))</f>
        <v/>
      </c>
      <c r="N1352" s="46" t="str">
        <f aca="false">IF($E1352="","",IF($P1352="","",IF($P1352&gt;=8,"Alta",IF($P1352&gt;=5,"Média","Baixa"))))</f>
        <v/>
      </c>
      <c r="O1352" s="46" t="str">
        <f aca="false">IF($E1352="","",IF(AND(Parâmetros!$C$5&gt;0,$P1352&lt;&gt;"",$P1352&gt;=Parâmetros!$C$5),"Sim","Não"))</f>
        <v/>
      </c>
      <c r="P1352" s="45" t="str">
        <f aca="false">IF($E1352="","",IF($G1352="","",IF($G1352="NOK",$F1352,0)))</f>
        <v/>
      </c>
      <c r="Q1352" s="46" t="str">
        <f aca="false">IF($E1352="","",IF($O1352&lt;&gt;"Sim","",COUNTIF($O$3:$O1352,"Sim")))</f>
        <v/>
      </c>
      <c r="R1352" s="47" t="n">
        <f aca="false">IF($P1352="",0,$P1352)</f>
        <v>0</v>
      </c>
    </row>
    <row r="1353" customFormat="false" ht="18" hidden="false" customHeight="true" outlineLevel="0" collapsed="false">
      <c r="A1353" s="39"/>
      <c r="B1353" s="41"/>
      <c r="C1353" s="40"/>
      <c r="D1353" s="40"/>
      <c r="E1353" s="40"/>
      <c r="F1353" s="42"/>
      <c r="G1353" s="39"/>
      <c r="H1353" s="40"/>
      <c r="I1353" s="40"/>
      <c r="J1353" s="40"/>
      <c r="K1353" s="41"/>
      <c r="L1353" s="39"/>
      <c r="M1353" s="48" t="str">
        <f aca="false">IF($E1353="","",IFERROR(INDEX(Parâmetros!$C$15:$C$20,MATCH($P1353,Parâmetros!$B$15:$B$20,0)),""))</f>
        <v/>
      </c>
      <c r="N1353" s="46" t="str">
        <f aca="false">IF($E1353="","",IF($P1353="","",IF($P1353&gt;=8,"Alta",IF($P1353&gt;=5,"Média","Baixa"))))</f>
        <v/>
      </c>
      <c r="O1353" s="46" t="str">
        <f aca="false">IF($E1353="","",IF(AND(Parâmetros!$C$5&gt;0,$P1353&lt;&gt;"",$P1353&gt;=Parâmetros!$C$5),"Sim","Não"))</f>
        <v/>
      </c>
      <c r="P1353" s="45" t="str">
        <f aca="false">IF($E1353="","",IF($G1353="","",IF($G1353="NOK",$F1353,0)))</f>
        <v/>
      </c>
      <c r="Q1353" s="46" t="str">
        <f aca="false">IF($E1353="","",IF($O1353&lt;&gt;"Sim","",COUNTIF($O$3:$O1353,"Sim")))</f>
        <v/>
      </c>
      <c r="R1353" s="47" t="n">
        <f aca="false">IF($P1353="",0,$P1353)</f>
        <v>0</v>
      </c>
    </row>
    <row r="1354" customFormat="false" ht="18" hidden="false" customHeight="true" outlineLevel="0" collapsed="false">
      <c r="A1354" s="39"/>
      <c r="B1354" s="41"/>
      <c r="C1354" s="40"/>
      <c r="D1354" s="40"/>
      <c r="E1354" s="40"/>
      <c r="F1354" s="42"/>
      <c r="G1354" s="39"/>
      <c r="H1354" s="40"/>
      <c r="I1354" s="40"/>
      <c r="J1354" s="40"/>
      <c r="K1354" s="41"/>
      <c r="L1354" s="39"/>
      <c r="M1354" s="48" t="str">
        <f aca="false">IF($E1354="","",IFERROR(INDEX(Parâmetros!$C$15:$C$20,MATCH($P1354,Parâmetros!$B$15:$B$20,0)),""))</f>
        <v/>
      </c>
      <c r="N1354" s="46" t="str">
        <f aca="false">IF($E1354="","",IF($P1354="","",IF($P1354&gt;=8,"Alta",IF($P1354&gt;=5,"Média","Baixa"))))</f>
        <v/>
      </c>
      <c r="O1354" s="46" t="str">
        <f aca="false">IF($E1354="","",IF(AND(Parâmetros!$C$5&gt;0,$P1354&lt;&gt;"",$P1354&gt;=Parâmetros!$C$5),"Sim","Não"))</f>
        <v/>
      </c>
      <c r="P1354" s="45" t="str">
        <f aca="false">IF($E1354="","",IF($G1354="","",IF($G1354="NOK",$F1354,0)))</f>
        <v/>
      </c>
      <c r="Q1354" s="46" t="str">
        <f aca="false">IF($E1354="","",IF($O1354&lt;&gt;"Sim","",COUNTIF($O$3:$O1354,"Sim")))</f>
        <v/>
      </c>
      <c r="R1354" s="47" t="n">
        <f aca="false">IF($P1354="",0,$P1354)</f>
        <v>0</v>
      </c>
    </row>
    <row r="1355" customFormat="false" ht="18" hidden="false" customHeight="true" outlineLevel="0" collapsed="false">
      <c r="A1355" s="39"/>
      <c r="B1355" s="41"/>
      <c r="C1355" s="40"/>
      <c r="D1355" s="40"/>
      <c r="E1355" s="40"/>
      <c r="F1355" s="42"/>
      <c r="G1355" s="39"/>
      <c r="H1355" s="40"/>
      <c r="I1355" s="40"/>
      <c r="J1355" s="40"/>
      <c r="K1355" s="41"/>
      <c r="L1355" s="39"/>
      <c r="M1355" s="48" t="str">
        <f aca="false">IF($E1355="","",IFERROR(INDEX(Parâmetros!$C$15:$C$20,MATCH($P1355,Parâmetros!$B$15:$B$20,0)),""))</f>
        <v/>
      </c>
      <c r="N1355" s="46" t="str">
        <f aca="false">IF($E1355="","",IF($P1355="","",IF($P1355&gt;=8,"Alta",IF($P1355&gt;=5,"Média","Baixa"))))</f>
        <v/>
      </c>
      <c r="O1355" s="46" t="str">
        <f aca="false">IF($E1355="","",IF(AND(Parâmetros!$C$5&gt;0,$P1355&lt;&gt;"",$P1355&gt;=Parâmetros!$C$5),"Sim","Não"))</f>
        <v/>
      </c>
      <c r="P1355" s="45" t="str">
        <f aca="false">IF($E1355="","",IF($G1355="","",IF($G1355="NOK",$F1355,0)))</f>
        <v/>
      </c>
      <c r="Q1355" s="46" t="str">
        <f aca="false">IF($E1355="","",IF($O1355&lt;&gt;"Sim","",COUNTIF($O$3:$O1355,"Sim")))</f>
        <v/>
      </c>
      <c r="R1355" s="47" t="n">
        <f aca="false">IF($P1355="",0,$P1355)</f>
        <v>0</v>
      </c>
    </row>
    <row r="1356" customFormat="false" ht="18" hidden="false" customHeight="true" outlineLevel="0" collapsed="false">
      <c r="A1356" s="39"/>
      <c r="B1356" s="41"/>
      <c r="C1356" s="40"/>
      <c r="D1356" s="40"/>
      <c r="E1356" s="40"/>
      <c r="F1356" s="42"/>
      <c r="G1356" s="39"/>
      <c r="H1356" s="40"/>
      <c r="I1356" s="40"/>
      <c r="J1356" s="40"/>
      <c r="K1356" s="41"/>
      <c r="L1356" s="39"/>
      <c r="M1356" s="48" t="str">
        <f aca="false">IF($E1356="","",IFERROR(INDEX(Parâmetros!$C$15:$C$20,MATCH($P1356,Parâmetros!$B$15:$B$20,0)),""))</f>
        <v/>
      </c>
      <c r="N1356" s="46" t="str">
        <f aca="false">IF($E1356="","",IF($P1356="","",IF($P1356&gt;=8,"Alta",IF($P1356&gt;=5,"Média","Baixa"))))</f>
        <v/>
      </c>
      <c r="O1356" s="46" t="str">
        <f aca="false">IF($E1356="","",IF(AND(Parâmetros!$C$5&gt;0,$P1356&lt;&gt;"",$P1356&gt;=Parâmetros!$C$5),"Sim","Não"))</f>
        <v/>
      </c>
      <c r="P1356" s="45" t="str">
        <f aca="false">IF($E1356="","",IF($G1356="","",IF($G1356="NOK",$F1356,0)))</f>
        <v/>
      </c>
      <c r="Q1356" s="46" t="str">
        <f aca="false">IF($E1356="","",IF($O1356&lt;&gt;"Sim","",COUNTIF($O$3:$O1356,"Sim")))</f>
        <v/>
      </c>
      <c r="R1356" s="47" t="n">
        <f aca="false">IF($P1356="",0,$P1356)</f>
        <v>0</v>
      </c>
    </row>
    <row r="1357" customFormat="false" ht="18" hidden="false" customHeight="true" outlineLevel="0" collapsed="false">
      <c r="A1357" s="39"/>
      <c r="B1357" s="41"/>
      <c r="C1357" s="40"/>
      <c r="D1357" s="40"/>
      <c r="E1357" s="40"/>
      <c r="F1357" s="42"/>
      <c r="G1357" s="39"/>
      <c r="H1357" s="40"/>
      <c r="I1357" s="40"/>
      <c r="J1357" s="40"/>
      <c r="K1357" s="41"/>
      <c r="L1357" s="39"/>
      <c r="M1357" s="48" t="str">
        <f aca="false">IF($E1357="","",IFERROR(INDEX(Parâmetros!$C$15:$C$20,MATCH($P1357,Parâmetros!$B$15:$B$20,0)),""))</f>
        <v/>
      </c>
      <c r="N1357" s="46" t="str">
        <f aca="false">IF($E1357="","",IF($P1357="","",IF($P1357&gt;=8,"Alta",IF($P1357&gt;=5,"Média","Baixa"))))</f>
        <v/>
      </c>
      <c r="O1357" s="46" t="str">
        <f aca="false">IF($E1357="","",IF(AND(Parâmetros!$C$5&gt;0,$P1357&lt;&gt;"",$P1357&gt;=Parâmetros!$C$5),"Sim","Não"))</f>
        <v/>
      </c>
      <c r="P1357" s="45" t="str">
        <f aca="false">IF($E1357="","",IF($G1357="","",IF($G1357="NOK",$F1357,0)))</f>
        <v/>
      </c>
      <c r="Q1357" s="46" t="str">
        <f aca="false">IF($E1357="","",IF($O1357&lt;&gt;"Sim","",COUNTIF($O$3:$O1357,"Sim")))</f>
        <v/>
      </c>
      <c r="R1357" s="47" t="n">
        <f aca="false">IF($P1357="",0,$P1357)</f>
        <v>0</v>
      </c>
    </row>
    <row r="1358" customFormat="false" ht="18" hidden="false" customHeight="true" outlineLevel="0" collapsed="false">
      <c r="A1358" s="39"/>
      <c r="B1358" s="41"/>
      <c r="C1358" s="40"/>
      <c r="D1358" s="40"/>
      <c r="E1358" s="40"/>
      <c r="F1358" s="42"/>
      <c r="G1358" s="39"/>
      <c r="H1358" s="40"/>
      <c r="I1358" s="40"/>
      <c r="J1358" s="40"/>
      <c r="K1358" s="41"/>
      <c r="L1358" s="39"/>
      <c r="M1358" s="48" t="str">
        <f aca="false">IF($E1358="","",IFERROR(INDEX(Parâmetros!$C$15:$C$20,MATCH($P1358,Parâmetros!$B$15:$B$20,0)),""))</f>
        <v/>
      </c>
      <c r="N1358" s="46" t="str">
        <f aca="false">IF($E1358="","",IF($P1358="","",IF($P1358&gt;=8,"Alta",IF($P1358&gt;=5,"Média","Baixa"))))</f>
        <v/>
      </c>
      <c r="O1358" s="46" t="str">
        <f aca="false">IF($E1358="","",IF(AND(Parâmetros!$C$5&gt;0,$P1358&lt;&gt;"",$P1358&gt;=Parâmetros!$C$5),"Sim","Não"))</f>
        <v/>
      </c>
      <c r="P1358" s="45" t="str">
        <f aca="false">IF($E1358="","",IF($G1358="","",IF($G1358="NOK",$F1358,0)))</f>
        <v/>
      </c>
      <c r="Q1358" s="46" t="str">
        <f aca="false">IF($E1358="","",IF($O1358&lt;&gt;"Sim","",COUNTIF($O$3:$O1358,"Sim")))</f>
        <v/>
      </c>
      <c r="R1358" s="47" t="n">
        <f aca="false">IF($P1358="",0,$P1358)</f>
        <v>0</v>
      </c>
    </row>
    <row r="1359" customFormat="false" ht="18" hidden="false" customHeight="true" outlineLevel="0" collapsed="false">
      <c r="A1359" s="39"/>
      <c r="B1359" s="41"/>
      <c r="C1359" s="40"/>
      <c r="D1359" s="40"/>
      <c r="E1359" s="40"/>
      <c r="F1359" s="42"/>
      <c r="G1359" s="39"/>
      <c r="H1359" s="40"/>
      <c r="I1359" s="40"/>
      <c r="J1359" s="40"/>
      <c r="K1359" s="41"/>
      <c r="L1359" s="39"/>
      <c r="M1359" s="48" t="str">
        <f aca="false">IF($E1359="","",IFERROR(INDEX(Parâmetros!$C$15:$C$20,MATCH($P1359,Parâmetros!$B$15:$B$20,0)),""))</f>
        <v/>
      </c>
      <c r="N1359" s="46" t="str">
        <f aca="false">IF($E1359="","",IF($P1359="","",IF($P1359&gt;=8,"Alta",IF($P1359&gt;=5,"Média","Baixa"))))</f>
        <v/>
      </c>
      <c r="O1359" s="46" t="str">
        <f aca="false">IF($E1359="","",IF(AND(Parâmetros!$C$5&gt;0,$P1359&lt;&gt;"",$P1359&gt;=Parâmetros!$C$5),"Sim","Não"))</f>
        <v/>
      </c>
      <c r="P1359" s="45" t="str">
        <f aca="false">IF($E1359="","",IF($G1359="","",IF($G1359="NOK",$F1359,0)))</f>
        <v/>
      </c>
      <c r="Q1359" s="46" t="str">
        <f aca="false">IF($E1359="","",IF($O1359&lt;&gt;"Sim","",COUNTIF($O$3:$O1359,"Sim")))</f>
        <v/>
      </c>
      <c r="R1359" s="47" t="n">
        <f aca="false">IF($P1359="",0,$P1359)</f>
        <v>0</v>
      </c>
    </row>
    <row r="1360" customFormat="false" ht="18" hidden="false" customHeight="true" outlineLevel="0" collapsed="false">
      <c r="A1360" s="39"/>
      <c r="B1360" s="41"/>
      <c r="C1360" s="40"/>
      <c r="D1360" s="40"/>
      <c r="E1360" s="40"/>
      <c r="F1360" s="42"/>
      <c r="G1360" s="39"/>
      <c r="H1360" s="40"/>
      <c r="I1360" s="40"/>
      <c r="J1360" s="40"/>
      <c r="K1360" s="41"/>
      <c r="L1360" s="39"/>
      <c r="M1360" s="48" t="str">
        <f aca="false">IF($E1360="","",IFERROR(INDEX(Parâmetros!$C$15:$C$20,MATCH($P1360,Parâmetros!$B$15:$B$20,0)),""))</f>
        <v/>
      </c>
      <c r="N1360" s="46" t="str">
        <f aca="false">IF($E1360="","",IF($P1360="","",IF($P1360&gt;=8,"Alta",IF($P1360&gt;=5,"Média","Baixa"))))</f>
        <v/>
      </c>
      <c r="O1360" s="46" t="str">
        <f aca="false">IF($E1360="","",IF(AND(Parâmetros!$C$5&gt;0,$P1360&lt;&gt;"",$P1360&gt;=Parâmetros!$C$5),"Sim","Não"))</f>
        <v/>
      </c>
      <c r="P1360" s="45" t="str">
        <f aca="false">IF($E1360="","",IF($G1360="","",IF($G1360="NOK",$F1360,0)))</f>
        <v/>
      </c>
      <c r="Q1360" s="46" t="str">
        <f aca="false">IF($E1360="","",IF($O1360&lt;&gt;"Sim","",COUNTIF($O$3:$O1360,"Sim")))</f>
        <v/>
      </c>
      <c r="R1360" s="47" t="n">
        <f aca="false">IF($P1360="",0,$P1360)</f>
        <v>0</v>
      </c>
    </row>
    <row r="1361" customFormat="false" ht="18" hidden="false" customHeight="true" outlineLevel="0" collapsed="false">
      <c r="A1361" s="39"/>
      <c r="B1361" s="41"/>
      <c r="C1361" s="40"/>
      <c r="D1361" s="40"/>
      <c r="E1361" s="40"/>
      <c r="F1361" s="42"/>
      <c r="G1361" s="39"/>
      <c r="H1361" s="40"/>
      <c r="I1361" s="40"/>
      <c r="J1361" s="40"/>
      <c r="K1361" s="41"/>
      <c r="L1361" s="39"/>
      <c r="M1361" s="48" t="str">
        <f aca="false">IF($E1361="","",IFERROR(INDEX(Parâmetros!$C$15:$C$20,MATCH($P1361,Parâmetros!$B$15:$B$20,0)),""))</f>
        <v/>
      </c>
      <c r="N1361" s="46" t="str">
        <f aca="false">IF($E1361="","",IF($P1361="","",IF($P1361&gt;=8,"Alta",IF($P1361&gt;=5,"Média","Baixa"))))</f>
        <v/>
      </c>
      <c r="O1361" s="46" t="str">
        <f aca="false">IF($E1361="","",IF(AND(Parâmetros!$C$5&gt;0,$P1361&lt;&gt;"",$P1361&gt;=Parâmetros!$C$5),"Sim","Não"))</f>
        <v/>
      </c>
      <c r="P1361" s="45" t="str">
        <f aca="false">IF($E1361="","",IF($G1361="","",IF($G1361="NOK",$F1361,0)))</f>
        <v/>
      </c>
      <c r="Q1361" s="46" t="str">
        <f aca="false">IF($E1361="","",IF($O1361&lt;&gt;"Sim","",COUNTIF($O$3:$O1361,"Sim")))</f>
        <v/>
      </c>
      <c r="R1361" s="47" t="n">
        <f aca="false">IF($P1361="",0,$P1361)</f>
        <v>0</v>
      </c>
    </row>
    <row r="1362" customFormat="false" ht="18" hidden="false" customHeight="true" outlineLevel="0" collapsed="false">
      <c r="A1362" s="39"/>
      <c r="B1362" s="41"/>
      <c r="C1362" s="40"/>
      <c r="D1362" s="40"/>
      <c r="E1362" s="40"/>
      <c r="F1362" s="42"/>
      <c r="G1362" s="39"/>
      <c r="H1362" s="40"/>
      <c r="I1362" s="40"/>
      <c r="J1362" s="40"/>
      <c r="K1362" s="41"/>
      <c r="L1362" s="39"/>
      <c r="M1362" s="48" t="str">
        <f aca="false">IF($E1362="","",IFERROR(INDEX(Parâmetros!$C$15:$C$20,MATCH($P1362,Parâmetros!$B$15:$B$20,0)),""))</f>
        <v/>
      </c>
      <c r="N1362" s="46" t="str">
        <f aca="false">IF($E1362="","",IF($P1362="","",IF($P1362&gt;=8,"Alta",IF($P1362&gt;=5,"Média","Baixa"))))</f>
        <v/>
      </c>
      <c r="O1362" s="46" t="str">
        <f aca="false">IF($E1362="","",IF(AND(Parâmetros!$C$5&gt;0,$P1362&lt;&gt;"",$P1362&gt;=Parâmetros!$C$5),"Sim","Não"))</f>
        <v/>
      </c>
      <c r="P1362" s="45" t="str">
        <f aca="false">IF($E1362="","",IF($G1362="","",IF($G1362="NOK",$F1362,0)))</f>
        <v/>
      </c>
      <c r="Q1362" s="46" t="str">
        <f aca="false">IF($E1362="","",IF($O1362&lt;&gt;"Sim","",COUNTIF($O$3:$O1362,"Sim")))</f>
        <v/>
      </c>
      <c r="R1362" s="47" t="n">
        <f aca="false">IF($P1362="",0,$P1362)</f>
        <v>0</v>
      </c>
    </row>
    <row r="1363" customFormat="false" ht="18" hidden="false" customHeight="true" outlineLevel="0" collapsed="false">
      <c r="A1363" s="39"/>
      <c r="B1363" s="41"/>
      <c r="C1363" s="40"/>
      <c r="D1363" s="40"/>
      <c r="E1363" s="40"/>
      <c r="F1363" s="42"/>
      <c r="G1363" s="39"/>
      <c r="H1363" s="40"/>
      <c r="I1363" s="40"/>
      <c r="J1363" s="40"/>
      <c r="K1363" s="41"/>
      <c r="L1363" s="39"/>
      <c r="M1363" s="48" t="str">
        <f aca="false">IF($E1363="","",IFERROR(INDEX(Parâmetros!$C$15:$C$20,MATCH($P1363,Parâmetros!$B$15:$B$20,0)),""))</f>
        <v/>
      </c>
      <c r="N1363" s="46" t="str">
        <f aca="false">IF($E1363="","",IF($P1363="","",IF($P1363&gt;=8,"Alta",IF($P1363&gt;=5,"Média","Baixa"))))</f>
        <v/>
      </c>
      <c r="O1363" s="46" t="str">
        <f aca="false">IF($E1363="","",IF(AND(Parâmetros!$C$5&gt;0,$P1363&lt;&gt;"",$P1363&gt;=Parâmetros!$C$5),"Sim","Não"))</f>
        <v/>
      </c>
      <c r="P1363" s="45" t="str">
        <f aca="false">IF($E1363="","",IF($G1363="","",IF($G1363="NOK",$F1363,0)))</f>
        <v/>
      </c>
      <c r="Q1363" s="46" t="str">
        <f aca="false">IF($E1363="","",IF($O1363&lt;&gt;"Sim","",COUNTIF($O$3:$O1363,"Sim")))</f>
        <v/>
      </c>
      <c r="R1363" s="47" t="n">
        <f aca="false">IF($P1363="",0,$P1363)</f>
        <v>0</v>
      </c>
    </row>
    <row r="1364" customFormat="false" ht="18" hidden="false" customHeight="true" outlineLevel="0" collapsed="false">
      <c r="A1364" s="39"/>
      <c r="B1364" s="41"/>
      <c r="C1364" s="40"/>
      <c r="D1364" s="40"/>
      <c r="E1364" s="40"/>
      <c r="F1364" s="42"/>
      <c r="G1364" s="39"/>
      <c r="H1364" s="40"/>
      <c r="I1364" s="40"/>
      <c r="J1364" s="40"/>
      <c r="K1364" s="41"/>
      <c r="L1364" s="39"/>
      <c r="M1364" s="48" t="str">
        <f aca="false">IF($E1364="","",IFERROR(INDEX(Parâmetros!$C$15:$C$20,MATCH($P1364,Parâmetros!$B$15:$B$20,0)),""))</f>
        <v/>
      </c>
      <c r="N1364" s="46" t="str">
        <f aca="false">IF($E1364="","",IF($P1364="","",IF($P1364&gt;=8,"Alta",IF($P1364&gt;=5,"Média","Baixa"))))</f>
        <v/>
      </c>
      <c r="O1364" s="46" t="str">
        <f aca="false">IF($E1364="","",IF(AND(Parâmetros!$C$5&gt;0,$P1364&lt;&gt;"",$P1364&gt;=Parâmetros!$C$5),"Sim","Não"))</f>
        <v/>
      </c>
      <c r="P1364" s="45" t="str">
        <f aca="false">IF($E1364="","",IF($G1364="","",IF($G1364="NOK",$F1364,0)))</f>
        <v/>
      </c>
      <c r="Q1364" s="46" t="str">
        <f aca="false">IF($E1364="","",IF($O1364&lt;&gt;"Sim","",COUNTIF($O$3:$O1364,"Sim")))</f>
        <v/>
      </c>
      <c r="R1364" s="47" t="n">
        <f aca="false">IF($P1364="",0,$P1364)</f>
        <v>0</v>
      </c>
    </row>
    <row r="1365" customFormat="false" ht="18" hidden="false" customHeight="true" outlineLevel="0" collapsed="false">
      <c r="A1365" s="39"/>
      <c r="B1365" s="41"/>
      <c r="C1365" s="40"/>
      <c r="D1365" s="40"/>
      <c r="E1365" s="40"/>
      <c r="F1365" s="42"/>
      <c r="G1365" s="39"/>
      <c r="H1365" s="40"/>
      <c r="I1365" s="40"/>
      <c r="J1365" s="40"/>
      <c r="K1365" s="41"/>
      <c r="L1365" s="39"/>
      <c r="M1365" s="48" t="str">
        <f aca="false">IF($E1365="","",IFERROR(INDEX(Parâmetros!$C$15:$C$20,MATCH($P1365,Parâmetros!$B$15:$B$20,0)),""))</f>
        <v/>
      </c>
      <c r="N1365" s="46" t="str">
        <f aca="false">IF($E1365="","",IF($P1365="","",IF($P1365&gt;=8,"Alta",IF($P1365&gt;=5,"Média","Baixa"))))</f>
        <v/>
      </c>
      <c r="O1365" s="46" t="str">
        <f aca="false">IF($E1365="","",IF(AND(Parâmetros!$C$5&gt;0,$P1365&lt;&gt;"",$P1365&gt;=Parâmetros!$C$5),"Sim","Não"))</f>
        <v/>
      </c>
      <c r="P1365" s="45" t="str">
        <f aca="false">IF($E1365="","",IF($G1365="","",IF($G1365="NOK",$F1365,0)))</f>
        <v/>
      </c>
      <c r="Q1365" s="46" t="str">
        <f aca="false">IF($E1365="","",IF($O1365&lt;&gt;"Sim","",COUNTIF($O$3:$O1365,"Sim")))</f>
        <v/>
      </c>
      <c r="R1365" s="47" t="n">
        <f aca="false">IF($P1365="",0,$P1365)</f>
        <v>0</v>
      </c>
    </row>
    <row r="1366" customFormat="false" ht="18" hidden="false" customHeight="true" outlineLevel="0" collapsed="false">
      <c r="A1366" s="39"/>
      <c r="B1366" s="41"/>
      <c r="C1366" s="40"/>
      <c r="D1366" s="40"/>
      <c r="E1366" s="40"/>
      <c r="F1366" s="42"/>
      <c r="G1366" s="39"/>
      <c r="H1366" s="40"/>
      <c r="I1366" s="40"/>
      <c r="J1366" s="40"/>
      <c r="K1366" s="41"/>
      <c r="L1366" s="39"/>
      <c r="M1366" s="48" t="str">
        <f aca="false">IF($E1366="","",IFERROR(INDEX(Parâmetros!$C$15:$C$20,MATCH($P1366,Parâmetros!$B$15:$B$20,0)),""))</f>
        <v/>
      </c>
      <c r="N1366" s="46" t="str">
        <f aca="false">IF($E1366="","",IF($P1366="","",IF($P1366&gt;=8,"Alta",IF($P1366&gt;=5,"Média","Baixa"))))</f>
        <v/>
      </c>
      <c r="O1366" s="46" t="str">
        <f aca="false">IF($E1366="","",IF(AND(Parâmetros!$C$5&gt;0,$P1366&lt;&gt;"",$P1366&gt;=Parâmetros!$C$5),"Sim","Não"))</f>
        <v/>
      </c>
      <c r="P1366" s="45" t="str">
        <f aca="false">IF($E1366="","",IF($G1366="","",IF($G1366="NOK",$F1366,0)))</f>
        <v/>
      </c>
      <c r="Q1366" s="46" t="str">
        <f aca="false">IF($E1366="","",IF($O1366&lt;&gt;"Sim","",COUNTIF($O$3:$O1366,"Sim")))</f>
        <v/>
      </c>
      <c r="R1366" s="47" t="n">
        <f aca="false">IF($P1366="",0,$P1366)</f>
        <v>0</v>
      </c>
    </row>
    <row r="1367" customFormat="false" ht="18" hidden="false" customHeight="true" outlineLevel="0" collapsed="false">
      <c r="A1367" s="39"/>
      <c r="B1367" s="41"/>
      <c r="C1367" s="40"/>
      <c r="D1367" s="40"/>
      <c r="E1367" s="40"/>
      <c r="F1367" s="42"/>
      <c r="G1367" s="39"/>
      <c r="H1367" s="40"/>
      <c r="I1367" s="40"/>
      <c r="J1367" s="40"/>
      <c r="K1367" s="41"/>
      <c r="L1367" s="39"/>
      <c r="M1367" s="48" t="str">
        <f aca="false">IF($E1367="","",IFERROR(INDEX(Parâmetros!$C$15:$C$20,MATCH($P1367,Parâmetros!$B$15:$B$20,0)),""))</f>
        <v/>
      </c>
      <c r="N1367" s="46" t="str">
        <f aca="false">IF($E1367="","",IF($P1367="","",IF($P1367&gt;=8,"Alta",IF($P1367&gt;=5,"Média","Baixa"))))</f>
        <v/>
      </c>
      <c r="O1367" s="46" t="str">
        <f aca="false">IF($E1367="","",IF(AND(Parâmetros!$C$5&gt;0,$P1367&lt;&gt;"",$P1367&gt;=Parâmetros!$C$5),"Sim","Não"))</f>
        <v/>
      </c>
      <c r="P1367" s="45" t="str">
        <f aca="false">IF($E1367="","",IF($G1367="","",IF($G1367="NOK",$F1367,0)))</f>
        <v/>
      </c>
      <c r="Q1367" s="46" t="str">
        <f aca="false">IF($E1367="","",IF($O1367&lt;&gt;"Sim","",COUNTIF($O$3:$O1367,"Sim")))</f>
        <v/>
      </c>
      <c r="R1367" s="47" t="n">
        <f aca="false">IF($P1367="",0,$P1367)</f>
        <v>0</v>
      </c>
    </row>
    <row r="1368" customFormat="false" ht="18" hidden="false" customHeight="true" outlineLevel="0" collapsed="false">
      <c r="A1368" s="39"/>
      <c r="B1368" s="41"/>
      <c r="C1368" s="40"/>
      <c r="D1368" s="40"/>
      <c r="E1368" s="40"/>
      <c r="F1368" s="42"/>
      <c r="G1368" s="39"/>
      <c r="H1368" s="40"/>
      <c r="I1368" s="40"/>
      <c r="J1368" s="40"/>
      <c r="K1368" s="41"/>
      <c r="L1368" s="39"/>
      <c r="M1368" s="48" t="str">
        <f aca="false">IF($E1368="","",IFERROR(INDEX(Parâmetros!$C$15:$C$20,MATCH($P1368,Parâmetros!$B$15:$B$20,0)),""))</f>
        <v/>
      </c>
      <c r="N1368" s="46" t="str">
        <f aca="false">IF($E1368="","",IF($P1368="","",IF($P1368&gt;=8,"Alta",IF($P1368&gt;=5,"Média","Baixa"))))</f>
        <v/>
      </c>
      <c r="O1368" s="46" t="str">
        <f aca="false">IF($E1368="","",IF(AND(Parâmetros!$C$5&gt;0,$P1368&lt;&gt;"",$P1368&gt;=Parâmetros!$C$5),"Sim","Não"))</f>
        <v/>
      </c>
      <c r="P1368" s="45" t="str">
        <f aca="false">IF($E1368="","",IF($G1368="","",IF($G1368="NOK",$F1368,0)))</f>
        <v/>
      </c>
      <c r="Q1368" s="46" t="str">
        <f aca="false">IF($E1368="","",IF($O1368&lt;&gt;"Sim","",COUNTIF($O$3:$O1368,"Sim")))</f>
        <v/>
      </c>
      <c r="R1368" s="47" t="n">
        <f aca="false">IF($P1368="",0,$P1368)</f>
        <v>0</v>
      </c>
    </row>
    <row r="1369" customFormat="false" ht="18" hidden="false" customHeight="true" outlineLevel="0" collapsed="false">
      <c r="A1369" s="39"/>
      <c r="B1369" s="41"/>
      <c r="C1369" s="40"/>
      <c r="D1369" s="40"/>
      <c r="E1369" s="40"/>
      <c r="F1369" s="42"/>
      <c r="G1369" s="39"/>
      <c r="H1369" s="40"/>
      <c r="I1369" s="40"/>
      <c r="J1369" s="40"/>
      <c r="K1369" s="41"/>
      <c r="L1369" s="39"/>
      <c r="M1369" s="48" t="str">
        <f aca="false">IF($E1369="","",IFERROR(INDEX(Parâmetros!$C$15:$C$20,MATCH($P1369,Parâmetros!$B$15:$B$20,0)),""))</f>
        <v/>
      </c>
      <c r="N1369" s="46" t="str">
        <f aca="false">IF($E1369="","",IF($P1369="","",IF($P1369&gt;=8,"Alta",IF($P1369&gt;=5,"Média","Baixa"))))</f>
        <v/>
      </c>
      <c r="O1369" s="46" t="str">
        <f aca="false">IF($E1369="","",IF(AND(Parâmetros!$C$5&gt;0,$P1369&lt;&gt;"",$P1369&gt;=Parâmetros!$C$5),"Sim","Não"))</f>
        <v/>
      </c>
      <c r="P1369" s="45" t="str">
        <f aca="false">IF($E1369="","",IF($G1369="","",IF($G1369="NOK",$F1369,0)))</f>
        <v/>
      </c>
      <c r="Q1369" s="46" t="str">
        <f aca="false">IF($E1369="","",IF($O1369&lt;&gt;"Sim","",COUNTIF($O$3:$O1369,"Sim")))</f>
        <v/>
      </c>
      <c r="R1369" s="47" t="n">
        <f aca="false">IF($P1369="",0,$P1369)</f>
        <v>0</v>
      </c>
    </row>
    <row r="1370" customFormat="false" ht="18" hidden="false" customHeight="true" outlineLevel="0" collapsed="false">
      <c r="A1370" s="39"/>
      <c r="B1370" s="41"/>
      <c r="C1370" s="40"/>
      <c r="D1370" s="40"/>
      <c r="E1370" s="40"/>
      <c r="F1370" s="42"/>
      <c r="G1370" s="39"/>
      <c r="H1370" s="40"/>
      <c r="I1370" s="40"/>
      <c r="J1370" s="40"/>
      <c r="K1370" s="41"/>
      <c r="L1370" s="39"/>
      <c r="M1370" s="48" t="str">
        <f aca="false">IF($E1370="","",IFERROR(INDEX(Parâmetros!$C$15:$C$20,MATCH($P1370,Parâmetros!$B$15:$B$20,0)),""))</f>
        <v/>
      </c>
      <c r="N1370" s="46" t="str">
        <f aca="false">IF($E1370="","",IF($P1370="","",IF($P1370&gt;=8,"Alta",IF($P1370&gt;=5,"Média","Baixa"))))</f>
        <v/>
      </c>
      <c r="O1370" s="46" t="str">
        <f aca="false">IF($E1370="","",IF(AND(Parâmetros!$C$5&gt;0,$P1370&lt;&gt;"",$P1370&gt;=Parâmetros!$C$5),"Sim","Não"))</f>
        <v/>
      </c>
      <c r="P1370" s="45" t="str">
        <f aca="false">IF($E1370="","",IF($G1370="","",IF($G1370="NOK",$F1370,0)))</f>
        <v/>
      </c>
      <c r="Q1370" s="46" t="str">
        <f aca="false">IF($E1370="","",IF($O1370&lt;&gt;"Sim","",COUNTIF($O$3:$O1370,"Sim")))</f>
        <v/>
      </c>
      <c r="R1370" s="47" t="n">
        <f aca="false">IF($P1370="",0,$P1370)</f>
        <v>0</v>
      </c>
    </row>
    <row r="1371" customFormat="false" ht="18" hidden="false" customHeight="true" outlineLevel="0" collapsed="false">
      <c r="A1371" s="39"/>
      <c r="B1371" s="41"/>
      <c r="C1371" s="40"/>
      <c r="D1371" s="40"/>
      <c r="E1371" s="40"/>
      <c r="F1371" s="42"/>
      <c r="G1371" s="39"/>
      <c r="H1371" s="40"/>
      <c r="I1371" s="40"/>
      <c r="J1371" s="40"/>
      <c r="K1371" s="41"/>
      <c r="L1371" s="39"/>
      <c r="M1371" s="48" t="str">
        <f aca="false">IF($E1371="","",IFERROR(INDEX(Parâmetros!$C$15:$C$20,MATCH($P1371,Parâmetros!$B$15:$B$20,0)),""))</f>
        <v/>
      </c>
      <c r="N1371" s="46" t="str">
        <f aca="false">IF($E1371="","",IF($P1371="","",IF($P1371&gt;=8,"Alta",IF($P1371&gt;=5,"Média","Baixa"))))</f>
        <v/>
      </c>
      <c r="O1371" s="46" t="str">
        <f aca="false">IF($E1371="","",IF(AND(Parâmetros!$C$5&gt;0,$P1371&lt;&gt;"",$P1371&gt;=Parâmetros!$C$5),"Sim","Não"))</f>
        <v/>
      </c>
      <c r="P1371" s="45" t="str">
        <f aca="false">IF($E1371="","",IF($G1371="","",IF($G1371="NOK",$F1371,0)))</f>
        <v/>
      </c>
      <c r="Q1371" s="46" t="str">
        <f aca="false">IF($E1371="","",IF($O1371&lt;&gt;"Sim","",COUNTIF($O$3:$O1371,"Sim")))</f>
        <v/>
      </c>
      <c r="R1371" s="47" t="n">
        <f aca="false">IF($P1371="",0,$P1371)</f>
        <v>0</v>
      </c>
    </row>
    <row r="1372" customFormat="false" ht="18" hidden="false" customHeight="true" outlineLevel="0" collapsed="false">
      <c r="A1372" s="39"/>
      <c r="B1372" s="41"/>
      <c r="C1372" s="40"/>
      <c r="D1372" s="40"/>
      <c r="E1372" s="40"/>
      <c r="F1372" s="42"/>
      <c r="G1372" s="39"/>
      <c r="H1372" s="40"/>
      <c r="I1372" s="40"/>
      <c r="J1372" s="40"/>
      <c r="K1372" s="41"/>
      <c r="L1372" s="39"/>
      <c r="M1372" s="48" t="str">
        <f aca="false">IF($E1372="","",IFERROR(INDEX(Parâmetros!$C$15:$C$20,MATCH($P1372,Parâmetros!$B$15:$B$20,0)),""))</f>
        <v/>
      </c>
      <c r="N1372" s="46" t="str">
        <f aca="false">IF($E1372="","",IF($P1372="","",IF($P1372&gt;=8,"Alta",IF($P1372&gt;=5,"Média","Baixa"))))</f>
        <v/>
      </c>
      <c r="O1372" s="46" t="str">
        <f aca="false">IF($E1372="","",IF(AND(Parâmetros!$C$5&gt;0,$P1372&lt;&gt;"",$P1372&gt;=Parâmetros!$C$5),"Sim","Não"))</f>
        <v/>
      </c>
      <c r="P1372" s="45" t="str">
        <f aca="false">IF($E1372="","",IF($G1372="","",IF($G1372="NOK",$F1372,0)))</f>
        <v/>
      </c>
      <c r="Q1372" s="46" t="str">
        <f aca="false">IF($E1372="","",IF($O1372&lt;&gt;"Sim","",COUNTIF($O$3:$O1372,"Sim")))</f>
        <v/>
      </c>
      <c r="R1372" s="47" t="n">
        <f aca="false">IF($P1372="",0,$P1372)</f>
        <v>0</v>
      </c>
    </row>
    <row r="1373" customFormat="false" ht="18" hidden="false" customHeight="true" outlineLevel="0" collapsed="false">
      <c r="A1373" s="39"/>
      <c r="B1373" s="41"/>
      <c r="C1373" s="40"/>
      <c r="D1373" s="40"/>
      <c r="E1373" s="40"/>
      <c r="F1373" s="42"/>
      <c r="G1373" s="39"/>
      <c r="H1373" s="40"/>
      <c r="I1373" s="40"/>
      <c r="J1373" s="40"/>
      <c r="K1373" s="41"/>
      <c r="L1373" s="39"/>
      <c r="M1373" s="48" t="str">
        <f aca="false">IF($E1373="","",IFERROR(INDEX(Parâmetros!$C$15:$C$20,MATCH($P1373,Parâmetros!$B$15:$B$20,0)),""))</f>
        <v/>
      </c>
      <c r="N1373" s="46" t="str">
        <f aca="false">IF($E1373="","",IF($P1373="","",IF($P1373&gt;=8,"Alta",IF($P1373&gt;=5,"Média","Baixa"))))</f>
        <v/>
      </c>
      <c r="O1373" s="46" t="str">
        <f aca="false">IF($E1373="","",IF(AND(Parâmetros!$C$5&gt;0,$P1373&lt;&gt;"",$P1373&gt;=Parâmetros!$C$5),"Sim","Não"))</f>
        <v/>
      </c>
      <c r="P1373" s="45" t="str">
        <f aca="false">IF($E1373="","",IF($G1373="","",IF($G1373="NOK",$F1373,0)))</f>
        <v/>
      </c>
      <c r="Q1373" s="46" t="str">
        <f aca="false">IF($E1373="","",IF($O1373&lt;&gt;"Sim","",COUNTIF($O$3:$O1373,"Sim")))</f>
        <v/>
      </c>
      <c r="R1373" s="47" t="n">
        <f aca="false">IF($P1373="",0,$P1373)</f>
        <v>0</v>
      </c>
    </row>
    <row r="1374" customFormat="false" ht="18" hidden="false" customHeight="true" outlineLevel="0" collapsed="false">
      <c r="A1374" s="39"/>
      <c r="B1374" s="41"/>
      <c r="C1374" s="40"/>
      <c r="D1374" s="40"/>
      <c r="E1374" s="40"/>
      <c r="F1374" s="42"/>
      <c r="G1374" s="39"/>
      <c r="H1374" s="40"/>
      <c r="I1374" s="40"/>
      <c r="J1374" s="40"/>
      <c r="K1374" s="41"/>
      <c r="L1374" s="39"/>
      <c r="M1374" s="48" t="str">
        <f aca="false">IF($E1374="","",IFERROR(INDEX(Parâmetros!$C$15:$C$20,MATCH($P1374,Parâmetros!$B$15:$B$20,0)),""))</f>
        <v/>
      </c>
      <c r="N1374" s="46" t="str">
        <f aca="false">IF($E1374="","",IF($P1374="","",IF($P1374&gt;=8,"Alta",IF($P1374&gt;=5,"Média","Baixa"))))</f>
        <v/>
      </c>
      <c r="O1374" s="46" t="str">
        <f aca="false">IF($E1374="","",IF(AND(Parâmetros!$C$5&gt;0,$P1374&lt;&gt;"",$P1374&gt;=Parâmetros!$C$5),"Sim","Não"))</f>
        <v/>
      </c>
      <c r="P1374" s="45" t="str">
        <f aca="false">IF($E1374="","",IF($G1374="","",IF($G1374="NOK",$F1374,0)))</f>
        <v/>
      </c>
      <c r="Q1374" s="46" t="str">
        <f aca="false">IF($E1374="","",IF($O1374&lt;&gt;"Sim","",COUNTIF($O$3:$O1374,"Sim")))</f>
        <v/>
      </c>
      <c r="R1374" s="47" t="n">
        <f aca="false">IF($P1374="",0,$P1374)</f>
        <v>0</v>
      </c>
    </row>
    <row r="1375" customFormat="false" ht="18" hidden="false" customHeight="true" outlineLevel="0" collapsed="false">
      <c r="A1375" s="39"/>
      <c r="B1375" s="41"/>
      <c r="C1375" s="40"/>
      <c r="D1375" s="40"/>
      <c r="E1375" s="40"/>
      <c r="F1375" s="42"/>
      <c r="G1375" s="39"/>
      <c r="H1375" s="40"/>
      <c r="I1375" s="40"/>
      <c r="J1375" s="40"/>
      <c r="K1375" s="41"/>
      <c r="L1375" s="39"/>
      <c r="M1375" s="48" t="str">
        <f aca="false">IF($E1375="","",IFERROR(INDEX(Parâmetros!$C$15:$C$20,MATCH($P1375,Parâmetros!$B$15:$B$20,0)),""))</f>
        <v/>
      </c>
      <c r="N1375" s="46" t="str">
        <f aca="false">IF($E1375="","",IF($P1375="","",IF($P1375&gt;=8,"Alta",IF($P1375&gt;=5,"Média","Baixa"))))</f>
        <v/>
      </c>
      <c r="O1375" s="46" t="str">
        <f aca="false">IF($E1375="","",IF(AND(Parâmetros!$C$5&gt;0,$P1375&lt;&gt;"",$P1375&gt;=Parâmetros!$C$5),"Sim","Não"))</f>
        <v/>
      </c>
      <c r="P1375" s="45" t="str">
        <f aca="false">IF($E1375="","",IF($G1375="","",IF($G1375="NOK",$F1375,0)))</f>
        <v/>
      </c>
      <c r="Q1375" s="46" t="str">
        <f aca="false">IF($E1375="","",IF($O1375&lt;&gt;"Sim","",COUNTIF($O$3:$O1375,"Sim")))</f>
        <v/>
      </c>
      <c r="R1375" s="47" t="n">
        <f aca="false">IF($P1375="",0,$P1375)</f>
        <v>0</v>
      </c>
    </row>
    <row r="1376" customFormat="false" ht="18" hidden="false" customHeight="true" outlineLevel="0" collapsed="false">
      <c r="A1376" s="39"/>
      <c r="B1376" s="41"/>
      <c r="C1376" s="40"/>
      <c r="D1376" s="40"/>
      <c r="E1376" s="40"/>
      <c r="F1376" s="42"/>
      <c r="G1376" s="39"/>
      <c r="H1376" s="40"/>
      <c r="I1376" s="40"/>
      <c r="J1376" s="40"/>
      <c r="K1376" s="41"/>
      <c r="L1376" s="39"/>
      <c r="M1376" s="48" t="str">
        <f aca="false">IF($E1376="","",IFERROR(INDEX(Parâmetros!$C$15:$C$20,MATCH($P1376,Parâmetros!$B$15:$B$20,0)),""))</f>
        <v/>
      </c>
      <c r="N1376" s="46" t="str">
        <f aca="false">IF($E1376="","",IF($P1376="","",IF($P1376&gt;=8,"Alta",IF($P1376&gt;=5,"Média","Baixa"))))</f>
        <v/>
      </c>
      <c r="O1376" s="46" t="str">
        <f aca="false">IF($E1376="","",IF(AND(Parâmetros!$C$5&gt;0,$P1376&lt;&gt;"",$P1376&gt;=Parâmetros!$C$5),"Sim","Não"))</f>
        <v/>
      </c>
      <c r="P1376" s="45" t="str">
        <f aca="false">IF($E1376="","",IF($G1376="","",IF($G1376="NOK",$F1376,0)))</f>
        <v/>
      </c>
      <c r="Q1376" s="46" t="str">
        <f aca="false">IF($E1376="","",IF($O1376&lt;&gt;"Sim","",COUNTIF($O$3:$O1376,"Sim")))</f>
        <v/>
      </c>
      <c r="R1376" s="47" t="n">
        <f aca="false">IF($P1376="",0,$P1376)</f>
        <v>0</v>
      </c>
    </row>
    <row r="1377" customFormat="false" ht="18" hidden="false" customHeight="true" outlineLevel="0" collapsed="false">
      <c r="A1377" s="39"/>
      <c r="B1377" s="41"/>
      <c r="C1377" s="40"/>
      <c r="D1377" s="40"/>
      <c r="E1377" s="40"/>
      <c r="F1377" s="42"/>
      <c r="G1377" s="39"/>
      <c r="H1377" s="40"/>
      <c r="I1377" s="40"/>
      <c r="J1377" s="40"/>
      <c r="K1377" s="41"/>
      <c r="L1377" s="39"/>
      <c r="M1377" s="48" t="str">
        <f aca="false">IF($E1377="","",IFERROR(INDEX(Parâmetros!$C$15:$C$20,MATCH($P1377,Parâmetros!$B$15:$B$20,0)),""))</f>
        <v/>
      </c>
      <c r="N1377" s="46" t="str">
        <f aca="false">IF($E1377="","",IF($P1377="","",IF($P1377&gt;=8,"Alta",IF($P1377&gt;=5,"Média","Baixa"))))</f>
        <v/>
      </c>
      <c r="O1377" s="46" t="str">
        <f aca="false">IF($E1377="","",IF(AND(Parâmetros!$C$5&gt;0,$P1377&lt;&gt;"",$P1377&gt;=Parâmetros!$C$5),"Sim","Não"))</f>
        <v/>
      </c>
      <c r="P1377" s="45" t="str">
        <f aca="false">IF($E1377="","",IF($G1377="","",IF($G1377="NOK",$F1377,0)))</f>
        <v/>
      </c>
      <c r="Q1377" s="46" t="str">
        <f aca="false">IF($E1377="","",IF($O1377&lt;&gt;"Sim","",COUNTIF($O$3:$O1377,"Sim")))</f>
        <v/>
      </c>
      <c r="R1377" s="47" t="n">
        <f aca="false">IF($P1377="",0,$P1377)</f>
        <v>0</v>
      </c>
    </row>
    <row r="1378" customFormat="false" ht="18" hidden="false" customHeight="true" outlineLevel="0" collapsed="false">
      <c r="A1378" s="39"/>
      <c r="B1378" s="41"/>
      <c r="C1378" s="40"/>
      <c r="D1378" s="40"/>
      <c r="E1378" s="40"/>
      <c r="F1378" s="42"/>
      <c r="G1378" s="39"/>
      <c r="H1378" s="40"/>
      <c r="I1378" s="40"/>
      <c r="J1378" s="40"/>
      <c r="K1378" s="41"/>
      <c r="L1378" s="39"/>
      <c r="M1378" s="48" t="str">
        <f aca="false">IF($E1378="","",IFERROR(INDEX(Parâmetros!$C$15:$C$20,MATCH($P1378,Parâmetros!$B$15:$B$20,0)),""))</f>
        <v/>
      </c>
      <c r="N1378" s="46" t="str">
        <f aca="false">IF($E1378="","",IF($P1378="","",IF($P1378&gt;=8,"Alta",IF($P1378&gt;=5,"Média","Baixa"))))</f>
        <v/>
      </c>
      <c r="O1378" s="46" t="str">
        <f aca="false">IF($E1378="","",IF(AND(Parâmetros!$C$5&gt;0,$P1378&lt;&gt;"",$P1378&gt;=Parâmetros!$C$5),"Sim","Não"))</f>
        <v/>
      </c>
      <c r="P1378" s="45" t="str">
        <f aca="false">IF($E1378="","",IF($G1378="","",IF($G1378="NOK",$F1378,0)))</f>
        <v/>
      </c>
      <c r="Q1378" s="46" t="str">
        <f aca="false">IF($E1378="","",IF($O1378&lt;&gt;"Sim","",COUNTIF($O$3:$O1378,"Sim")))</f>
        <v/>
      </c>
      <c r="R1378" s="47" t="n">
        <f aca="false">IF($P1378="",0,$P1378)</f>
        <v>0</v>
      </c>
    </row>
    <row r="1379" customFormat="false" ht="18" hidden="false" customHeight="true" outlineLevel="0" collapsed="false">
      <c r="A1379" s="39"/>
      <c r="B1379" s="41"/>
      <c r="C1379" s="40"/>
      <c r="D1379" s="40"/>
      <c r="E1379" s="40"/>
      <c r="F1379" s="42"/>
      <c r="G1379" s="39"/>
      <c r="H1379" s="40"/>
      <c r="I1379" s="40"/>
      <c r="J1379" s="40"/>
      <c r="K1379" s="41"/>
      <c r="L1379" s="39"/>
      <c r="M1379" s="48" t="str">
        <f aca="false">IF($E1379="","",IFERROR(INDEX(Parâmetros!$C$15:$C$20,MATCH($P1379,Parâmetros!$B$15:$B$20,0)),""))</f>
        <v/>
      </c>
      <c r="N1379" s="46" t="str">
        <f aca="false">IF($E1379="","",IF($P1379="","",IF($P1379&gt;=8,"Alta",IF($P1379&gt;=5,"Média","Baixa"))))</f>
        <v/>
      </c>
      <c r="O1379" s="46" t="str">
        <f aca="false">IF($E1379="","",IF(AND(Parâmetros!$C$5&gt;0,$P1379&lt;&gt;"",$P1379&gt;=Parâmetros!$C$5),"Sim","Não"))</f>
        <v/>
      </c>
      <c r="P1379" s="45" t="str">
        <f aca="false">IF($E1379="","",IF($G1379="","",IF($G1379="NOK",$F1379,0)))</f>
        <v/>
      </c>
      <c r="Q1379" s="46" t="str">
        <f aca="false">IF($E1379="","",IF($O1379&lt;&gt;"Sim","",COUNTIF($O$3:$O1379,"Sim")))</f>
        <v/>
      </c>
      <c r="R1379" s="47" t="n">
        <f aca="false">IF($P1379="",0,$P1379)</f>
        <v>0</v>
      </c>
    </row>
    <row r="1380" customFormat="false" ht="18" hidden="false" customHeight="true" outlineLevel="0" collapsed="false">
      <c r="A1380" s="39"/>
      <c r="B1380" s="41"/>
      <c r="C1380" s="40"/>
      <c r="D1380" s="40"/>
      <c r="E1380" s="40"/>
      <c r="F1380" s="42"/>
      <c r="G1380" s="39"/>
      <c r="H1380" s="40"/>
      <c r="I1380" s="40"/>
      <c r="J1380" s="40"/>
      <c r="K1380" s="41"/>
      <c r="L1380" s="39"/>
      <c r="M1380" s="48" t="str">
        <f aca="false">IF($E1380="","",IFERROR(INDEX(Parâmetros!$C$15:$C$20,MATCH($P1380,Parâmetros!$B$15:$B$20,0)),""))</f>
        <v/>
      </c>
      <c r="N1380" s="46" t="str">
        <f aca="false">IF($E1380="","",IF($P1380="","",IF($P1380&gt;=8,"Alta",IF($P1380&gt;=5,"Média","Baixa"))))</f>
        <v/>
      </c>
      <c r="O1380" s="46" t="str">
        <f aca="false">IF($E1380="","",IF(AND(Parâmetros!$C$5&gt;0,$P1380&lt;&gt;"",$P1380&gt;=Parâmetros!$C$5),"Sim","Não"))</f>
        <v/>
      </c>
      <c r="P1380" s="45" t="str">
        <f aca="false">IF($E1380="","",IF($G1380="","",IF($G1380="NOK",$F1380,0)))</f>
        <v/>
      </c>
      <c r="Q1380" s="46" t="str">
        <f aca="false">IF($E1380="","",IF($O1380&lt;&gt;"Sim","",COUNTIF($O$3:$O1380,"Sim")))</f>
        <v/>
      </c>
      <c r="R1380" s="47" t="n">
        <f aca="false">IF($P1380="",0,$P1380)</f>
        <v>0</v>
      </c>
    </row>
    <row r="1381" customFormat="false" ht="18" hidden="false" customHeight="true" outlineLevel="0" collapsed="false">
      <c r="A1381" s="39"/>
      <c r="B1381" s="41"/>
      <c r="C1381" s="40"/>
      <c r="D1381" s="40"/>
      <c r="E1381" s="40"/>
      <c r="F1381" s="42"/>
      <c r="G1381" s="39"/>
      <c r="H1381" s="40"/>
      <c r="I1381" s="40"/>
      <c r="J1381" s="40"/>
      <c r="K1381" s="41"/>
      <c r="L1381" s="39"/>
      <c r="M1381" s="48" t="str">
        <f aca="false">IF($E1381="","",IFERROR(INDEX(Parâmetros!$C$15:$C$20,MATCH($P1381,Parâmetros!$B$15:$B$20,0)),""))</f>
        <v/>
      </c>
      <c r="N1381" s="46" t="str">
        <f aca="false">IF($E1381="","",IF($P1381="","",IF($P1381&gt;=8,"Alta",IF($P1381&gt;=5,"Média","Baixa"))))</f>
        <v/>
      </c>
      <c r="O1381" s="46" t="str">
        <f aca="false">IF($E1381="","",IF(AND(Parâmetros!$C$5&gt;0,$P1381&lt;&gt;"",$P1381&gt;=Parâmetros!$C$5),"Sim","Não"))</f>
        <v/>
      </c>
      <c r="P1381" s="45" t="str">
        <f aca="false">IF($E1381="","",IF($G1381="","",IF($G1381="NOK",$F1381,0)))</f>
        <v/>
      </c>
      <c r="Q1381" s="46" t="str">
        <f aca="false">IF($E1381="","",IF($O1381&lt;&gt;"Sim","",COUNTIF($O$3:$O1381,"Sim")))</f>
        <v/>
      </c>
      <c r="R1381" s="47" t="n">
        <f aca="false">IF($P1381="",0,$P1381)</f>
        <v>0</v>
      </c>
    </row>
    <row r="1382" customFormat="false" ht="18" hidden="false" customHeight="true" outlineLevel="0" collapsed="false">
      <c r="A1382" s="39"/>
      <c r="B1382" s="41"/>
      <c r="C1382" s="40"/>
      <c r="D1382" s="40"/>
      <c r="E1382" s="40"/>
      <c r="F1382" s="42"/>
      <c r="G1382" s="39"/>
      <c r="H1382" s="40"/>
      <c r="I1382" s="40"/>
      <c r="J1382" s="40"/>
      <c r="K1382" s="41"/>
      <c r="L1382" s="39"/>
      <c r="M1382" s="48" t="str">
        <f aca="false">IF($E1382="","",IFERROR(INDEX(Parâmetros!$C$15:$C$20,MATCH($P1382,Parâmetros!$B$15:$B$20,0)),""))</f>
        <v/>
      </c>
      <c r="N1382" s="46" t="str">
        <f aca="false">IF($E1382="","",IF($P1382="","",IF($P1382&gt;=8,"Alta",IF($P1382&gt;=5,"Média","Baixa"))))</f>
        <v/>
      </c>
      <c r="O1382" s="46" t="str">
        <f aca="false">IF($E1382="","",IF(AND(Parâmetros!$C$5&gt;0,$P1382&lt;&gt;"",$P1382&gt;=Parâmetros!$C$5),"Sim","Não"))</f>
        <v/>
      </c>
      <c r="P1382" s="45" t="str">
        <f aca="false">IF($E1382="","",IF($G1382="","",IF($G1382="NOK",$F1382,0)))</f>
        <v/>
      </c>
      <c r="Q1382" s="46" t="str">
        <f aca="false">IF($E1382="","",IF($O1382&lt;&gt;"Sim","",COUNTIF($O$3:$O1382,"Sim")))</f>
        <v/>
      </c>
      <c r="R1382" s="47" t="n">
        <f aca="false">IF($P1382="",0,$P1382)</f>
        <v>0</v>
      </c>
    </row>
    <row r="1383" customFormat="false" ht="18" hidden="false" customHeight="true" outlineLevel="0" collapsed="false">
      <c r="A1383" s="39"/>
      <c r="B1383" s="41"/>
      <c r="C1383" s="40"/>
      <c r="D1383" s="40"/>
      <c r="E1383" s="40"/>
      <c r="F1383" s="42"/>
      <c r="G1383" s="39"/>
      <c r="H1383" s="40"/>
      <c r="I1383" s="40"/>
      <c r="J1383" s="40"/>
      <c r="K1383" s="41"/>
      <c r="L1383" s="39"/>
      <c r="M1383" s="48" t="str">
        <f aca="false">IF($E1383="","",IFERROR(INDEX(Parâmetros!$C$15:$C$20,MATCH($P1383,Parâmetros!$B$15:$B$20,0)),""))</f>
        <v/>
      </c>
      <c r="N1383" s="46" t="str">
        <f aca="false">IF($E1383="","",IF($P1383="","",IF($P1383&gt;=8,"Alta",IF($P1383&gt;=5,"Média","Baixa"))))</f>
        <v/>
      </c>
      <c r="O1383" s="46" t="str">
        <f aca="false">IF($E1383="","",IF(AND(Parâmetros!$C$5&gt;0,$P1383&lt;&gt;"",$P1383&gt;=Parâmetros!$C$5),"Sim","Não"))</f>
        <v/>
      </c>
      <c r="P1383" s="45" t="str">
        <f aca="false">IF($E1383="","",IF($G1383="","",IF($G1383="NOK",$F1383,0)))</f>
        <v/>
      </c>
      <c r="Q1383" s="46" t="str">
        <f aca="false">IF($E1383="","",IF($O1383&lt;&gt;"Sim","",COUNTIF($O$3:$O1383,"Sim")))</f>
        <v/>
      </c>
      <c r="R1383" s="47" t="n">
        <f aca="false">IF($P1383="",0,$P1383)</f>
        <v>0</v>
      </c>
    </row>
    <row r="1384" customFormat="false" ht="18" hidden="false" customHeight="true" outlineLevel="0" collapsed="false">
      <c r="A1384" s="39"/>
      <c r="B1384" s="41"/>
      <c r="C1384" s="40"/>
      <c r="D1384" s="40"/>
      <c r="E1384" s="40"/>
      <c r="F1384" s="42"/>
      <c r="G1384" s="39"/>
      <c r="H1384" s="40"/>
      <c r="I1384" s="40"/>
      <c r="J1384" s="40"/>
      <c r="K1384" s="41"/>
      <c r="L1384" s="39"/>
      <c r="M1384" s="48" t="str">
        <f aca="false">IF($E1384="","",IFERROR(INDEX(Parâmetros!$C$15:$C$20,MATCH($P1384,Parâmetros!$B$15:$B$20,0)),""))</f>
        <v/>
      </c>
      <c r="N1384" s="46" t="str">
        <f aca="false">IF($E1384="","",IF($P1384="","",IF($P1384&gt;=8,"Alta",IF($P1384&gt;=5,"Média","Baixa"))))</f>
        <v/>
      </c>
      <c r="O1384" s="46" t="str">
        <f aca="false">IF($E1384="","",IF(AND(Parâmetros!$C$5&gt;0,$P1384&lt;&gt;"",$P1384&gt;=Parâmetros!$C$5),"Sim","Não"))</f>
        <v/>
      </c>
      <c r="P1384" s="45" t="str">
        <f aca="false">IF($E1384="","",IF($G1384="","",IF($G1384="NOK",$F1384,0)))</f>
        <v/>
      </c>
      <c r="Q1384" s="46" t="str">
        <f aca="false">IF($E1384="","",IF($O1384&lt;&gt;"Sim","",COUNTIF($O$3:$O1384,"Sim")))</f>
        <v/>
      </c>
      <c r="R1384" s="47" t="n">
        <f aca="false">IF($P1384="",0,$P1384)</f>
        <v>0</v>
      </c>
    </row>
    <row r="1385" customFormat="false" ht="18" hidden="false" customHeight="true" outlineLevel="0" collapsed="false">
      <c r="A1385" s="39"/>
      <c r="B1385" s="41"/>
      <c r="C1385" s="40"/>
      <c r="D1385" s="40"/>
      <c r="E1385" s="40"/>
      <c r="F1385" s="42"/>
      <c r="G1385" s="39"/>
      <c r="H1385" s="40"/>
      <c r="I1385" s="40"/>
      <c r="J1385" s="40"/>
      <c r="K1385" s="41"/>
      <c r="L1385" s="39"/>
      <c r="M1385" s="48" t="str">
        <f aca="false">IF($E1385="","",IFERROR(INDEX(Parâmetros!$C$15:$C$20,MATCH($P1385,Parâmetros!$B$15:$B$20,0)),""))</f>
        <v/>
      </c>
      <c r="N1385" s="46" t="str">
        <f aca="false">IF($E1385="","",IF($P1385="","",IF($P1385&gt;=8,"Alta",IF($P1385&gt;=5,"Média","Baixa"))))</f>
        <v/>
      </c>
      <c r="O1385" s="46" t="str">
        <f aca="false">IF($E1385="","",IF(AND(Parâmetros!$C$5&gt;0,$P1385&lt;&gt;"",$P1385&gt;=Parâmetros!$C$5),"Sim","Não"))</f>
        <v/>
      </c>
      <c r="P1385" s="45" t="str">
        <f aca="false">IF($E1385="","",IF($G1385="","",IF($G1385="NOK",$F1385,0)))</f>
        <v/>
      </c>
      <c r="Q1385" s="46" t="str">
        <f aca="false">IF($E1385="","",IF($O1385&lt;&gt;"Sim","",COUNTIF($O$3:$O1385,"Sim")))</f>
        <v/>
      </c>
      <c r="R1385" s="47" t="n">
        <f aca="false">IF($P1385="",0,$P1385)</f>
        <v>0</v>
      </c>
    </row>
    <row r="1386" customFormat="false" ht="18" hidden="false" customHeight="true" outlineLevel="0" collapsed="false">
      <c r="A1386" s="39"/>
      <c r="B1386" s="41"/>
      <c r="C1386" s="40"/>
      <c r="D1386" s="40"/>
      <c r="E1386" s="40"/>
      <c r="F1386" s="42"/>
      <c r="G1386" s="39"/>
      <c r="H1386" s="40"/>
      <c r="I1386" s="40"/>
      <c r="J1386" s="40"/>
      <c r="K1386" s="41"/>
      <c r="L1386" s="39"/>
      <c r="M1386" s="48" t="str">
        <f aca="false">IF($E1386="","",IFERROR(INDEX(Parâmetros!$C$15:$C$20,MATCH($P1386,Parâmetros!$B$15:$B$20,0)),""))</f>
        <v/>
      </c>
      <c r="N1386" s="46" t="str">
        <f aca="false">IF($E1386="","",IF($P1386="","",IF($P1386&gt;=8,"Alta",IF($P1386&gt;=5,"Média","Baixa"))))</f>
        <v/>
      </c>
      <c r="O1386" s="46" t="str">
        <f aca="false">IF($E1386="","",IF(AND(Parâmetros!$C$5&gt;0,$P1386&lt;&gt;"",$P1386&gt;=Parâmetros!$C$5),"Sim","Não"))</f>
        <v/>
      </c>
      <c r="P1386" s="45" t="str">
        <f aca="false">IF($E1386="","",IF($G1386="","",IF($G1386="NOK",$F1386,0)))</f>
        <v/>
      </c>
      <c r="Q1386" s="46" t="str">
        <f aca="false">IF($E1386="","",IF($O1386&lt;&gt;"Sim","",COUNTIF($O$3:$O1386,"Sim")))</f>
        <v/>
      </c>
      <c r="R1386" s="47" t="n">
        <f aca="false">IF($P1386="",0,$P1386)</f>
        <v>0</v>
      </c>
    </row>
    <row r="1387" customFormat="false" ht="18" hidden="false" customHeight="true" outlineLevel="0" collapsed="false">
      <c r="A1387" s="39"/>
      <c r="B1387" s="41"/>
      <c r="C1387" s="40"/>
      <c r="D1387" s="40"/>
      <c r="E1387" s="40"/>
      <c r="F1387" s="42"/>
      <c r="G1387" s="39"/>
      <c r="H1387" s="40"/>
      <c r="I1387" s="40"/>
      <c r="J1387" s="40"/>
      <c r="K1387" s="41"/>
      <c r="L1387" s="39"/>
      <c r="M1387" s="48" t="str">
        <f aca="false">IF($E1387="","",IFERROR(INDEX(Parâmetros!$C$15:$C$20,MATCH($P1387,Parâmetros!$B$15:$B$20,0)),""))</f>
        <v/>
      </c>
      <c r="N1387" s="46" t="str">
        <f aca="false">IF($E1387="","",IF($P1387="","",IF($P1387&gt;=8,"Alta",IF($P1387&gt;=5,"Média","Baixa"))))</f>
        <v/>
      </c>
      <c r="O1387" s="46" t="str">
        <f aca="false">IF($E1387="","",IF(AND(Parâmetros!$C$5&gt;0,$P1387&lt;&gt;"",$P1387&gt;=Parâmetros!$C$5),"Sim","Não"))</f>
        <v/>
      </c>
      <c r="P1387" s="45" t="str">
        <f aca="false">IF($E1387="","",IF($G1387="","",IF($G1387="NOK",$F1387,0)))</f>
        <v/>
      </c>
      <c r="Q1387" s="46" t="str">
        <f aca="false">IF($E1387="","",IF($O1387&lt;&gt;"Sim","",COUNTIF($O$3:$O1387,"Sim")))</f>
        <v/>
      </c>
      <c r="R1387" s="47" t="n">
        <f aca="false">IF($P1387="",0,$P1387)</f>
        <v>0</v>
      </c>
    </row>
    <row r="1388" customFormat="false" ht="18" hidden="false" customHeight="true" outlineLevel="0" collapsed="false">
      <c r="A1388" s="39"/>
      <c r="B1388" s="41"/>
      <c r="C1388" s="40"/>
      <c r="D1388" s="40"/>
      <c r="E1388" s="40"/>
      <c r="F1388" s="42"/>
      <c r="G1388" s="39"/>
      <c r="H1388" s="40"/>
      <c r="I1388" s="40"/>
      <c r="J1388" s="40"/>
      <c r="K1388" s="41"/>
      <c r="L1388" s="39"/>
      <c r="M1388" s="48" t="str">
        <f aca="false">IF($E1388="","",IFERROR(INDEX(Parâmetros!$C$15:$C$20,MATCH($P1388,Parâmetros!$B$15:$B$20,0)),""))</f>
        <v/>
      </c>
      <c r="N1388" s="46" t="str">
        <f aca="false">IF($E1388="","",IF($P1388="","",IF($P1388&gt;=8,"Alta",IF($P1388&gt;=5,"Média","Baixa"))))</f>
        <v/>
      </c>
      <c r="O1388" s="46" t="str">
        <f aca="false">IF($E1388="","",IF(AND(Parâmetros!$C$5&gt;0,$P1388&lt;&gt;"",$P1388&gt;=Parâmetros!$C$5),"Sim","Não"))</f>
        <v/>
      </c>
      <c r="P1388" s="45" t="str">
        <f aca="false">IF($E1388="","",IF($G1388="","",IF($G1388="NOK",$F1388,0)))</f>
        <v/>
      </c>
      <c r="Q1388" s="46" t="str">
        <f aca="false">IF($E1388="","",IF($O1388&lt;&gt;"Sim","",COUNTIF($O$3:$O1388,"Sim")))</f>
        <v/>
      </c>
      <c r="R1388" s="47" t="n">
        <f aca="false">IF($P1388="",0,$P1388)</f>
        <v>0</v>
      </c>
    </row>
    <row r="1389" customFormat="false" ht="18" hidden="false" customHeight="true" outlineLevel="0" collapsed="false">
      <c r="A1389" s="39"/>
      <c r="B1389" s="41"/>
      <c r="C1389" s="40"/>
      <c r="D1389" s="40"/>
      <c r="E1389" s="40"/>
      <c r="F1389" s="42"/>
      <c r="G1389" s="39"/>
      <c r="H1389" s="40"/>
      <c r="I1389" s="40"/>
      <c r="J1389" s="40"/>
      <c r="K1389" s="41"/>
      <c r="L1389" s="39"/>
      <c r="M1389" s="48" t="str">
        <f aca="false">IF($E1389="","",IFERROR(INDEX(Parâmetros!$C$15:$C$20,MATCH($P1389,Parâmetros!$B$15:$B$20,0)),""))</f>
        <v/>
      </c>
      <c r="N1389" s="46" t="str">
        <f aca="false">IF($E1389="","",IF($P1389="","",IF($P1389&gt;=8,"Alta",IF($P1389&gt;=5,"Média","Baixa"))))</f>
        <v/>
      </c>
      <c r="O1389" s="46" t="str">
        <f aca="false">IF($E1389="","",IF(AND(Parâmetros!$C$5&gt;0,$P1389&lt;&gt;"",$P1389&gt;=Parâmetros!$C$5),"Sim","Não"))</f>
        <v/>
      </c>
      <c r="P1389" s="45" t="str">
        <f aca="false">IF($E1389="","",IF($G1389="","",IF($G1389="NOK",$F1389,0)))</f>
        <v/>
      </c>
      <c r="Q1389" s="46" t="str">
        <f aca="false">IF($E1389="","",IF($O1389&lt;&gt;"Sim","",COUNTIF($O$3:$O1389,"Sim")))</f>
        <v/>
      </c>
      <c r="R1389" s="47" t="n">
        <f aca="false">IF($P1389="",0,$P1389)</f>
        <v>0</v>
      </c>
    </row>
    <row r="1390" customFormat="false" ht="18" hidden="false" customHeight="true" outlineLevel="0" collapsed="false">
      <c r="A1390" s="39"/>
      <c r="B1390" s="41"/>
      <c r="C1390" s="40"/>
      <c r="D1390" s="40"/>
      <c r="E1390" s="40"/>
      <c r="F1390" s="42"/>
      <c r="G1390" s="39"/>
      <c r="H1390" s="40"/>
      <c r="I1390" s="40"/>
      <c r="J1390" s="40"/>
      <c r="K1390" s="41"/>
      <c r="L1390" s="39"/>
      <c r="M1390" s="48" t="str">
        <f aca="false">IF($E1390="","",IFERROR(INDEX(Parâmetros!$C$15:$C$20,MATCH($P1390,Parâmetros!$B$15:$B$20,0)),""))</f>
        <v/>
      </c>
      <c r="N1390" s="46" t="str">
        <f aca="false">IF($E1390="","",IF($P1390="","",IF($P1390&gt;=8,"Alta",IF($P1390&gt;=5,"Média","Baixa"))))</f>
        <v/>
      </c>
      <c r="O1390" s="46" t="str">
        <f aca="false">IF($E1390="","",IF(AND(Parâmetros!$C$5&gt;0,$P1390&lt;&gt;"",$P1390&gt;=Parâmetros!$C$5),"Sim","Não"))</f>
        <v/>
      </c>
      <c r="P1390" s="45" t="str">
        <f aca="false">IF($E1390="","",IF($G1390="","",IF($G1390="NOK",$F1390,0)))</f>
        <v/>
      </c>
      <c r="Q1390" s="46" t="str">
        <f aca="false">IF($E1390="","",IF($O1390&lt;&gt;"Sim","",COUNTIF($O$3:$O1390,"Sim")))</f>
        <v/>
      </c>
      <c r="R1390" s="47" t="n">
        <f aca="false">IF($P1390="",0,$P1390)</f>
        <v>0</v>
      </c>
    </row>
    <row r="1391" customFormat="false" ht="18" hidden="false" customHeight="true" outlineLevel="0" collapsed="false">
      <c r="A1391" s="39"/>
      <c r="B1391" s="41"/>
      <c r="C1391" s="40"/>
      <c r="D1391" s="40"/>
      <c r="E1391" s="40"/>
      <c r="F1391" s="42"/>
      <c r="G1391" s="39"/>
      <c r="H1391" s="40"/>
      <c r="I1391" s="40"/>
      <c r="J1391" s="40"/>
      <c r="K1391" s="41"/>
      <c r="L1391" s="39"/>
      <c r="M1391" s="48" t="str">
        <f aca="false">IF($E1391="","",IFERROR(INDEX(Parâmetros!$C$15:$C$20,MATCH($P1391,Parâmetros!$B$15:$B$20,0)),""))</f>
        <v/>
      </c>
      <c r="N1391" s="46" t="str">
        <f aca="false">IF($E1391="","",IF($P1391="","",IF($P1391&gt;=8,"Alta",IF($P1391&gt;=5,"Média","Baixa"))))</f>
        <v/>
      </c>
      <c r="O1391" s="46" t="str">
        <f aca="false">IF($E1391="","",IF(AND(Parâmetros!$C$5&gt;0,$P1391&lt;&gt;"",$P1391&gt;=Parâmetros!$C$5),"Sim","Não"))</f>
        <v/>
      </c>
      <c r="P1391" s="45" t="str">
        <f aca="false">IF($E1391="","",IF($G1391="","",IF($G1391="NOK",$F1391,0)))</f>
        <v/>
      </c>
      <c r="Q1391" s="46" t="str">
        <f aca="false">IF($E1391="","",IF($O1391&lt;&gt;"Sim","",COUNTIF($O$3:$O1391,"Sim")))</f>
        <v/>
      </c>
      <c r="R1391" s="47" t="n">
        <f aca="false">IF($P1391="",0,$P1391)</f>
        <v>0</v>
      </c>
    </row>
    <row r="1392" customFormat="false" ht="18" hidden="false" customHeight="true" outlineLevel="0" collapsed="false">
      <c r="A1392" s="39"/>
      <c r="B1392" s="41"/>
      <c r="C1392" s="40"/>
      <c r="D1392" s="40"/>
      <c r="E1392" s="40"/>
      <c r="F1392" s="42"/>
      <c r="G1392" s="39"/>
      <c r="H1392" s="40"/>
      <c r="I1392" s="40"/>
      <c r="J1392" s="40"/>
      <c r="K1392" s="41"/>
      <c r="L1392" s="39"/>
      <c r="M1392" s="48" t="str">
        <f aca="false">IF($E1392="","",IFERROR(INDEX(Parâmetros!$C$15:$C$20,MATCH($P1392,Parâmetros!$B$15:$B$20,0)),""))</f>
        <v/>
      </c>
      <c r="N1392" s="46" t="str">
        <f aca="false">IF($E1392="","",IF($P1392="","",IF($P1392&gt;=8,"Alta",IF($P1392&gt;=5,"Média","Baixa"))))</f>
        <v/>
      </c>
      <c r="O1392" s="46" t="str">
        <f aca="false">IF($E1392="","",IF(AND(Parâmetros!$C$5&gt;0,$P1392&lt;&gt;"",$P1392&gt;=Parâmetros!$C$5),"Sim","Não"))</f>
        <v/>
      </c>
      <c r="P1392" s="45" t="str">
        <f aca="false">IF($E1392="","",IF($G1392="","",IF($G1392="NOK",$F1392,0)))</f>
        <v/>
      </c>
      <c r="Q1392" s="46" t="str">
        <f aca="false">IF($E1392="","",IF($O1392&lt;&gt;"Sim","",COUNTIF($O$3:$O1392,"Sim")))</f>
        <v/>
      </c>
      <c r="R1392" s="47" t="n">
        <f aca="false">IF($P1392="",0,$P1392)</f>
        <v>0</v>
      </c>
    </row>
    <row r="1393" customFormat="false" ht="18" hidden="false" customHeight="true" outlineLevel="0" collapsed="false">
      <c r="A1393" s="39"/>
      <c r="B1393" s="41"/>
      <c r="C1393" s="40"/>
      <c r="D1393" s="40"/>
      <c r="E1393" s="40"/>
      <c r="F1393" s="42"/>
      <c r="G1393" s="39"/>
      <c r="H1393" s="40"/>
      <c r="I1393" s="40"/>
      <c r="J1393" s="40"/>
      <c r="K1393" s="41"/>
      <c r="L1393" s="39"/>
      <c r="M1393" s="48" t="str">
        <f aca="false">IF($E1393="","",IFERROR(INDEX(Parâmetros!$C$15:$C$20,MATCH($P1393,Parâmetros!$B$15:$B$20,0)),""))</f>
        <v/>
      </c>
      <c r="N1393" s="46" t="str">
        <f aca="false">IF($E1393="","",IF($P1393="","",IF($P1393&gt;=8,"Alta",IF($P1393&gt;=5,"Média","Baixa"))))</f>
        <v/>
      </c>
      <c r="O1393" s="46" t="str">
        <f aca="false">IF($E1393="","",IF(AND(Parâmetros!$C$5&gt;0,$P1393&lt;&gt;"",$P1393&gt;=Parâmetros!$C$5),"Sim","Não"))</f>
        <v/>
      </c>
      <c r="P1393" s="45" t="str">
        <f aca="false">IF($E1393="","",IF($G1393="","",IF($G1393="NOK",$F1393,0)))</f>
        <v/>
      </c>
      <c r="Q1393" s="46" t="str">
        <f aca="false">IF($E1393="","",IF($O1393&lt;&gt;"Sim","",COUNTIF($O$3:$O1393,"Sim")))</f>
        <v/>
      </c>
      <c r="R1393" s="47" t="n">
        <f aca="false">IF($P1393="",0,$P1393)</f>
        <v>0</v>
      </c>
    </row>
    <row r="1394" customFormat="false" ht="18" hidden="false" customHeight="true" outlineLevel="0" collapsed="false">
      <c r="A1394" s="39"/>
      <c r="B1394" s="41"/>
      <c r="C1394" s="40"/>
      <c r="D1394" s="40"/>
      <c r="E1394" s="40"/>
      <c r="F1394" s="42"/>
      <c r="G1394" s="39"/>
      <c r="H1394" s="40"/>
      <c r="I1394" s="40"/>
      <c r="J1394" s="40"/>
      <c r="K1394" s="41"/>
      <c r="L1394" s="39"/>
      <c r="M1394" s="48" t="str">
        <f aca="false">IF($E1394="","",IFERROR(INDEX(Parâmetros!$C$15:$C$20,MATCH($P1394,Parâmetros!$B$15:$B$20,0)),""))</f>
        <v/>
      </c>
      <c r="N1394" s="46" t="str">
        <f aca="false">IF($E1394="","",IF($P1394="","",IF($P1394&gt;=8,"Alta",IF($P1394&gt;=5,"Média","Baixa"))))</f>
        <v/>
      </c>
      <c r="O1394" s="46" t="str">
        <f aca="false">IF($E1394="","",IF(AND(Parâmetros!$C$5&gt;0,$P1394&lt;&gt;"",$P1394&gt;=Parâmetros!$C$5),"Sim","Não"))</f>
        <v/>
      </c>
      <c r="P1394" s="45" t="str">
        <f aca="false">IF($E1394="","",IF($G1394="","",IF($G1394="NOK",$F1394,0)))</f>
        <v/>
      </c>
      <c r="Q1394" s="46" t="str">
        <f aca="false">IF($E1394="","",IF($O1394&lt;&gt;"Sim","",COUNTIF($O$3:$O1394,"Sim")))</f>
        <v/>
      </c>
      <c r="R1394" s="47" t="n">
        <f aca="false">IF($P1394="",0,$P1394)</f>
        <v>0</v>
      </c>
    </row>
    <row r="1395" customFormat="false" ht="18" hidden="false" customHeight="true" outlineLevel="0" collapsed="false">
      <c r="A1395" s="39"/>
      <c r="B1395" s="41"/>
      <c r="C1395" s="40"/>
      <c r="D1395" s="40"/>
      <c r="E1395" s="40"/>
      <c r="F1395" s="42"/>
      <c r="G1395" s="39"/>
      <c r="H1395" s="40"/>
      <c r="I1395" s="40"/>
      <c r="J1395" s="40"/>
      <c r="K1395" s="41"/>
      <c r="L1395" s="39"/>
      <c r="M1395" s="48" t="str">
        <f aca="false">IF($E1395="","",IFERROR(INDEX(Parâmetros!$C$15:$C$20,MATCH($P1395,Parâmetros!$B$15:$B$20,0)),""))</f>
        <v/>
      </c>
      <c r="N1395" s="46" t="str">
        <f aca="false">IF($E1395="","",IF($P1395="","",IF($P1395&gt;=8,"Alta",IF($P1395&gt;=5,"Média","Baixa"))))</f>
        <v/>
      </c>
      <c r="O1395" s="46" t="str">
        <f aca="false">IF($E1395="","",IF(AND(Parâmetros!$C$5&gt;0,$P1395&lt;&gt;"",$P1395&gt;=Parâmetros!$C$5),"Sim","Não"))</f>
        <v/>
      </c>
      <c r="P1395" s="45" t="str">
        <f aca="false">IF($E1395="","",IF($G1395="","",IF($G1395="NOK",$F1395,0)))</f>
        <v/>
      </c>
      <c r="Q1395" s="46" t="str">
        <f aca="false">IF($E1395="","",IF($O1395&lt;&gt;"Sim","",COUNTIF($O$3:$O1395,"Sim")))</f>
        <v/>
      </c>
      <c r="R1395" s="47" t="n">
        <f aca="false">IF($P1395="",0,$P1395)</f>
        <v>0</v>
      </c>
    </row>
    <row r="1396" customFormat="false" ht="18" hidden="false" customHeight="true" outlineLevel="0" collapsed="false">
      <c r="A1396" s="39"/>
      <c r="B1396" s="41"/>
      <c r="C1396" s="40"/>
      <c r="D1396" s="40"/>
      <c r="E1396" s="40"/>
      <c r="F1396" s="42"/>
      <c r="G1396" s="39"/>
      <c r="H1396" s="40"/>
      <c r="I1396" s="40"/>
      <c r="J1396" s="40"/>
      <c r="K1396" s="41"/>
      <c r="L1396" s="39"/>
      <c r="M1396" s="48" t="str">
        <f aca="false">IF($E1396="","",IFERROR(INDEX(Parâmetros!$C$15:$C$20,MATCH($P1396,Parâmetros!$B$15:$B$20,0)),""))</f>
        <v/>
      </c>
      <c r="N1396" s="46" t="str">
        <f aca="false">IF($E1396="","",IF($P1396="","",IF($P1396&gt;=8,"Alta",IF($P1396&gt;=5,"Média","Baixa"))))</f>
        <v/>
      </c>
      <c r="O1396" s="46" t="str">
        <f aca="false">IF($E1396="","",IF(AND(Parâmetros!$C$5&gt;0,$P1396&lt;&gt;"",$P1396&gt;=Parâmetros!$C$5),"Sim","Não"))</f>
        <v/>
      </c>
      <c r="P1396" s="45" t="str">
        <f aca="false">IF($E1396="","",IF($G1396="","",IF($G1396="NOK",$F1396,0)))</f>
        <v/>
      </c>
      <c r="Q1396" s="46" t="str">
        <f aca="false">IF($E1396="","",IF($O1396&lt;&gt;"Sim","",COUNTIF($O$3:$O1396,"Sim")))</f>
        <v/>
      </c>
      <c r="R1396" s="47" t="n">
        <f aca="false">IF($P1396="",0,$P1396)</f>
        <v>0</v>
      </c>
    </row>
    <row r="1397" customFormat="false" ht="18" hidden="false" customHeight="true" outlineLevel="0" collapsed="false">
      <c r="A1397" s="39"/>
      <c r="B1397" s="41"/>
      <c r="C1397" s="40"/>
      <c r="D1397" s="40"/>
      <c r="E1397" s="40"/>
      <c r="F1397" s="42"/>
      <c r="G1397" s="39"/>
      <c r="H1397" s="40"/>
      <c r="I1397" s="40"/>
      <c r="J1397" s="40"/>
      <c r="K1397" s="41"/>
      <c r="L1397" s="39"/>
      <c r="M1397" s="48" t="str">
        <f aca="false">IF($E1397="","",IFERROR(INDEX(Parâmetros!$C$15:$C$20,MATCH($P1397,Parâmetros!$B$15:$B$20,0)),""))</f>
        <v/>
      </c>
      <c r="N1397" s="46" t="str">
        <f aca="false">IF($E1397="","",IF($P1397="","",IF($P1397&gt;=8,"Alta",IF($P1397&gt;=5,"Média","Baixa"))))</f>
        <v/>
      </c>
      <c r="O1397" s="46" t="str">
        <f aca="false">IF($E1397="","",IF(AND(Parâmetros!$C$5&gt;0,$P1397&lt;&gt;"",$P1397&gt;=Parâmetros!$C$5),"Sim","Não"))</f>
        <v/>
      </c>
      <c r="P1397" s="45" t="str">
        <f aca="false">IF($E1397="","",IF($G1397="","",IF($G1397="NOK",$F1397,0)))</f>
        <v/>
      </c>
      <c r="Q1397" s="46" t="str">
        <f aca="false">IF($E1397="","",IF($O1397&lt;&gt;"Sim","",COUNTIF($O$3:$O1397,"Sim")))</f>
        <v/>
      </c>
      <c r="R1397" s="47" t="n">
        <f aca="false">IF($P1397="",0,$P1397)</f>
        <v>0</v>
      </c>
    </row>
    <row r="1398" customFormat="false" ht="18" hidden="false" customHeight="true" outlineLevel="0" collapsed="false">
      <c r="A1398" s="39"/>
      <c r="B1398" s="41"/>
      <c r="C1398" s="40"/>
      <c r="D1398" s="40"/>
      <c r="E1398" s="40"/>
      <c r="F1398" s="42"/>
      <c r="G1398" s="39"/>
      <c r="H1398" s="40"/>
      <c r="I1398" s="40"/>
      <c r="J1398" s="40"/>
      <c r="K1398" s="41"/>
      <c r="L1398" s="39"/>
      <c r="M1398" s="48" t="str">
        <f aca="false">IF($E1398="","",IFERROR(INDEX(Parâmetros!$C$15:$C$20,MATCH($P1398,Parâmetros!$B$15:$B$20,0)),""))</f>
        <v/>
      </c>
      <c r="N1398" s="46" t="str">
        <f aca="false">IF($E1398="","",IF($P1398="","",IF($P1398&gt;=8,"Alta",IF($P1398&gt;=5,"Média","Baixa"))))</f>
        <v/>
      </c>
      <c r="O1398" s="46" t="str">
        <f aca="false">IF($E1398="","",IF(AND(Parâmetros!$C$5&gt;0,$P1398&lt;&gt;"",$P1398&gt;=Parâmetros!$C$5),"Sim","Não"))</f>
        <v/>
      </c>
      <c r="P1398" s="45" t="str">
        <f aca="false">IF($E1398="","",IF($G1398="","",IF($G1398="NOK",$F1398,0)))</f>
        <v/>
      </c>
      <c r="Q1398" s="46" t="str">
        <f aca="false">IF($E1398="","",IF($O1398&lt;&gt;"Sim","",COUNTIF($O$3:$O1398,"Sim")))</f>
        <v/>
      </c>
      <c r="R1398" s="47" t="n">
        <f aca="false">IF($P1398="",0,$P1398)</f>
        <v>0</v>
      </c>
    </row>
    <row r="1399" customFormat="false" ht="18" hidden="false" customHeight="true" outlineLevel="0" collapsed="false">
      <c r="A1399" s="39"/>
      <c r="B1399" s="41"/>
      <c r="C1399" s="40"/>
      <c r="D1399" s="40"/>
      <c r="E1399" s="40"/>
      <c r="F1399" s="42"/>
      <c r="G1399" s="39"/>
      <c r="H1399" s="40"/>
      <c r="I1399" s="40"/>
      <c r="J1399" s="40"/>
      <c r="K1399" s="41"/>
      <c r="L1399" s="39"/>
      <c r="M1399" s="48" t="str">
        <f aca="false">IF($E1399="","",IFERROR(INDEX(Parâmetros!$C$15:$C$20,MATCH($P1399,Parâmetros!$B$15:$B$20,0)),""))</f>
        <v/>
      </c>
      <c r="N1399" s="46" t="str">
        <f aca="false">IF($E1399="","",IF($P1399="","",IF($P1399&gt;=8,"Alta",IF($P1399&gt;=5,"Média","Baixa"))))</f>
        <v/>
      </c>
      <c r="O1399" s="46" t="str">
        <f aca="false">IF($E1399="","",IF(AND(Parâmetros!$C$5&gt;0,$P1399&lt;&gt;"",$P1399&gt;=Parâmetros!$C$5),"Sim","Não"))</f>
        <v/>
      </c>
      <c r="P1399" s="45" t="str">
        <f aca="false">IF($E1399="","",IF($G1399="","",IF($G1399="NOK",$F1399,0)))</f>
        <v/>
      </c>
      <c r="Q1399" s="46" t="str">
        <f aca="false">IF($E1399="","",IF($O1399&lt;&gt;"Sim","",COUNTIF($O$3:$O1399,"Sim")))</f>
        <v/>
      </c>
      <c r="R1399" s="47" t="n">
        <f aca="false">IF($P1399="",0,$P1399)</f>
        <v>0</v>
      </c>
    </row>
    <row r="1400" customFormat="false" ht="18" hidden="false" customHeight="true" outlineLevel="0" collapsed="false">
      <c r="A1400" s="39"/>
      <c r="B1400" s="41"/>
      <c r="C1400" s="40"/>
      <c r="D1400" s="40"/>
      <c r="E1400" s="40"/>
      <c r="F1400" s="42"/>
      <c r="G1400" s="39"/>
      <c r="H1400" s="40"/>
      <c r="I1400" s="40"/>
      <c r="J1400" s="40"/>
      <c r="K1400" s="41"/>
      <c r="L1400" s="39"/>
      <c r="M1400" s="48" t="str">
        <f aca="false">IF($E1400="","",IFERROR(INDEX(Parâmetros!$C$15:$C$20,MATCH($P1400,Parâmetros!$B$15:$B$20,0)),""))</f>
        <v/>
      </c>
      <c r="N1400" s="46" t="str">
        <f aca="false">IF($E1400="","",IF($P1400="","",IF($P1400&gt;=8,"Alta",IF($P1400&gt;=5,"Média","Baixa"))))</f>
        <v/>
      </c>
      <c r="O1400" s="46" t="str">
        <f aca="false">IF($E1400="","",IF(AND(Parâmetros!$C$5&gt;0,$P1400&lt;&gt;"",$P1400&gt;=Parâmetros!$C$5),"Sim","Não"))</f>
        <v/>
      </c>
      <c r="P1400" s="45" t="str">
        <f aca="false">IF($E1400="","",IF($G1400="","",IF($G1400="NOK",$F1400,0)))</f>
        <v/>
      </c>
      <c r="Q1400" s="46" t="str">
        <f aca="false">IF($E1400="","",IF($O1400&lt;&gt;"Sim","",COUNTIF($O$3:$O1400,"Sim")))</f>
        <v/>
      </c>
      <c r="R1400" s="47" t="n">
        <f aca="false">IF($P1400="",0,$P1400)</f>
        <v>0</v>
      </c>
    </row>
    <row r="1401" customFormat="false" ht="18" hidden="false" customHeight="true" outlineLevel="0" collapsed="false">
      <c r="A1401" s="39"/>
      <c r="B1401" s="41"/>
      <c r="C1401" s="40"/>
      <c r="D1401" s="40"/>
      <c r="E1401" s="40"/>
      <c r="F1401" s="42"/>
      <c r="G1401" s="39"/>
      <c r="H1401" s="40"/>
      <c r="I1401" s="40"/>
      <c r="J1401" s="40"/>
      <c r="K1401" s="41"/>
      <c r="L1401" s="39"/>
      <c r="M1401" s="48" t="str">
        <f aca="false">IF($E1401="","",IFERROR(INDEX(Parâmetros!$C$15:$C$20,MATCH($P1401,Parâmetros!$B$15:$B$20,0)),""))</f>
        <v/>
      </c>
      <c r="N1401" s="46" t="str">
        <f aca="false">IF($E1401="","",IF($P1401="","",IF($P1401&gt;=8,"Alta",IF($P1401&gt;=5,"Média","Baixa"))))</f>
        <v/>
      </c>
      <c r="O1401" s="46" t="str">
        <f aca="false">IF($E1401="","",IF(AND(Parâmetros!$C$5&gt;0,$P1401&lt;&gt;"",$P1401&gt;=Parâmetros!$C$5),"Sim","Não"))</f>
        <v/>
      </c>
      <c r="P1401" s="45" t="str">
        <f aca="false">IF($E1401="","",IF($G1401="","",IF($G1401="NOK",$F1401,0)))</f>
        <v/>
      </c>
      <c r="Q1401" s="46" t="str">
        <f aca="false">IF($E1401="","",IF($O1401&lt;&gt;"Sim","",COUNTIF($O$3:$O1401,"Sim")))</f>
        <v/>
      </c>
      <c r="R1401" s="47" t="n">
        <f aca="false">IF($P1401="",0,$P1401)</f>
        <v>0</v>
      </c>
    </row>
    <row r="1402" customFormat="false" ht="18" hidden="false" customHeight="true" outlineLevel="0" collapsed="false">
      <c r="A1402" s="39"/>
      <c r="B1402" s="41"/>
      <c r="C1402" s="40"/>
      <c r="D1402" s="40"/>
      <c r="E1402" s="40"/>
      <c r="F1402" s="42"/>
      <c r="G1402" s="39"/>
      <c r="H1402" s="40"/>
      <c r="I1402" s="40"/>
      <c r="J1402" s="40"/>
      <c r="K1402" s="41"/>
      <c r="L1402" s="39"/>
      <c r="M1402" s="48" t="str">
        <f aca="false">IF($E1402="","",IFERROR(INDEX(Parâmetros!$C$15:$C$20,MATCH($P1402,Parâmetros!$B$15:$B$20,0)),""))</f>
        <v/>
      </c>
      <c r="N1402" s="46" t="str">
        <f aca="false">IF($E1402="","",IF($P1402="","",IF($P1402&gt;=8,"Alta",IF($P1402&gt;=5,"Média","Baixa"))))</f>
        <v/>
      </c>
      <c r="O1402" s="46" t="str">
        <f aca="false">IF($E1402="","",IF(AND(Parâmetros!$C$5&gt;0,$P1402&lt;&gt;"",$P1402&gt;=Parâmetros!$C$5),"Sim","Não"))</f>
        <v/>
      </c>
      <c r="P1402" s="45" t="str">
        <f aca="false">IF($E1402="","",IF($G1402="","",IF($G1402="NOK",$F1402,0)))</f>
        <v/>
      </c>
      <c r="Q1402" s="46" t="str">
        <f aca="false">IF($E1402="","",IF($O1402&lt;&gt;"Sim","",COUNTIF($O$3:$O1402,"Sim")))</f>
        <v/>
      </c>
      <c r="R1402" s="47" t="n">
        <f aca="false">IF($P1402="",0,$P1402)</f>
        <v>0</v>
      </c>
    </row>
    <row r="1403" customFormat="false" ht="18" hidden="false" customHeight="true" outlineLevel="0" collapsed="false">
      <c r="A1403" s="39"/>
      <c r="B1403" s="41"/>
      <c r="C1403" s="40"/>
      <c r="D1403" s="40"/>
      <c r="E1403" s="40"/>
      <c r="F1403" s="42"/>
      <c r="G1403" s="39"/>
      <c r="H1403" s="40"/>
      <c r="I1403" s="40"/>
      <c r="J1403" s="40"/>
      <c r="K1403" s="41"/>
      <c r="L1403" s="39"/>
      <c r="M1403" s="48" t="str">
        <f aca="false">IF($E1403="","",IFERROR(INDEX(Parâmetros!$C$15:$C$20,MATCH($P1403,Parâmetros!$B$15:$B$20,0)),""))</f>
        <v/>
      </c>
      <c r="N1403" s="46" t="str">
        <f aca="false">IF($E1403="","",IF($P1403="","",IF($P1403&gt;=8,"Alta",IF($P1403&gt;=5,"Média","Baixa"))))</f>
        <v/>
      </c>
      <c r="O1403" s="46" t="str">
        <f aca="false">IF($E1403="","",IF(AND(Parâmetros!$C$5&gt;0,$P1403&lt;&gt;"",$P1403&gt;=Parâmetros!$C$5),"Sim","Não"))</f>
        <v/>
      </c>
      <c r="P1403" s="45" t="str">
        <f aca="false">IF($E1403="","",IF($G1403="","",IF($G1403="NOK",$F1403,0)))</f>
        <v/>
      </c>
      <c r="Q1403" s="46" t="str">
        <f aca="false">IF($E1403="","",IF($O1403&lt;&gt;"Sim","",COUNTIF($O$3:$O1403,"Sim")))</f>
        <v/>
      </c>
      <c r="R1403" s="47" t="n">
        <f aca="false">IF($P1403="",0,$P1403)</f>
        <v>0</v>
      </c>
    </row>
    <row r="1404" customFormat="false" ht="18" hidden="false" customHeight="true" outlineLevel="0" collapsed="false">
      <c r="A1404" s="39"/>
      <c r="B1404" s="41"/>
      <c r="C1404" s="40"/>
      <c r="D1404" s="40"/>
      <c r="E1404" s="40"/>
      <c r="F1404" s="42"/>
      <c r="G1404" s="39"/>
      <c r="H1404" s="40"/>
      <c r="I1404" s="40"/>
      <c r="J1404" s="40"/>
      <c r="K1404" s="41"/>
      <c r="L1404" s="39"/>
      <c r="M1404" s="48" t="str">
        <f aca="false">IF($E1404="","",IFERROR(INDEX(Parâmetros!$C$15:$C$20,MATCH($P1404,Parâmetros!$B$15:$B$20,0)),""))</f>
        <v/>
      </c>
      <c r="N1404" s="46" t="str">
        <f aca="false">IF($E1404="","",IF($P1404="","",IF($P1404&gt;=8,"Alta",IF($P1404&gt;=5,"Média","Baixa"))))</f>
        <v/>
      </c>
      <c r="O1404" s="46" t="str">
        <f aca="false">IF($E1404="","",IF(AND(Parâmetros!$C$5&gt;0,$P1404&lt;&gt;"",$P1404&gt;=Parâmetros!$C$5),"Sim","Não"))</f>
        <v/>
      </c>
      <c r="P1404" s="45" t="str">
        <f aca="false">IF($E1404="","",IF($G1404="","",IF($G1404="NOK",$F1404,0)))</f>
        <v/>
      </c>
      <c r="Q1404" s="46" t="str">
        <f aca="false">IF($E1404="","",IF($O1404&lt;&gt;"Sim","",COUNTIF($O$3:$O1404,"Sim")))</f>
        <v/>
      </c>
      <c r="R1404" s="47" t="n">
        <f aca="false">IF($P1404="",0,$P1404)</f>
        <v>0</v>
      </c>
    </row>
    <row r="1405" customFormat="false" ht="18" hidden="false" customHeight="true" outlineLevel="0" collapsed="false">
      <c r="A1405" s="39"/>
      <c r="B1405" s="41"/>
      <c r="C1405" s="40"/>
      <c r="D1405" s="40"/>
      <c r="E1405" s="40"/>
      <c r="F1405" s="42"/>
      <c r="G1405" s="39"/>
      <c r="H1405" s="40"/>
      <c r="I1405" s="40"/>
      <c r="J1405" s="40"/>
      <c r="K1405" s="41"/>
      <c r="L1405" s="39"/>
      <c r="M1405" s="48" t="str">
        <f aca="false">IF($E1405="","",IFERROR(INDEX(Parâmetros!$C$15:$C$20,MATCH($P1405,Parâmetros!$B$15:$B$20,0)),""))</f>
        <v/>
      </c>
      <c r="N1405" s="46" t="str">
        <f aca="false">IF($E1405="","",IF($P1405="","",IF($P1405&gt;=8,"Alta",IF($P1405&gt;=5,"Média","Baixa"))))</f>
        <v/>
      </c>
      <c r="O1405" s="46" t="str">
        <f aca="false">IF($E1405="","",IF(AND(Parâmetros!$C$5&gt;0,$P1405&lt;&gt;"",$P1405&gt;=Parâmetros!$C$5),"Sim","Não"))</f>
        <v/>
      </c>
      <c r="P1405" s="45" t="str">
        <f aca="false">IF($E1405="","",IF($G1405="","",IF($G1405="NOK",$F1405,0)))</f>
        <v/>
      </c>
      <c r="Q1405" s="46" t="str">
        <f aca="false">IF($E1405="","",IF($O1405&lt;&gt;"Sim","",COUNTIF($O$3:$O1405,"Sim")))</f>
        <v/>
      </c>
      <c r="R1405" s="47" t="n">
        <f aca="false">IF($P1405="",0,$P1405)</f>
        <v>0</v>
      </c>
    </row>
    <row r="1406" customFormat="false" ht="18" hidden="false" customHeight="true" outlineLevel="0" collapsed="false">
      <c r="A1406" s="39"/>
      <c r="B1406" s="41"/>
      <c r="C1406" s="40"/>
      <c r="D1406" s="40"/>
      <c r="E1406" s="40"/>
      <c r="F1406" s="42"/>
      <c r="G1406" s="39"/>
      <c r="H1406" s="40"/>
      <c r="I1406" s="40"/>
      <c r="J1406" s="40"/>
      <c r="K1406" s="41"/>
      <c r="L1406" s="39"/>
      <c r="M1406" s="48" t="str">
        <f aca="false">IF($E1406="","",IFERROR(INDEX(Parâmetros!$C$15:$C$20,MATCH($P1406,Parâmetros!$B$15:$B$20,0)),""))</f>
        <v/>
      </c>
      <c r="N1406" s="46" t="str">
        <f aca="false">IF($E1406="","",IF($P1406="","",IF($P1406&gt;=8,"Alta",IF($P1406&gt;=5,"Média","Baixa"))))</f>
        <v/>
      </c>
      <c r="O1406" s="46" t="str">
        <f aca="false">IF($E1406="","",IF(AND(Parâmetros!$C$5&gt;0,$P1406&lt;&gt;"",$P1406&gt;=Parâmetros!$C$5),"Sim","Não"))</f>
        <v/>
      </c>
      <c r="P1406" s="45" t="str">
        <f aca="false">IF($E1406="","",IF($G1406="","",IF($G1406="NOK",$F1406,0)))</f>
        <v/>
      </c>
      <c r="Q1406" s="46" t="str">
        <f aca="false">IF($E1406="","",IF($O1406&lt;&gt;"Sim","",COUNTIF($O$3:$O1406,"Sim")))</f>
        <v/>
      </c>
      <c r="R1406" s="47" t="n">
        <f aca="false">IF($P1406="",0,$P1406)</f>
        <v>0</v>
      </c>
    </row>
    <row r="1407" customFormat="false" ht="18" hidden="false" customHeight="true" outlineLevel="0" collapsed="false">
      <c r="A1407" s="39"/>
      <c r="B1407" s="41"/>
      <c r="C1407" s="40"/>
      <c r="D1407" s="40"/>
      <c r="E1407" s="40"/>
      <c r="F1407" s="42"/>
      <c r="G1407" s="39"/>
      <c r="H1407" s="40"/>
      <c r="I1407" s="40"/>
      <c r="J1407" s="40"/>
      <c r="K1407" s="41"/>
      <c r="L1407" s="39"/>
      <c r="M1407" s="48" t="str">
        <f aca="false">IF($E1407="","",IFERROR(INDEX(Parâmetros!$C$15:$C$20,MATCH($P1407,Parâmetros!$B$15:$B$20,0)),""))</f>
        <v/>
      </c>
      <c r="N1407" s="46" t="str">
        <f aca="false">IF($E1407="","",IF($P1407="","",IF($P1407&gt;=8,"Alta",IF($P1407&gt;=5,"Média","Baixa"))))</f>
        <v/>
      </c>
      <c r="O1407" s="46" t="str">
        <f aca="false">IF($E1407="","",IF(AND(Parâmetros!$C$5&gt;0,$P1407&lt;&gt;"",$P1407&gt;=Parâmetros!$C$5),"Sim","Não"))</f>
        <v/>
      </c>
      <c r="P1407" s="45" t="str">
        <f aca="false">IF($E1407="","",IF($G1407="","",IF($G1407="NOK",$F1407,0)))</f>
        <v/>
      </c>
      <c r="Q1407" s="46" t="str">
        <f aca="false">IF($E1407="","",IF($O1407&lt;&gt;"Sim","",COUNTIF($O$3:$O1407,"Sim")))</f>
        <v/>
      </c>
      <c r="R1407" s="47" t="n">
        <f aca="false">IF($P1407="",0,$P1407)</f>
        <v>0</v>
      </c>
    </row>
    <row r="1408" customFormat="false" ht="18" hidden="false" customHeight="true" outlineLevel="0" collapsed="false">
      <c r="A1408" s="39"/>
      <c r="B1408" s="41"/>
      <c r="C1408" s="40"/>
      <c r="D1408" s="40"/>
      <c r="E1408" s="40"/>
      <c r="F1408" s="42"/>
      <c r="G1408" s="39"/>
      <c r="H1408" s="40"/>
      <c r="I1408" s="40"/>
      <c r="J1408" s="40"/>
      <c r="K1408" s="41"/>
      <c r="L1408" s="39"/>
      <c r="M1408" s="48" t="str">
        <f aca="false">IF($E1408="","",IFERROR(INDEX(Parâmetros!$C$15:$C$20,MATCH($P1408,Parâmetros!$B$15:$B$20,0)),""))</f>
        <v/>
      </c>
      <c r="N1408" s="46" t="str">
        <f aca="false">IF($E1408="","",IF($P1408="","",IF($P1408&gt;=8,"Alta",IF($P1408&gt;=5,"Média","Baixa"))))</f>
        <v/>
      </c>
      <c r="O1408" s="46" t="str">
        <f aca="false">IF($E1408="","",IF(AND(Parâmetros!$C$5&gt;0,$P1408&lt;&gt;"",$P1408&gt;=Parâmetros!$C$5),"Sim","Não"))</f>
        <v/>
      </c>
      <c r="P1408" s="45" t="str">
        <f aca="false">IF($E1408="","",IF($G1408="","",IF($G1408="NOK",$F1408,0)))</f>
        <v/>
      </c>
      <c r="Q1408" s="46" t="str">
        <f aca="false">IF($E1408="","",IF($O1408&lt;&gt;"Sim","",COUNTIF($O$3:$O1408,"Sim")))</f>
        <v/>
      </c>
      <c r="R1408" s="47" t="n">
        <f aca="false">IF($P1408="",0,$P1408)</f>
        <v>0</v>
      </c>
    </row>
    <row r="1409" customFormat="false" ht="18" hidden="false" customHeight="true" outlineLevel="0" collapsed="false">
      <c r="A1409" s="39"/>
      <c r="B1409" s="41"/>
      <c r="C1409" s="40"/>
      <c r="D1409" s="40"/>
      <c r="E1409" s="40"/>
      <c r="F1409" s="42"/>
      <c r="G1409" s="39"/>
      <c r="H1409" s="40"/>
      <c r="I1409" s="40"/>
      <c r="J1409" s="40"/>
      <c r="K1409" s="41"/>
      <c r="L1409" s="39"/>
      <c r="M1409" s="48" t="str">
        <f aca="false">IF($E1409="","",IFERROR(INDEX(Parâmetros!$C$15:$C$20,MATCH($P1409,Parâmetros!$B$15:$B$20,0)),""))</f>
        <v/>
      </c>
      <c r="N1409" s="46" t="str">
        <f aca="false">IF($E1409="","",IF($P1409="","",IF($P1409&gt;=8,"Alta",IF($P1409&gt;=5,"Média","Baixa"))))</f>
        <v/>
      </c>
      <c r="O1409" s="46" t="str">
        <f aca="false">IF($E1409="","",IF(AND(Parâmetros!$C$5&gt;0,$P1409&lt;&gt;"",$P1409&gt;=Parâmetros!$C$5),"Sim","Não"))</f>
        <v/>
      </c>
      <c r="P1409" s="45" t="str">
        <f aca="false">IF($E1409="","",IF($G1409="","",IF($G1409="NOK",$F1409,0)))</f>
        <v/>
      </c>
      <c r="Q1409" s="46" t="str">
        <f aca="false">IF($E1409="","",IF($O1409&lt;&gt;"Sim","",COUNTIF($O$3:$O1409,"Sim")))</f>
        <v/>
      </c>
      <c r="R1409" s="47" t="n">
        <f aca="false">IF($P1409="",0,$P1409)</f>
        <v>0</v>
      </c>
    </row>
    <row r="1410" customFormat="false" ht="18" hidden="false" customHeight="true" outlineLevel="0" collapsed="false">
      <c r="A1410" s="39"/>
      <c r="B1410" s="41"/>
      <c r="C1410" s="40"/>
      <c r="D1410" s="40"/>
      <c r="E1410" s="40"/>
      <c r="F1410" s="42"/>
      <c r="G1410" s="39"/>
      <c r="H1410" s="40"/>
      <c r="I1410" s="40"/>
      <c r="J1410" s="40"/>
      <c r="K1410" s="41"/>
      <c r="L1410" s="39"/>
      <c r="M1410" s="48" t="str">
        <f aca="false">IF($E1410="","",IFERROR(INDEX(Parâmetros!$C$15:$C$20,MATCH($P1410,Parâmetros!$B$15:$B$20,0)),""))</f>
        <v/>
      </c>
      <c r="N1410" s="46" t="str">
        <f aca="false">IF($E1410="","",IF($P1410="","",IF($P1410&gt;=8,"Alta",IF($P1410&gt;=5,"Média","Baixa"))))</f>
        <v/>
      </c>
      <c r="O1410" s="46" t="str">
        <f aca="false">IF($E1410="","",IF(AND(Parâmetros!$C$5&gt;0,$P1410&lt;&gt;"",$P1410&gt;=Parâmetros!$C$5),"Sim","Não"))</f>
        <v/>
      </c>
      <c r="P1410" s="45" t="str">
        <f aca="false">IF($E1410="","",IF($G1410="","",IF($G1410="NOK",$F1410,0)))</f>
        <v/>
      </c>
      <c r="Q1410" s="46" t="str">
        <f aca="false">IF($E1410="","",IF($O1410&lt;&gt;"Sim","",COUNTIF($O$3:$O1410,"Sim")))</f>
        <v/>
      </c>
      <c r="R1410" s="47" t="n">
        <f aca="false">IF($P1410="",0,$P1410)</f>
        <v>0</v>
      </c>
    </row>
    <row r="1411" customFormat="false" ht="18" hidden="false" customHeight="true" outlineLevel="0" collapsed="false">
      <c r="A1411" s="39"/>
      <c r="B1411" s="41"/>
      <c r="C1411" s="40"/>
      <c r="D1411" s="40"/>
      <c r="E1411" s="40"/>
      <c r="F1411" s="42"/>
      <c r="G1411" s="39"/>
      <c r="H1411" s="40"/>
      <c r="I1411" s="40"/>
      <c r="J1411" s="40"/>
      <c r="K1411" s="41"/>
      <c r="L1411" s="39"/>
      <c r="M1411" s="48" t="str">
        <f aca="false">IF($E1411="","",IFERROR(INDEX(Parâmetros!$C$15:$C$20,MATCH($P1411,Parâmetros!$B$15:$B$20,0)),""))</f>
        <v/>
      </c>
      <c r="N1411" s="46" t="str">
        <f aca="false">IF($E1411="","",IF($P1411="","",IF($P1411&gt;=8,"Alta",IF($P1411&gt;=5,"Média","Baixa"))))</f>
        <v/>
      </c>
      <c r="O1411" s="46" t="str">
        <f aca="false">IF($E1411="","",IF(AND(Parâmetros!$C$5&gt;0,$P1411&lt;&gt;"",$P1411&gt;=Parâmetros!$C$5),"Sim","Não"))</f>
        <v/>
      </c>
      <c r="P1411" s="45" t="str">
        <f aca="false">IF($E1411="","",IF($G1411="","",IF($G1411="NOK",$F1411,0)))</f>
        <v/>
      </c>
      <c r="Q1411" s="46" t="str">
        <f aca="false">IF($E1411="","",IF($O1411&lt;&gt;"Sim","",COUNTIF($O$3:$O1411,"Sim")))</f>
        <v/>
      </c>
      <c r="R1411" s="47" t="n">
        <f aca="false">IF($P1411="",0,$P1411)</f>
        <v>0</v>
      </c>
    </row>
    <row r="1412" customFormat="false" ht="18" hidden="false" customHeight="true" outlineLevel="0" collapsed="false">
      <c r="A1412" s="39"/>
      <c r="B1412" s="41"/>
      <c r="C1412" s="40"/>
      <c r="D1412" s="40"/>
      <c r="E1412" s="40"/>
      <c r="F1412" s="42"/>
      <c r="G1412" s="39"/>
      <c r="H1412" s="40"/>
      <c r="I1412" s="40"/>
      <c r="J1412" s="40"/>
      <c r="K1412" s="41"/>
      <c r="L1412" s="39"/>
      <c r="M1412" s="48" t="str">
        <f aca="false">IF($E1412="","",IFERROR(INDEX(Parâmetros!$C$15:$C$20,MATCH($P1412,Parâmetros!$B$15:$B$20,0)),""))</f>
        <v/>
      </c>
      <c r="N1412" s="46" t="str">
        <f aca="false">IF($E1412="","",IF($P1412="","",IF($P1412&gt;=8,"Alta",IF($P1412&gt;=5,"Média","Baixa"))))</f>
        <v/>
      </c>
      <c r="O1412" s="46" t="str">
        <f aca="false">IF($E1412="","",IF(AND(Parâmetros!$C$5&gt;0,$P1412&lt;&gt;"",$P1412&gt;=Parâmetros!$C$5),"Sim","Não"))</f>
        <v/>
      </c>
      <c r="P1412" s="45" t="str">
        <f aca="false">IF($E1412="","",IF($G1412="","",IF($G1412="NOK",$F1412,0)))</f>
        <v/>
      </c>
      <c r="Q1412" s="46" t="str">
        <f aca="false">IF($E1412="","",IF($O1412&lt;&gt;"Sim","",COUNTIF($O$3:$O1412,"Sim")))</f>
        <v/>
      </c>
      <c r="R1412" s="47" t="n">
        <f aca="false">IF($P1412="",0,$P1412)</f>
        <v>0</v>
      </c>
    </row>
    <row r="1413" customFormat="false" ht="18" hidden="false" customHeight="true" outlineLevel="0" collapsed="false">
      <c r="A1413" s="39"/>
      <c r="B1413" s="41"/>
      <c r="C1413" s="40"/>
      <c r="D1413" s="40"/>
      <c r="E1413" s="40"/>
      <c r="F1413" s="42"/>
      <c r="G1413" s="39"/>
      <c r="H1413" s="40"/>
      <c r="I1413" s="40"/>
      <c r="J1413" s="40"/>
      <c r="K1413" s="41"/>
      <c r="L1413" s="39"/>
      <c r="M1413" s="48" t="str">
        <f aca="false">IF($E1413="","",IFERROR(INDEX(Parâmetros!$C$15:$C$20,MATCH($P1413,Parâmetros!$B$15:$B$20,0)),""))</f>
        <v/>
      </c>
      <c r="N1413" s="46" t="str">
        <f aca="false">IF($E1413="","",IF($P1413="","",IF($P1413&gt;=8,"Alta",IF($P1413&gt;=5,"Média","Baixa"))))</f>
        <v/>
      </c>
      <c r="O1413" s="46" t="str">
        <f aca="false">IF($E1413="","",IF(AND(Parâmetros!$C$5&gt;0,$P1413&lt;&gt;"",$P1413&gt;=Parâmetros!$C$5),"Sim","Não"))</f>
        <v/>
      </c>
      <c r="P1413" s="45" t="str">
        <f aca="false">IF($E1413="","",IF($G1413="","",IF($G1413="NOK",$F1413,0)))</f>
        <v/>
      </c>
      <c r="Q1413" s="46" t="str">
        <f aca="false">IF($E1413="","",IF($O1413&lt;&gt;"Sim","",COUNTIF($O$3:$O1413,"Sim")))</f>
        <v/>
      </c>
      <c r="R1413" s="47" t="n">
        <f aca="false">IF($P1413="",0,$P1413)</f>
        <v>0</v>
      </c>
    </row>
    <row r="1414" customFormat="false" ht="18" hidden="false" customHeight="true" outlineLevel="0" collapsed="false">
      <c r="A1414" s="39"/>
      <c r="B1414" s="41"/>
      <c r="C1414" s="40"/>
      <c r="D1414" s="40"/>
      <c r="E1414" s="40"/>
      <c r="F1414" s="42"/>
      <c r="G1414" s="39"/>
      <c r="H1414" s="40"/>
      <c r="I1414" s="40"/>
      <c r="J1414" s="40"/>
      <c r="K1414" s="41"/>
      <c r="L1414" s="39"/>
      <c r="M1414" s="48" t="str">
        <f aca="false">IF($E1414="","",IFERROR(INDEX(Parâmetros!$C$15:$C$20,MATCH($P1414,Parâmetros!$B$15:$B$20,0)),""))</f>
        <v/>
      </c>
      <c r="N1414" s="46" t="str">
        <f aca="false">IF($E1414="","",IF($P1414="","",IF($P1414&gt;=8,"Alta",IF($P1414&gt;=5,"Média","Baixa"))))</f>
        <v/>
      </c>
      <c r="O1414" s="46" t="str">
        <f aca="false">IF($E1414="","",IF(AND(Parâmetros!$C$5&gt;0,$P1414&lt;&gt;"",$P1414&gt;=Parâmetros!$C$5),"Sim","Não"))</f>
        <v/>
      </c>
      <c r="P1414" s="45" t="str">
        <f aca="false">IF($E1414="","",IF($G1414="","",IF($G1414="NOK",$F1414,0)))</f>
        <v/>
      </c>
      <c r="Q1414" s="46" t="str">
        <f aca="false">IF($E1414="","",IF($O1414&lt;&gt;"Sim","",COUNTIF($O$3:$O1414,"Sim")))</f>
        <v/>
      </c>
      <c r="R1414" s="47" t="n">
        <f aca="false">IF($P1414="",0,$P1414)</f>
        <v>0</v>
      </c>
    </row>
    <row r="1415" customFormat="false" ht="18" hidden="false" customHeight="true" outlineLevel="0" collapsed="false">
      <c r="A1415" s="39"/>
      <c r="B1415" s="41"/>
      <c r="C1415" s="40"/>
      <c r="D1415" s="40"/>
      <c r="E1415" s="40"/>
      <c r="F1415" s="42"/>
      <c r="G1415" s="39"/>
      <c r="H1415" s="40"/>
      <c r="I1415" s="40"/>
      <c r="J1415" s="40"/>
      <c r="K1415" s="41"/>
      <c r="L1415" s="39"/>
      <c r="M1415" s="48" t="str">
        <f aca="false">IF($E1415="","",IFERROR(INDEX(Parâmetros!$C$15:$C$20,MATCH($P1415,Parâmetros!$B$15:$B$20,0)),""))</f>
        <v/>
      </c>
      <c r="N1415" s="46" t="str">
        <f aca="false">IF($E1415="","",IF($P1415="","",IF($P1415&gt;=8,"Alta",IF($P1415&gt;=5,"Média","Baixa"))))</f>
        <v/>
      </c>
      <c r="O1415" s="46" t="str">
        <f aca="false">IF($E1415="","",IF(AND(Parâmetros!$C$5&gt;0,$P1415&lt;&gt;"",$P1415&gt;=Parâmetros!$C$5),"Sim","Não"))</f>
        <v/>
      </c>
      <c r="P1415" s="45" t="str">
        <f aca="false">IF($E1415="","",IF($G1415="","",IF($G1415="NOK",$F1415,0)))</f>
        <v/>
      </c>
      <c r="Q1415" s="46" t="str">
        <f aca="false">IF($E1415="","",IF($O1415&lt;&gt;"Sim","",COUNTIF($O$3:$O1415,"Sim")))</f>
        <v/>
      </c>
      <c r="R1415" s="47" t="n">
        <f aca="false">IF($P1415="",0,$P1415)</f>
        <v>0</v>
      </c>
    </row>
    <row r="1416" customFormat="false" ht="18" hidden="false" customHeight="true" outlineLevel="0" collapsed="false">
      <c r="A1416" s="39"/>
      <c r="B1416" s="41"/>
      <c r="C1416" s="40"/>
      <c r="D1416" s="40"/>
      <c r="E1416" s="40"/>
      <c r="F1416" s="42"/>
      <c r="G1416" s="39"/>
      <c r="H1416" s="40"/>
      <c r="I1416" s="40"/>
      <c r="J1416" s="40"/>
      <c r="K1416" s="41"/>
      <c r="L1416" s="39"/>
      <c r="M1416" s="48" t="str">
        <f aca="false">IF($E1416="","",IFERROR(INDEX(Parâmetros!$C$15:$C$20,MATCH($P1416,Parâmetros!$B$15:$B$20,0)),""))</f>
        <v/>
      </c>
      <c r="N1416" s="46" t="str">
        <f aca="false">IF($E1416="","",IF($P1416="","",IF($P1416&gt;=8,"Alta",IF($P1416&gt;=5,"Média","Baixa"))))</f>
        <v/>
      </c>
      <c r="O1416" s="46" t="str">
        <f aca="false">IF($E1416="","",IF(AND(Parâmetros!$C$5&gt;0,$P1416&lt;&gt;"",$P1416&gt;=Parâmetros!$C$5),"Sim","Não"))</f>
        <v/>
      </c>
      <c r="P1416" s="45" t="str">
        <f aca="false">IF($E1416="","",IF($G1416="","",IF($G1416="NOK",$F1416,0)))</f>
        <v/>
      </c>
      <c r="Q1416" s="46" t="str">
        <f aca="false">IF($E1416="","",IF($O1416&lt;&gt;"Sim","",COUNTIF($O$3:$O1416,"Sim")))</f>
        <v/>
      </c>
      <c r="R1416" s="47" t="n">
        <f aca="false">IF($P1416="",0,$P1416)</f>
        <v>0</v>
      </c>
    </row>
    <row r="1417" customFormat="false" ht="18" hidden="false" customHeight="true" outlineLevel="0" collapsed="false">
      <c r="A1417" s="39"/>
      <c r="B1417" s="41"/>
      <c r="C1417" s="40"/>
      <c r="D1417" s="40"/>
      <c r="E1417" s="40"/>
      <c r="F1417" s="42"/>
      <c r="G1417" s="39"/>
      <c r="H1417" s="40"/>
      <c r="I1417" s="40"/>
      <c r="J1417" s="40"/>
      <c r="K1417" s="41"/>
      <c r="L1417" s="39"/>
      <c r="M1417" s="48" t="str">
        <f aca="false">IF($E1417="","",IFERROR(INDEX(Parâmetros!$C$15:$C$20,MATCH($P1417,Parâmetros!$B$15:$B$20,0)),""))</f>
        <v/>
      </c>
      <c r="N1417" s="46" t="str">
        <f aca="false">IF($E1417="","",IF($P1417="","",IF($P1417&gt;=8,"Alta",IF($P1417&gt;=5,"Média","Baixa"))))</f>
        <v/>
      </c>
      <c r="O1417" s="46" t="str">
        <f aca="false">IF($E1417="","",IF(AND(Parâmetros!$C$5&gt;0,$P1417&lt;&gt;"",$P1417&gt;=Parâmetros!$C$5),"Sim","Não"))</f>
        <v/>
      </c>
      <c r="P1417" s="45" t="str">
        <f aca="false">IF($E1417="","",IF($G1417="","",IF($G1417="NOK",$F1417,0)))</f>
        <v/>
      </c>
      <c r="Q1417" s="46" t="str">
        <f aca="false">IF($E1417="","",IF($O1417&lt;&gt;"Sim","",COUNTIF($O$3:$O1417,"Sim")))</f>
        <v/>
      </c>
      <c r="R1417" s="47" t="n">
        <f aca="false">IF($P1417="",0,$P1417)</f>
        <v>0</v>
      </c>
    </row>
    <row r="1418" customFormat="false" ht="18" hidden="false" customHeight="true" outlineLevel="0" collapsed="false">
      <c r="A1418" s="39"/>
      <c r="B1418" s="41"/>
      <c r="C1418" s="40"/>
      <c r="D1418" s="40"/>
      <c r="E1418" s="40"/>
      <c r="F1418" s="42"/>
      <c r="G1418" s="39"/>
      <c r="H1418" s="40"/>
      <c r="I1418" s="40"/>
      <c r="J1418" s="40"/>
      <c r="K1418" s="41"/>
      <c r="L1418" s="39"/>
      <c r="M1418" s="48" t="str">
        <f aca="false">IF($E1418="","",IFERROR(INDEX(Parâmetros!$C$15:$C$20,MATCH($P1418,Parâmetros!$B$15:$B$20,0)),""))</f>
        <v/>
      </c>
      <c r="N1418" s="46" t="str">
        <f aca="false">IF($E1418="","",IF($P1418="","",IF($P1418&gt;=8,"Alta",IF($P1418&gt;=5,"Média","Baixa"))))</f>
        <v/>
      </c>
      <c r="O1418" s="46" t="str">
        <f aca="false">IF($E1418="","",IF(AND(Parâmetros!$C$5&gt;0,$P1418&lt;&gt;"",$P1418&gt;=Parâmetros!$C$5),"Sim","Não"))</f>
        <v/>
      </c>
      <c r="P1418" s="45" t="str">
        <f aca="false">IF($E1418="","",IF($G1418="","",IF($G1418="NOK",$F1418,0)))</f>
        <v/>
      </c>
      <c r="Q1418" s="46" t="str">
        <f aca="false">IF($E1418="","",IF($O1418&lt;&gt;"Sim","",COUNTIF($O$3:$O1418,"Sim")))</f>
        <v/>
      </c>
      <c r="R1418" s="47" t="n">
        <f aca="false">IF($P1418="",0,$P1418)</f>
        <v>0</v>
      </c>
    </row>
    <row r="1419" customFormat="false" ht="18" hidden="false" customHeight="true" outlineLevel="0" collapsed="false">
      <c r="A1419" s="39"/>
      <c r="B1419" s="41"/>
      <c r="C1419" s="40"/>
      <c r="D1419" s="40"/>
      <c r="E1419" s="40"/>
      <c r="F1419" s="42"/>
      <c r="G1419" s="39"/>
      <c r="H1419" s="40"/>
      <c r="I1419" s="40"/>
      <c r="J1419" s="40"/>
      <c r="K1419" s="41"/>
      <c r="L1419" s="39"/>
      <c r="M1419" s="48" t="str">
        <f aca="false">IF($E1419="","",IFERROR(INDEX(Parâmetros!$C$15:$C$20,MATCH($P1419,Parâmetros!$B$15:$B$20,0)),""))</f>
        <v/>
      </c>
      <c r="N1419" s="46" t="str">
        <f aca="false">IF($E1419="","",IF($P1419="","",IF($P1419&gt;=8,"Alta",IF($P1419&gt;=5,"Média","Baixa"))))</f>
        <v/>
      </c>
      <c r="O1419" s="46" t="str">
        <f aca="false">IF($E1419="","",IF(AND(Parâmetros!$C$5&gt;0,$P1419&lt;&gt;"",$P1419&gt;=Parâmetros!$C$5),"Sim","Não"))</f>
        <v/>
      </c>
      <c r="P1419" s="45" t="str">
        <f aca="false">IF($E1419="","",IF($G1419="","",IF($G1419="NOK",$F1419,0)))</f>
        <v/>
      </c>
      <c r="Q1419" s="46" t="str">
        <f aca="false">IF($E1419="","",IF($O1419&lt;&gt;"Sim","",COUNTIF($O$3:$O1419,"Sim")))</f>
        <v/>
      </c>
      <c r="R1419" s="47" t="n">
        <f aca="false">IF($P1419="",0,$P1419)</f>
        <v>0</v>
      </c>
    </row>
    <row r="1420" customFormat="false" ht="18" hidden="false" customHeight="true" outlineLevel="0" collapsed="false">
      <c r="A1420" s="39"/>
      <c r="B1420" s="41"/>
      <c r="C1420" s="40"/>
      <c r="D1420" s="40"/>
      <c r="E1420" s="40"/>
      <c r="F1420" s="42"/>
      <c r="G1420" s="39"/>
      <c r="H1420" s="40"/>
      <c r="I1420" s="40"/>
      <c r="J1420" s="40"/>
      <c r="K1420" s="41"/>
      <c r="L1420" s="39"/>
      <c r="M1420" s="48" t="str">
        <f aca="false">IF($E1420="","",IFERROR(INDEX(Parâmetros!$C$15:$C$20,MATCH($P1420,Parâmetros!$B$15:$B$20,0)),""))</f>
        <v/>
      </c>
      <c r="N1420" s="46" t="str">
        <f aca="false">IF($E1420="","",IF($P1420="","",IF($P1420&gt;=8,"Alta",IF($P1420&gt;=5,"Média","Baixa"))))</f>
        <v/>
      </c>
      <c r="O1420" s="46" t="str">
        <f aca="false">IF($E1420="","",IF(AND(Parâmetros!$C$5&gt;0,$P1420&lt;&gt;"",$P1420&gt;=Parâmetros!$C$5),"Sim","Não"))</f>
        <v/>
      </c>
      <c r="P1420" s="45" t="str">
        <f aca="false">IF($E1420="","",IF($G1420="","",IF($G1420="NOK",$F1420,0)))</f>
        <v/>
      </c>
      <c r="Q1420" s="46" t="str">
        <f aca="false">IF($E1420="","",IF($O1420&lt;&gt;"Sim","",COUNTIF($O$3:$O1420,"Sim")))</f>
        <v/>
      </c>
      <c r="R1420" s="47" t="n">
        <f aca="false">IF($P1420="",0,$P1420)</f>
        <v>0</v>
      </c>
    </row>
    <row r="1421" customFormat="false" ht="18" hidden="false" customHeight="true" outlineLevel="0" collapsed="false">
      <c r="A1421" s="39"/>
      <c r="B1421" s="41"/>
      <c r="C1421" s="40"/>
      <c r="D1421" s="40"/>
      <c r="E1421" s="40"/>
      <c r="F1421" s="42"/>
      <c r="G1421" s="39"/>
      <c r="H1421" s="40"/>
      <c r="I1421" s="40"/>
      <c r="J1421" s="40"/>
      <c r="K1421" s="41"/>
      <c r="L1421" s="39"/>
      <c r="M1421" s="48" t="str">
        <f aca="false">IF($E1421="","",IFERROR(INDEX(Parâmetros!$C$15:$C$20,MATCH($P1421,Parâmetros!$B$15:$B$20,0)),""))</f>
        <v/>
      </c>
      <c r="N1421" s="46" t="str">
        <f aca="false">IF($E1421="","",IF($P1421="","",IF($P1421&gt;=8,"Alta",IF($P1421&gt;=5,"Média","Baixa"))))</f>
        <v/>
      </c>
      <c r="O1421" s="46" t="str">
        <f aca="false">IF($E1421="","",IF(AND(Parâmetros!$C$5&gt;0,$P1421&lt;&gt;"",$P1421&gt;=Parâmetros!$C$5),"Sim","Não"))</f>
        <v/>
      </c>
      <c r="P1421" s="45" t="str">
        <f aca="false">IF($E1421="","",IF($G1421="","",IF($G1421="NOK",$F1421,0)))</f>
        <v/>
      </c>
      <c r="Q1421" s="46" t="str">
        <f aca="false">IF($E1421="","",IF($O1421&lt;&gt;"Sim","",COUNTIF($O$3:$O1421,"Sim")))</f>
        <v/>
      </c>
      <c r="R1421" s="47" t="n">
        <f aca="false">IF($P1421="",0,$P1421)</f>
        <v>0</v>
      </c>
    </row>
    <row r="1422" customFormat="false" ht="18" hidden="false" customHeight="true" outlineLevel="0" collapsed="false">
      <c r="A1422" s="39"/>
      <c r="B1422" s="41"/>
      <c r="C1422" s="40"/>
      <c r="D1422" s="40"/>
      <c r="E1422" s="40"/>
      <c r="F1422" s="42"/>
      <c r="G1422" s="39"/>
      <c r="H1422" s="40"/>
      <c r="I1422" s="40"/>
      <c r="J1422" s="40"/>
      <c r="K1422" s="41"/>
      <c r="L1422" s="39"/>
      <c r="M1422" s="48" t="str">
        <f aca="false">IF($E1422="","",IFERROR(INDEX(Parâmetros!$C$15:$C$20,MATCH($P1422,Parâmetros!$B$15:$B$20,0)),""))</f>
        <v/>
      </c>
      <c r="N1422" s="46" t="str">
        <f aca="false">IF($E1422="","",IF($P1422="","",IF($P1422&gt;=8,"Alta",IF($P1422&gt;=5,"Média","Baixa"))))</f>
        <v/>
      </c>
      <c r="O1422" s="46" t="str">
        <f aca="false">IF($E1422="","",IF(AND(Parâmetros!$C$5&gt;0,$P1422&lt;&gt;"",$P1422&gt;=Parâmetros!$C$5),"Sim","Não"))</f>
        <v/>
      </c>
      <c r="P1422" s="45" t="str">
        <f aca="false">IF($E1422="","",IF($G1422="","",IF($G1422="NOK",$F1422,0)))</f>
        <v/>
      </c>
      <c r="Q1422" s="46" t="str">
        <f aca="false">IF($E1422="","",IF($O1422&lt;&gt;"Sim","",COUNTIF($O$3:$O1422,"Sim")))</f>
        <v/>
      </c>
      <c r="R1422" s="47" t="n">
        <f aca="false">IF($P1422="",0,$P1422)</f>
        <v>0</v>
      </c>
    </row>
    <row r="1423" customFormat="false" ht="18" hidden="false" customHeight="true" outlineLevel="0" collapsed="false">
      <c r="A1423" s="39"/>
      <c r="B1423" s="41"/>
      <c r="C1423" s="40"/>
      <c r="D1423" s="40"/>
      <c r="E1423" s="40"/>
      <c r="F1423" s="42"/>
      <c r="G1423" s="39"/>
      <c r="H1423" s="40"/>
      <c r="I1423" s="40"/>
      <c r="J1423" s="40"/>
      <c r="K1423" s="41"/>
      <c r="L1423" s="39"/>
      <c r="M1423" s="48" t="str">
        <f aca="false">IF($E1423="","",IFERROR(INDEX(Parâmetros!$C$15:$C$20,MATCH($P1423,Parâmetros!$B$15:$B$20,0)),""))</f>
        <v/>
      </c>
      <c r="N1423" s="46" t="str">
        <f aca="false">IF($E1423="","",IF($P1423="","",IF($P1423&gt;=8,"Alta",IF($P1423&gt;=5,"Média","Baixa"))))</f>
        <v/>
      </c>
      <c r="O1423" s="46" t="str">
        <f aca="false">IF($E1423="","",IF(AND(Parâmetros!$C$5&gt;0,$P1423&lt;&gt;"",$P1423&gt;=Parâmetros!$C$5),"Sim","Não"))</f>
        <v/>
      </c>
      <c r="P1423" s="45" t="str">
        <f aca="false">IF($E1423="","",IF($G1423="","",IF($G1423="NOK",$F1423,0)))</f>
        <v/>
      </c>
      <c r="Q1423" s="46" t="str">
        <f aca="false">IF($E1423="","",IF($O1423&lt;&gt;"Sim","",COUNTIF($O$3:$O1423,"Sim")))</f>
        <v/>
      </c>
      <c r="R1423" s="47" t="n">
        <f aca="false">IF($P1423="",0,$P1423)</f>
        <v>0</v>
      </c>
    </row>
    <row r="1424" customFormat="false" ht="18" hidden="false" customHeight="true" outlineLevel="0" collapsed="false">
      <c r="A1424" s="39"/>
      <c r="B1424" s="41"/>
      <c r="C1424" s="40"/>
      <c r="D1424" s="40"/>
      <c r="E1424" s="40"/>
      <c r="F1424" s="42"/>
      <c r="G1424" s="39"/>
      <c r="H1424" s="40"/>
      <c r="I1424" s="40"/>
      <c r="J1424" s="40"/>
      <c r="K1424" s="41"/>
      <c r="L1424" s="39"/>
      <c r="M1424" s="48" t="str">
        <f aca="false">IF($E1424="","",IFERROR(INDEX(Parâmetros!$C$15:$C$20,MATCH($P1424,Parâmetros!$B$15:$B$20,0)),""))</f>
        <v/>
      </c>
      <c r="N1424" s="46" t="str">
        <f aca="false">IF($E1424="","",IF($P1424="","",IF($P1424&gt;=8,"Alta",IF($P1424&gt;=5,"Média","Baixa"))))</f>
        <v/>
      </c>
      <c r="O1424" s="46" t="str">
        <f aca="false">IF($E1424="","",IF(AND(Parâmetros!$C$5&gt;0,$P1424&lt;&gt;"",$P1424&gt;=Parâmetros!$C$5),"Sim","Não"))</f>
        <v/>
      </c>
      <c r="P1424" s="45" t="str">
        <f aca="false">IF($E1424="","",IF($G1424="","",IF($G1424="NOK",$F1424,0)))</f>
        <v/>
      </c>
      <c r="Q1424" s="46" t="str">
        <f aca="false">IF($E1424="","",IF($O1424&lt;&gt;"Sim","",COUNTIF($O$3:$O1424,"Sim")))</f>
        <v/>
      </c>
      <c r="R1424" s="47" t="n">
        <f aca="false">IF($P1424="",0,$P1424)</f>
        <v>0</v>
      </c>
    </row>
    <row r="1425" customFormat="false" ht="18" hidden="false" customHeight="true" outlineLevel="0" collapsed="false">
      <c r="A1425" s="39"/>
      <c r="B1425" s="41"/>
      <c r="C1425" s="40"/>
      <c r="D1425" s="40"/>
      <c r="E1425" s="40"/>
      <c r="F1425" s="42"/>
      <c r="G1425" s="39"/>
      <c r="H1425" s="40"/>
      <c r="I1425" s="40"/>
      <c r="J1425" s="40"/>
      <c r="K1425" s="41"/>
      <c r="L1425" s="39"/>
      <c r="M1425" s="48" t="str">
        <f aca="false">IF($E1425="","",IFERROR(INDEX(Parâmetros!$C$15:$C$20,MATCH($P1425,Parâmetros!$B$15:$B$20,0)),""))</f>
        <v/>
      </c>
      <c r="N1425" s="46" t="str">
        <f aca="false">IF($E1425="","",IF($P1425="","",IF($P1425&gt;=8,"Alta",IF($P1425&gt;=5,"Média","Baixa"))))</f>
        <v/>
      </c>
      <c r="O1425" s="46" t="str">
        <f aca="false">IF($E1425="","",IF(AND(Parâmetros!$C$5&gt;0,$P1425&lt;&gt;"",$P1425&gt;=Parâmetros!$C$5),"Sim","Não"))</f>
        <v/>
      </c>
      <c r="P1425" s="45" t="str">
        <f aca="false">IF($E1425="","",IF($G1425="","",IF($G1425="NOK",$F1425,0)))</f>
        <v/>
      </c>
      <c r="Q1425" s="46" t="str">
        <f aca="false">IF($E1425="","",IF($O1425&lt;&gt;"Sim","",COUNTIF($O$3:$O1425,"Sim")))</f>
        <v/>
      </c>
      <c r="R1425" s="47" t="n">
        <f aca="false">IF($P1425="",0,$P1425)</f>
        <v>0</v>
      </c>
    </row>
    <row r="1426" customFormat="false" ht="18" hidden="false" customHeight="true" outlineLevel="0" collapsed="false">
      <c r="A1426" s="39"/>
      <c r="B1426" s="41"/>
      <c r="C1426" s="40"/>
      <c r="D1426" s="40"/>
      <c r="E1426" s="40"/>
      <c r="F1426" s="42"/>
      <c r="G1426" s="39"/>
      <c r="H1426" s="40"/>
      <c r="I1426" s="40"/>
      <c r="J1426" s="40"/>
      <c r="K1426" s="41"/>
      <c r="L1426" s="39"/>
      <c r="M1426" s="48" t="str">
        <f aca="false">IF($E1426="","",IFERROR(INDEX(Parâmetros!$C$15:$C$20,MATCH($P1426,Parâmetros!$B$15:$B$20,0)),""))</f>
        <v/>
      </c>
      <c r="N1426" s="46" t="str">
        <f aca="false">IF($E1426="","",IF($P1426="","",IF($P1426&gt;=8,"Alta",IF($P1426&gt;=5,"Média","Baixa"))))</f>
        <v/>
      </c>
      <c r="O1426" s="46" t="str">
        <f aca="false">IF($E1426="","",IF(AND(Parâmetros!$C$5&gt;0,$P1426&lt;&gt;"",$P1426&gt;=Parâmetros!$C$5),"Sim","Não"))</f>
        <v/>
      </c>
      <c r="P1426" s="45" t="str">
        <f aca="false">IF($E1426="","",IF($G1426="","",IF($G1426="NOK",$F1426,0)))</f>
        <v/>
      </c>
      <c r="Q1426" s="46" t="str">
        <f aca="false">IF($E1426="","",IF($O1426&lt;&gt;"Sim","",COUNTIF($O$3:$O1426,"Sim")))</f>
        <v/>
      </c>
      <c r="R1426" s="47" t="n">
        <f aca="false">IF($P1426="",0,$P1426)</f>
        <v>0</v>
      </c>
    </row>
    <row r="1427" customFormat="false" ht="18" hidden="false" customHeight="true" outlineLevel="0" collapsed="false">
      <c r="A1427" s="39"/>
      <c r="B1427" s="41"/>
      <c r="C1427" s="40"/>
      <c r="D1427" s="40"/>
      <c r="E1427" s="40"/>
      <c r="F1427" s="42"/>
      <c r="G1427" s="39"/>
      <c r="H1427" s="40"/>
      <c r="I1427" s="40"/>
      <c r="J1427" s="40"/>
      <c r="K1427" s="41"/>
      <c r="L1427" s="39"/>
      <c r="M1427" s="48" t="str">
        <f aca="false">IF($E1427="","",IFERROR(INDEX(Parâmetros!$C$15:$C$20,MATCH($P1427,Parâmetros!$B$15:$B$20,0)),""))</f>
        <v/>
      </c>
      <c r="N1427" s="46" t="str">
        <f aca="false">IF($E1427="","",IF($P1427="","",IF($P1427&gt;=8,"Alta",IF($P1427&gt;=5,"Média","Baixa"))))</f>
        <v/>
      </c>
      <c r="O1427" s="46" t="str">
        <f aca="false">IF($E1427="","",IF(AND(Parâmetros!$C$5&gt;0,$P1427&lt;&gt;"",$P1427&gt;=Parâmetros!$C$5),"Sim","Não"))</f>
        <v/>
      </c>
      <c r="P1427" s="45" t="str">
        <f aca="false">IF($E1427="","",IF($G1427="","",IF($G1427="NOK",$F1427,0)))</f>
        <v/>
      </c>
      <c r="Q1427" s="46" t="str">
        <f aca="false">IF($E1427="","",IF($O1427&lt;&gt;"Sim","",COUNTIF($O$3:$O1427,"Sim")))</f>
        <v/>
      </c>
      <c r="R1427" s="47" t="n">
        <f aca="false">IF($P1427="",0,$P1427)</f>
        <v>0</v>
      </c>
    </row>
    <row r="1428" customFormat="false" ht="18" hidden="false" customHeight="true" outlineLevel="0" collapsed="false">
      <c r="A1428" s="39"/>
      <c r="B1428" s="41"/>
      <c r="C1428" s="40"/>
      <c r="D1428" s="40"/>
      <c r="E1428" s="40"/>
      <c r="F1428" s="42"/>
      <c r="G1428" s="39"/>
      <c r="H1428" s="40"/>
      <c r="I1428" s="40"/>
      <c r="J1428" s="40"/>
      <c r="K1428" s="41"/>
      <c r="L1428" s="39"/>
      <c r="M1428" s="48" t="str">
        <f aca="false">IF($E1428="","",IFERROR(INDEX(Parâmetros!$C$15:$C$20,MATCH($P1428,Parâmetros!$B$15:$B$20,0)),""))</f>
        <v/>
      </c>
      <c r="N1428" s="46" t="str">
        <f aca="false">IF($E1428="","",IF($P1428="","",IF($P1428&gt;=8,"Alta",IF($P1428&gt;=5,"Média","Baixa"))))</f>
        <v/>
      </c>
      <c r="O1428" s="46" t="str">
        <f aca="false">IF($E1428="","",IF(AND(Parâmetros!$C$5&gt;0,$P1428&lt;&gt;"",$P1428&gt;=Parâmetros!$C$5),"Sim","Não"))</f>
        <v/>
      </c>
      <c r="P1428" s="45" t="str">
        <f aca="false">IF($E1428="","",IF($G1428="","",IF($G1428="NOK",$F1428,0)))</f>
        <v/>
      </c>
      <c r="Q1428" s="46" t="str">
        <f aca="false">IF($E1428="","",IF($O1428&lt;&gt;"Sim","",COUNTIF($O$3:$O1428,"Sim")))</f>
        <v/>
      </c>
      <c r="R1428" s="47" t="n">
        <f aca="false">IF($P1428="",0,$P1428)</f>
        <v>0</v>
      </c>
    </row>
    <row r="1429" customFormat="false" ht="18" hidden="false" customHeight="true" outlineLevel="0" collapsed="false">
      <c r="A1429" s="39"/>
      <c r="B1429" s="41"/>
      <c r="C1429" s="40"/>
      <c r="D1429" s="40"/>
      <c r="E1429" s="40"/>
      <c r="F1429" s="42"/>
      <c r="G1429" s="39"/>
      <c r="H1429" s="40"/>
      <c r="I1429" s="40"/>
      <c r="J1429" s="40"/>
      <c r="K1429" s="41"/>
      <c r="L1429" s="39"/>
      <c r="M1429" s="48" t="str">
        <f aca="false">IF($E1429="","",IFERROR(INDEX(Parâmetros!$C$15:$C$20,MATCH($P1429,Parâmetros!$B$15:$B$20,0)),""))</f>
        <v/>
      </c>
      <c r="N1429" s="46" t="str">
        <f aca="false">IF($E1429="","",IF($P1429="","",IF($P1429&gt;=8,"Alta",IF($P1429&gt;=5,"Média","Baixa"))))</f>
        <v/>
      </c>
      <c r="O1429" s="46" t="str">
        <f aca="false">IF($E1429="","",IF(AND(Parâmetros!$C$5&gt;0,$P1429&lt;&gt;"",$P1429&gt;=Parâmetros!$C$5),"Sim","Não"))</f>
        <v/>
      </c>
      <c r="P1429" s="45" t="str">
        <f aca="false">IF($E1429="","",IF($G1429="","",IF($G1429="NOK",$F1429,0)))</f>
        <v/>
      </c>
      <c r="Q1429" s="46" t="str">
        <f aca="false">IF($E1429="","",IF($O1429&lt;&gt;"Sim","",COUNTIF($O$3:$O1429,"Sim")))</f>
        <v/>
      </c>
      <c r="R1429" s="47" t="n">
        <f aca="false">IF($P1429="",0,$P1429)</f>
        <v>0</v>
      </c>
    </row>
    <row r="1430" customFormat="false" ht="18" hidden="false" customHeight="true" outlineLevel="0" collapsed="false">
      <c r="A1430" s="39"/>
      <c r="B1430" s="41"/>
      <c r="C1430" s="40"/>
      <c r="D1430" s="40"/>
      <c r="E1430" s="40"/>
      <c r="F1430" s="42"/>
      <c r="G1430" s="39"/>
      <c r="H1430" s="40"/>
      <c r="I1430" s="40"/>
      <c r="J1430" s="40"/>
      <c r="K1430" s="41"/>
      <c r="L1430" s="39"/>
      <c r="M1430" s="48" t="str">
        <f aca="false">IF($E1430="","",IFERROR(INDEX(Parâmetros!$C$15:$C$20,MATCH($P1430,Parâmetros!$B$15:$B$20,0)),""))</f>
        <v/>
      </c>
      <c r="N1430" s="46" t="str">
        <f aca="false">IF($E1430="","",IF($P1430="","",IF($P1430&gt;=8,"Alta",IF($P1430&gt;=5,"Média","Baixa"))))</f>
        <v/>
      </c>
      <c r="O1430" s="46" t="str">
        <f aca="false">IF($E1430="","",IF(AND(Parâmetros!$C$5&gt;0,$P1430&lt;&gt;"",$P1430&gt;=Parâmetros!$C$5),"Sim","Não"))</f>
        <v/>
      </c>
      <c r="P1430" s="45" t="str">
        <f aca="false">IF($E1430="","",IF($G1430="","",IF($G1430="NOK",$F1430,0)))</f>
        <v/>
      </c>
      <c r="Q1430" s="46" t="str">
        <f aca="false">IF($E1430="","",IF($O1430&lt;&gt;"Sim","",COUNTIF($O$3:$O1430,"Sim")))</f>
        <v/>
      </c>
      <c r="R1430" s="47" t="n">
        <f aca="false">IF($P1430="",0,$P1430)</f>
        <v>0</v>
      </c>
    </row>
    <row r="1431" customFormat="false" ht="18" hidden="false" customHeight="true" outlineLevel="0" collapsed="false">
      <c r="A1431" s="39"/>
      <c r="B1431" s="41"/>
      <c r="C1431" s="40"/>
      <c r="D1431" s="40"/>
      <c r="E1431" s="40"/>
      <c r="F1431" s="42"/>
      <c r="G1431" s="39"/>
      <c r="H1431" s="40"/>
      <c r="I1431" s="40"/>
      <c r="J1431" s="40"/>
      <c r="K1431" s="41"/>
      <c r="L1431" s="39"/>
      <c r="M1431" s="48" t="str">
        <f aca="false">IF($E1431="","",IFERROR(INDEX(Parâmetros!$C$15:$C$20,MATCH($P1431,Parâmetros!$B$15:$B$20,0)),""))</f>
        <v/>
      </c>
      <c r="N1431" s="46" t="str">
        <f aca="false">IF($E1431="","",IF($P1431="","",IF($P1431&gt;=8,"Alta",IF($P1431&gt;=5,"Média","Baixa"))))</f>
        <v/>
      </c>
      <c r="O1431" s="46" t="str">
        <f aca="false">IF($E1431="","",IF(AND(Parâmetros!$C$5&gt;0,$P1431&lt;&gt;"",$P1431&gt;=Parâmetros!$C$5),"Sim","Não"))</f>
        <v/>
      </c>
      <c r="P1431" s="45" t="str">
        <f aca="false">IF($E1431="","",IF($G1431="","",IF($G1431="NOK",$F1431,0)))</f>
        <v/>
      </c>
      <c r="Q1431" s="46" t="str">
        <f aca="false">IF($E1431="","",IF($O1431&lt;&gt;"Sim","",COUNTIF($O$3:$O1431,"Sim")))</f>
        <v/>
      </c>
      <c r="R1431" s="47" t="n">
        <f aca="false">IF($P1431="",0,$P1431)</f>
        <v>0</v>
      </c>
    </row>
    <row r="1432" customFormat="false" ht="18" hidden="false" customHeight="true" outlineLevel="0" collapsed="false">
      <c r="A1432" s="39"/>
      <c r="B1432" s="41"/>
      <c r="C1432" s="40"/>
      <c r="D1432" s="40"/>
      <c r="E1432" s="40"/>
      <c r="F1432" s="42"/>
      <c r="G1432" s="39"/>
      <c r="H1432" s="40"/>
      <c r="I1432" s="40"/>
      <c r="J1432" s="40"/>
      <c r="K1432" s="41"/>
      <c r="L1432" s="39"/>
      <c r="M1432" s="48" t="str">
        <f aca="false">IF($E1432="","",IFERROR(INDEX(Parâmetros!$C$15:$C$20,MATCH($P1432,Parâmetros!$B$15:$B$20,0)),""))</f>
        <v/>
      </c>
      <c r="N1432" s="46" t="str">
        <f aca="false">IF($E1432="","",IF($P1432="","",IF($P1432&gt;=8,"Alta",IF($P1432&gt;=5,"Média","Baixa"))))</f>
        <v/>
      </c>
      <c r="O1432" s="46" t="str">
        <f aca="false">IF($E1432="","",IF(AND(Parâmetros!$C$5&gt;0,$P1432&lt;&gt;"",$P1432&gt;=Parâmetros!$C$5),"Sim","Não"))</f>
        <v/>
      </c>
      <c r="P1432" s="45" t="str">
        <f aca="false">IF($E1432="","",IF($G1432="","",IF($G1432="NOK",$F1432,0)))</f>
        <v/>
      </c>
      <c r="Q1432" s="46" t="str">
        <f aca="false">IF($E1432="","",IF($O1432&lt;&gt;"Sim","",COUNTIF($O$3:$O1432,"Sim")))</f>
        <v/>
      </c>
      <c r="R1432" s="47" t="n">
        <f aca="false">IF($P1432="",0,$P1432)</f>
        <v>0</v>
      </c>
    </row>
    <row r="1433" customFormat="false" ht="18" hidden="false" customHeight="true" outlineLevel="0" collapsed="false">
      <c r="A1433" s="39"/>
      <c r="B1433" s="41"/>
      <c r="C1433" s="40"/>
      <c r="D1433" s="40"/>
      <c r="E1433" s="40"/>
      <c r="F1433" s="42"/>
      <c r="G1433" s="39"/>
      <c r="H1433" s="40"/>
      <c r="I1433" s="40"/>
      <c r="J1433" s="40"/>
      <c r="K1433" s="41"/>
      <c r="L1433" s="39"/>
      <c r="M1433" s="48" t="str">
        <f aca="false">IF($E1433="","",IFERROR(INDEX(Parâmetros!$C$15:$C$20,MATCH($P1433,Parâmetros!$B$15:$B$20,0)),""))</f>
        <v/>
      </c>
      <c r="N1433" s="46" t="str">
        <f aca="false">IF($E1433="","",IF($P1433="","",IF($P1433&gt;=8,"Alta",IF($P1433&gt;=5,"Média","Baixa"))))</f>
        <v/>
      </c>
      <c r="O1433" s="46" t="str">
        <f aca="false">IF($E1433="","",IF(AND(Parâmetros!$C$5&gt;0,$P1433&lt;&gt;"",$P1433&gt;=Parâmetros!$C$5),"Sim","Não"))</f>
        <v/>
      </c>
      <c r="P1433" s="45" t="str">
        <f aca="false">IF($E1433="","",IF($G1433="","",IF($G1433="NOK",$F1433,0)))</f>
        <v/>
      </c>
      <c r="Q1433" s="46" t="str">
        <f aca="false">IF($E1433="","",IF($O1433&lt;&gt;"Sim","",COUNTIF($O$3:$O1433,"Sim")))</f>
        <v/>
      </c>
      <c r="R1433" s="47" t="n">
        <f aca="false">IF($P1433="",0,$P1433)</f>
        <v>0</v>
      </c>
    </row>
    <row r="1434" customFormat="false" ht="18" hidden="false" customHeight="true" outlineLevel="0" collapsed="false">
      <c r="A1434" s="39"/>
      <c r="B1434" s="41"/>
      <c r="C1434" s="40"/>
      <c r="D1434" s="40"/>
      <c r="E1434" s="40"/>
      <c r="F1434" s="42"/>
      <c r="G1434" s="39"/>
      <c r="H1434" s="40"/>
      <c r="I1434" s="40"/>
      <c r="J1434" s="40"/>
      <c r="K1434" s="41"/>
      <c r="L1434" s="39"/>
      <c r="M1434" s="48" t="str">
        <f aca="false">IF($E1434="","",IFERROR(INDEX(Parâmetros!$C$15:$C$20,MATCH($P1434,Parâmetros!$B$15:$B$20,0)),""))</f>
        <v/>
      </c>
      <c r="N1434" s="46" t="str">
        <f aca="false">IF($E1434="","",IF($P1434="","",IF($P1434&gt;=8,"Alta",IF($P1434&gt;=5,"Média","Baixa"))))</f>
        <v/>
      </c>
      <c r="O1434" s="46" t="str">
        <f aca="false">IF($E1434="","",IF(AND(Parâmetros!$C$5&gt;0,$P1434&lt;&gt;"",$P1434&gt;=Parâmetros!$C$5),"Sim","Não"))</f>
        <v/>
      </c>
      <c r="P1434" s="45" t="str">
        <f aca="false">IF($E1434="","",IF($G1434="","",IF($G1434="NOK",$F1434,0)))</f>
        <v/>
      </c>
      <c r="Q1434" s="46" t="str">
        <f aca="false">IF($E1434="","",IF($O1434&lt;&gt;"Sim","",COUNTIF($O$3:$O1434,"Sim")))</f>
        <v/>
      </c>
      <c r="R1434" s="47" t="n">
        <f aca="false">IF($P1434="",0,$P1434)</f>
        <v>0</v>
      </c>
    </row>
    <row r="1435" customFormat="false" ht="18" hidden="false" customHeight="true" outlineLevel="0" collapsed="false">
      <c r="A1435" s="39"/>
      <c r="B1435" s="41"/>
      <c r="C1435" s="40"/>
      <c r="D1435" s="40"/>
      <c r="E1435" s="40"/>
      <c r="F1435" s="42"/>
      <c r="G1435" s="39"/>
      <c r="H1435" s="40"/>
      <c r="I1435" s="40"/>
      <c r="J1435" s="40"/>
      <c r="K1435" s="41"/>
      <c r="L1435" s="39"/>
      <c r="M1435" s="48" t="str">
        <f aca="false">IF($E1435="","",IFERROR(INDEX(Parâmetros!$C$15:$C$20,MATCH($P1435,Parâmetros!$B$15:$B$20,0)),""))</f>
        <v/>
      </c>
      <c r="N1435" s="46" t="str">
        <f aca="false">IF($E1435="","",IF($P1435="","",IF($P1435&gt;=8,"Alta",IF($P1435&gt;=5,"Média","Baixa"))))</f>
        <v/>
      </c>
      <c r="O1435" s="46" t="str">
        <f aca="false">IF($E1435="","",IF(AND(Parâmetros!$C$5&gt;0,$P1435&lt;&gt;"",$P1435&gt;=Parâmetros!$C$5),"Sim","Não"))</f>
        <v/>
      </c>
      <c r="P1435" s="45" t="str">
        <f aca="false">IF($E1435="","",IF($G1435="","",IF($G1435="NOK",$F1435,0)))</f>
        <v/>
      </c>
      <c r="Q1435" s="46" t="str">
        <f aca="false">IF($E1435="","",IF($O1435&lt;&gt;"Sim","",COUNTIF($O$3:$O1435,"Sim")))</f>
        <v/>
      </c>
      <c r="R1435" s="47" t="n">
        <f aca="false">IF($P1435="",0,$P1435)</f>
        <v>0</v>
      </c>
    </row>
    <row r="1436" customFormat="false" ht="18" hidden="false" customHeight="true" outlineLevel="0" collapsed="false">
      <c r="A1436" s="39"/>
      <c r="B1436" s="41"/>
      <c r="C1436" s="40"/>
      <c r="D1436" s="40"/>
      <c r="E1436" s="40"/>
      <c r="F1436" s="42"/>
      <c r="G1436" s="39"/>
      <c r="H1436" s="40"/>
      <c r="I1436" s="40"/>
      <c r="J1436" s="40"/>
      <c r="K1436" s="41"/>
      <c r="L1436" s="39"/>
      <c r="M1436" s="48" t="str">
        <f aca="false">IF($E1436="","",IFERROR(INDEX(Parâmetros!$C$15:$C$20,MATCH($P1436,Parâmetros!$B$15:$B$20,0)),""))</f>
        <v/>
      </c>
      <c r="N1436" s="46" t="str">
        <f aca="false">IF($E1436="","",IF($P1436="","",IF($P1436&gt;=8,"Alta",IF($P1436&gt;=5,"Média","Baixa"))))</f>
        <v/>
      </c>
      <c r="O1436" s="46" t="str">
        <f aca="false">IF($E1436="","",IF(AND(Parâmetros!$C$5&gt;0,$P1436&lt;&gt;"",$P1436&gt;=Parâmetros!$C$5),"Sim","Não"))</f>
        <v/>
      </c>
      <c r="P1436" s="45" t="str">
        <f aca="false">IF($E1436="","",IF($G1436="","",IF($G1436="NOK",$F1436,0)))</f>
        <v/>
      </c>
      <c r="Q1436" s="46" t="str">
        <f aca="false">IF($E1436="","",IF($O1436&lt;&gt;"Sim","",COUNTIF($O$3:$O1436,"Sim")))</f>
        <v/>
      </c>
      <c r="R1436" s="47" t="n">
        <f aca="false">IF($P1436="",0,$P1436)</f>
        <v>0</v>
      </c>
    </row>
    <row r="1437" customFormat="false" ht="18" hidden="false" customHeight="true" outlineLevel="0" collapsed="false">
      <c r="A1437" s="39"/>
      <c r="B1437" s="41"/>
      <c r="C1437" s="40"/>
      <c r="D1437" s="40"/>
      <c r="E1437" s="40"/>
      <c r="F1437" s="42"/>
      <c r="G1437" s="39"/>
      <c r="H1437" s="40"/>
      <c r="I1437" s="40"/>
      <c r="J1437" s="40"/>
      <c r="K1437" s="41"/>
      <c r="L1437" s="39"/>
      <c r="M1437" s="48" t="str">
        <f aca="false">IF($E1437="","",IFERROR(INDEX(Parâmetros!$C$15:$C$20,MATCH($P1437,Parâmetros!$B$15:$B$20,0)),""))</f>
        <v/>
      </c>
      <c r="N1437" s="46" t="str">
        <f aca="false">IF($E1437="","",IF($P1437="","",IF($P1437&gt;=8,"Alta",IF($P1437&gt;=5,"Média","Baixa"))))</f>
        <v/>
      </c>
      <c r="O1437" s="46" t="str">
        <f aca="false">IF($E1437="","",IF(AND(Parâmetros!$C$5&gt;0,$P1437&lt;&gt;"",$P1437&gt;=Parâmetros!$C$5),"Sim","Não"))</f>
        <v/>
      </c>
      <c r="P1437" s="45" t="str">
        <f aca="false">IF($E1437="","",IF($G1437="","",IF($G1437="NOK",$F1437,0)))</f>
        <v/>
      </c>
      <c r="Q1437" s="46" t="str">
        <f aca="false">IF($E1437="","",IF($O1437&lt;&gt;"Sim","",COUNTIF($O$3:$O1437,"Sim")))</f>
        <v/>
      </c>
      <c r="R1437" s="47" t="n">
        <f aca="false">IF($P1437="",0,$P1437)</f>
        <v>0</v>
      </c>
    </row>
    <row r="1438" customFormat="false" ht="18" hidden="false" customHeight="true" outlineLevel="0" collapsed="false">
      <c r="A1438" s="39"/>
      <c r="B1438" s="41"/>
      <c r="C1438" s="40"/>
      <c r="D1438" s="40"/>
      <c r="E1438" s="40"/>
      <c r="F1438" s="42"/>
      <c r="G1438" s="39"/>
      <c r="H1438" s="40"/>
      <c r="I1438" s="40"/>
      <c r="J1438" s="40"/>
      <c r="K1438" s="41"/>
      <c r="L1438" s="39"/>
      <c r="M1438" s="48" t="str">
        <f aca="false">IF($E1438="","",IFERROR(INDEX(Parâmetros!$C$15:$C$20,MATCH($P1438,Parâmetros!$B$15:$B$20,0)),""))</f>
        <v/>
      </c>
      <c r="N1438" s="46" t="str">
        <f aca="false">IF($E1438="","",IF($P1438="","",IF($P1438&gt;=8,"Alta",IF($P1438&gt;=5,"Média","Baixa"))))</f>
        <v/>
      </c>
      <c r="O1438" s="46" t="str">
        <f aca="false">IF($E1438="","",IF(AND(Parâmetros!$C$5&gt;0,$P1438&lt;&gt;"",$P1438&gt;=Parâmetros!$C$5),"Sim","Não"))</f>
        <v/>
      </c>
      <c r="P1438" s="45" t="str">
        <f aca="false">IF($E1438="","",IF($G1438="","",IF($G1438="NOK",$F1438,0)))</f>
        <v/>
      </c>
      <c r="Q1438" s="46" t="str">
        <f aca="false">IF($E1438="","",IF($O1438&lt;&gt;"Sim","",COUNTIF($O$3:$O1438,"Sim")))</f>
        <v/>
      </c>
      <c r="R1438" s="47" t="n">
        <f aca="false">IF($P1438="",0,$P1438)</f>
        <v>0</v>
      </c>
    </row>
    <row r="1439" customFormat="false" ht="18" hidden="false" customHeight="true" outlineLevel="0" collapsed="false">
      <c r="A1439" s="39"/>
      <c r="B1439" s="41"/>
      <c r="C1439" s="40"/>
      <c r="D1439" s="40"/>
      <c r="E1439" s="40"/>
      <c r="F1439" s="42"/>
      <c r="G1439" s="39"/>
      <c r="H1439" s="40"/>
      <c r="I1439" s="40"/>
      <c r="J1439" s="40"/>
      <c r="K1439" s="41"/>
      <c r="L1439" s="39"/>
      <c r="M1439" s="48" t="str">
        <f aca="false">IF($E1439="","",IFERROR(INDEX(Parâmetros!$C$15:$C$20,MATCH($P1439,Parâmetros!$B$15:$B$20,0)),""))</f>
        <v/>
      </c>
      <c r="N1439" s="46" t="str">
        <f aca="false">IF($E1439="","",IF($P1439="","",IF($P1439&gt;=8,"Alta",IF($P1439&gt;=5,"Média","Baixa"))))</f>
        <v/>
      </c>
      <c r="O1439" s="46" t="str">
        <f aca="false">IF($E1439="","",IF(AND(Parâmetros!$C$5&gt;0,$P1439&lt;&gt;"",$P1439&gt;=Parâmetros!$C$5),"Sim","Não"))</f>
        <v/>
      </c>
      <c r="P1439" s="45" t="str">
        <f aca="false">IF($E1439="","",IF($G1439="","",IF($G1439="NOK",$F1439,0)))</f>
        <v/>
      </c>
      <c r="Q1439" s="46" t="str">
        <f aca="false">IF($E1439="","",IF($O1439&lt;&gt;"Sim","",COUNTIF($O$3:$O1439,"Sim")))</f>
        <v/>
      </c>
      <c r="R1439" s="47" t="n">
        <f aca="false">IF($P1439="",0,$P1439)</f>
        <v>0</v>
      </c>
    </row>
    <row r="1440" customFormat="false" ht="18" hidden="false" customHeight="true" outlineLevel="0" collapsed="false">
      <c r="A1440" s="39"/>
      <c r="B1440" s="41"/>
      <c r="C1440" s="40"/>
      <c r="D1440" s="40"/>
      <c r="E1440" s="40"/>
      <c r="F1440" s="42"/>
      <c r="G1440" s="39"/>
      <c r="H1440" s="40"/>
      <c r="I1440" s="40"/>
      <c r="J1440" s="40"/>
      <c r="K1440" s="41"/>
      <c r="L1440" s="39"/>
      <c r="M1440" s="48" t="str">
        <f aca="false">IF($E1440="","",IFERROR(INDEX(Parâmetros!$C$15:$C$20,MATCH($P1440,Parâmetros!$B$15:$B$20,0)),""))</f>
        <v/>
      </c>
      <c r="N1440" s="46" t="str">
        <f aca="false">IF($E1440="","",IF($P1440="","",IF($P1440&gt;=8,"Alta",IF($P1440&gt;=5,"Média","Baixa"))))</f>
        <v/>
      </c>
      <c r="O1440" s="46" t="str">
        <f aca="false">IF($E1440="","",IF(AND(Parâmetros!$C$5&gt;0,$P1440&lt;&gt;"",$P1440&gt;=Parâmetros!$C$5),"Sim","Não"))</f>
        <v/>
      </c>
      <c r="P1440" s="45" t="str">
        <f aca="false">IF($E1440="","",IF($G1440="","",IF($G1440="NOK",$F1440,0)))</f>
        <v/>
      </c>
      <c r="Q1440" s="46" t="str">
        <f aca="false">IF($E1440="","",IF($O1440&lt;&gt;"Sim","",COUNTIF($O$3:$O1440,"Sim")))</f>
        <v/>
      </c>
      <c r="R1440" s="47" t="n">
        <f aca="false">IF($P1440="",0,$P1440)</f>
        <v>0</v>
      </c>
    </row>
    <row r="1441" customFormat="false" ht="18" hidden="false" customHeight="true" outlineLevel="0" collapsed="false">
      <c r="A1441" s="39"/>
      <c r="B1441" s="41"/>
      <c r="C1441" s="40"/>
      <c r="D1441" s="40"/>
      <c r="E1441" s="40"/>
      <c r="F1441" s="42"/>
      <c r="G1441" s="39"/>
      <c r="H1441" s="40"/>
      <c r="I1441" s="40"/>
      <c r="J1441" s="40"/>
      <c r="K1441" s="41"/>
      <c r="L1441" s="39"/>
      <c r="M1441" s="48" t="str">
        <f aca="false">IF($E1441="","",IFERROR(INDEX(Parâmetros!$C$15:$C$20,MATCH($P1441,Parâmetros!$B$15:$B$20,0)),""))</f>
        <v/>
      </c>
      <c r="N1441" s="46" t="str">
        <f aca="false">IF($E1441="","",IF($P1441="","",IF($P1441&gt;=8,"Alta",IF($P1441&gt;=5,"Média","Baixa"))))</f>
        <v/>
      </c>
      <c r="O1441" s="46" t="str">
        <f aca="false">IF($E1441="","",IF(AND(Parâmetros!$C$5&gt;0,$P1441&lt;&gt;"",$P1441&gt;=Parâmetros!$C$5),"Sim","Não"))</f>
        <v/>
      </c>
      <c r="P1441" s="45" t="str">
        <f aca="false">IF($E1441="","",IF($G1441="","",IF($G1441="NOK",$F1441,0)))</f>
        <v/>
      </c>
      <c r="Q1441" s="46" t="str">
        <f aca="false">IF($E1441="","",IF($O1441&lt;&gt;"Sim","",COUNTIF($O$3:$O1441,"Sim")))</f>
        <v/>
      </c>
      <c r="R1441" s="47" t="n">
        <f aca="false">IF($P1441="",0,$P1441)</f>
        <v>0</v>
      </c>
    </row>
    <row r="1442" customFormat="false" ht="18" hidden="false" customHeight="true" outlineLevel="0" collapsed="false">
      <c r="A1442" s="39"/>
      <c r="B1442" s="41"/>
      <c r="C1442" s="40"/>
      <c r="D1442" s="40"/>
      <c r="E1442" s="40"/>
      <c r="F1442" s="42"/>
      <c r="G1442" s="39"/>
      <c r="H1442" s="40"/>
      <c r="I1442" s="40"/>
      <c r="J1442" s="40"/>
      <c r="K1442" s="41"/>
      <c r="L1442" s="39"/>
      <c r="M1442" s="48" t="str">
        <f aca="false">IF($E1442="","",IFERROR(INDEX(Parâmetros!$C$15:$C$20,MATCH($P1442,Parâmetros!$B$15:$B$20,0)),""))</f>
        <v/>
      </c>
      <c r="N1442" s="46" t="str">
        <f aca="false">IF($E1442="","",IF($P1442="","",IF($P1442&gt;=8,"Alta",IF($P1442&gt;=5,"Média","Baixa"))))</f>
        <v/>
      </c>
      <c r="O1442" s="46" t="str">
        <f aca="false">IF($E1442="","",IF(AND(Parâmetros!$C$5&gt;0,$P1442&lt;&gt;"",$P1442&gt;=Parâmetros!$C$5),"Sim","Não"))</f>
        <v/>
      </c>
      <c r="P1442" s="45" t="str">
        <f aca="false">IF($E1442="","",IF($G1442="","",IF($G1442="NOK",$F1442,0)))</f>
        <v/>
      </c>
      <c r="Q1442" s="46" t="str">
        <f aca="false">IF($E1442="","",IF($O1442&lt;&gt;"Sim","",COUNTIF($O$3:$O1442,"Sim")))</f>
        <v/>
      </c>
      <c r="R1442" s="47" t="n">
        <f aca="false">IF($P1442="",0,$P1442)</f>
        <v>0</v>
      </c>
    </row>
    <row r="1443" customFormat="false" ht="18" hidden="false" customHeight="true" outlineLevel="0" collapsed="false">
      <c r="A1443" s="39"/>
      <c r="B1443" s="41"/>
      <c r="C1443" s="40"/>
      <c r="D1443" s="40"/>
      <c r="E1443" s="40"/>
      <c r="F1443" s="42"/>
      <c r="G1443" s="39"/>
      <c r="H1443" s="40"/>
      <c r="I1443" s="40"/>
      <c r="J1443" s="40"/>
      <c r="K1443" s="41"/>
      <c r="L1443" s="39"/>
      <c r="M1443" s="48" t="str">
        <f aca="false">IF($E1443="","",IFERROR(INDEX(Parâmetros!$C$15:$C$20,MATCH($P1443,Parâmetros!$B$15:$B$20,0)),""))</f>
        <v/>
      </c>
      <c r="N1443" s="46" t="str">
        <f aca="false">IF($E1443="","",IF($P1443="","",IF($P1443&gt;=8,"Alta",IF($P1443&gt;=5,"Média","Baixa"))))</f>
        <v/>
      </c>
      <c r="O1443" s="46" t="str">
        <f aca="false">IF($E1443="","",IF(AND(Parâmetros!$C$5&gt;0,$P1443&lt;&gt;"",$P1443&gt;=Parâmetros!$C$5),"Sim","Não"))</f>
        <v/>
      </c>
      <c r="P1443" s="45" t="str">
        <f aca="false">IF($E1443="","",IF($G1443="","",IF($G1443="NOK",$F1443,0)))</f>
        <v/>
      </c>
      <c r="Q1443" s="46" t="str">
        <f aca="false">IF($E1443="","",IF($O1443&lt;&gt;"Sim","",COUNTIF($O$3:$O1443,"Sim")))</f>
        <v/>
      </c>
      <c r="R1443" s="47" t="n">
        <f aca="false">IF($P1443="",0,$P1443)</f>
        <v>0</v>
      </c>
    </row>
    <row r="1444" customFormat="false" ht="18" hidden="false" customHeight="true" outlineLevel="0" collapsed="false">
      <c r="A1444" s="39"/>
      <c r="B1444" s="41"/>
      <c r="C1444" s="40"/>
      <c r="D1444" s="40"/>
      <c r="E1444" s="40"/>
      <c r="F1444" s="42"/>
      <c r="G1444" s="39"/>
      <c r="H1444" s="40"/>
      <c r="I1444" s="40"/>
      <c r="J1444" s="40"/>
      <c r="K1444" s="41"/>
      <c r="L1444" s="39"/>
      <c r="M1444" s="48" t="str">
        <f aca="false">IF($E1444="","",IFERROR(INDEX(Parâmetros!$C$15:$C$20,MATCH($P1444,Parâmetros!$B$15:$B$20,0)),""))</f>
        <v/>
      </c>
      <c r="N1444" s="46" t="str">
        <f aca="false">IF($E1444="","",IF($P1444="","",IF($P1444&gt;=8,"Alta",IF($P1444&gt;=5,"Média","Baixa"))))</f>
        <v/>
      </c>
      <c r="O1444" s="46" t="str">
        <f aca="false">IF($E1444="","",IF(AND(Parâmetros!$C$5&gt;0,$P1444&lt;&gt;"",$P1444&gt;=Parâmetros!$C$5),"Sim","Não"))</f>
        <v/>
      </c>
      <c r="P1444" s="45" t="str">
        <f aca="false">IF($E1444="","",IF($G1444="","",IF($G1444="NOK",$F1444,0)))</f>
        <v/>
      </c>
      <c r="Q1444" s="46" t="str">
        <f aca="false">IF($E1444="","",IF($O1444&lt;&gt;"Sim","",COUNTIF($O$3:$O1444,"Sim")))</f>
        <v/>
      </c>
      <c r="R1444" s="47" t="n">
        <f aca="false">IF($P1444="",0,$P1444)</f>
        <v>0</v>
      </c>
    </row>
    <row r="1445" customFormat="false" ht="18" hidden="false" customHeight="true" outlineLevel="0" collapsed="false">
      <c r="A1445" s="39"/>
      <c r="B1445" s="41"/>
      <c r="C1445" s="40"/>
      <c r="D1445" s="40"/>
      <c r="E1445" s="40"/>
      <c r="F1445" s="42"/>
      <c r="G1445" s="39"/>
      <c r="H1445" s="40"/>
      <c r="I1445" s="40"/>
      <c r="J1445" s="40"/>
      <c r="K1445" s="41"/>
      <c r="L1445" s="39"/>
      <c r="M1445" s="48" t="str">
        <f aca="false">IF($E1445="","",IFERROR(INDEX(Parâmetros!$C$15:$C$20,MATCH($P1445,Parâmetros!$B$15:$B$20,0)),""))</f>
        <v/>
      </c>
      <c r="N1445" s="46" t="str">
        <f aca="false">IF($E1445="","",IF($P1445="","",IF($P1445&gt;=8,"Alta",IF($P1445&gt;=5,"Média","Baixa"))))</f>
        <v/>
      </c>
      <c r="O1445" s="46" t="str">
        <f aca="false">IF($E1445="","",IF(AND(Parâmetros!$C$5&gt;0,$P1445&lt;&gt;"",$P1445&gt;=Parâmetros!$C$5),"Sim","Não"))</f>
        <v/>
      </c>
      <c r="P1445" s="45" t="str">
        <f aca="false">IF($E1445="","",IF($G1445="","",IF($G1445="NOK",$F1445,0)))</f>
        <v/>
      </c>
      <c r="Q1445" s="46" t="str">
        <f aca="false">IF($E1445="","",IF($O1445&lt;&gt;"Sim","",COUNTIF($O$3:$O1445,"Sim")))</f>
        <v/>
      </c>
      <c r="R1445" s="47" t="n">
        <f aca="false">IF($P1445="",0,$P1445)</f>
        <v>0</v>
      </c>
    </row>
    <row r="1446" customFormat="false" ht="18" hidden="false" customHeight="true" outlineLevel="0" collapsed="false">
      <c r="A1446" s="39"/>
      <c r="B1446" s="41"/>
      <c r="C1446" s="40"/>
      <c r="D1446" s="40"/>
      <c r="E1446" s="40"/>
      <c r="F1446" s="42"/>
      <c r="G1446" s="39"/>
      <c r="H1446" s="40"/>
      <c r="I1446" s="40"/>
      <c r="J1446" s="40"/>
      <c r="K1446" s="41"/>
      <c r="L1446" s="39"/>
      <c r="M1446" s="48" t="str">
        <f aca="false">IF($E1446="","",IFERROR(INDEX(Parâmetros!$C$15:$C$20,MATCH($P1446,Parâmetros!$B$15:$B$20,0)),""))</f>
        <v/>
      </c>
      <c r="N1446" s="46" t="str">
        <f aca="false">IF($E1446="","",IF($P1446="","",IF($P1446&gt;=8,"Alta",IF($P1446&gt;=5,"Média","Baixa"))))</f>
        <v/>
      </c>
      <c r="O1446" s="46" t="str">
        <f aca="false">IF($E1446="","",IF(AND(Parâmetros!$C$5&gt;0,$P1446&lt;&gt;"",$P1446&gt;=Parâmetros!$C$5),"Sim","Não"))</f>
        <v/>
      </c>
      <c r="P1446" s="45" t="str">
        <f aca="false">IF($E1446="","",IF($G1446="","",IF($G1446="NOK",$F1446,0)))</f>
        <v/>
      </c>
      <c r="Q1446" s="46" t="str">
        <f aca="false">IF($E1446="","",IF($O1446&lt;&gt;"Sim","",COUNTIF($O$3:$O1446,"Sim")))</f>
        <v/>
      </c>
      <c r="R1446" s="47" t="n">
        <f aca="false">IF($P1446="",0,$P1446)</f>
        <v>0</v>
      </c>
    </row>
    <row r="1447" customFormat="false" ht="18" hidden="false" customHeight="true" outlineLevel="0" collapsed="false">
      <c r="A1447" s="39"/>
      <c r="B1447" s="41"/>
      <c r="C1447" s="40"/>
      <c r="D1447" s="40"/>
      <c r="E1447" s="40"/>
      <c r="F1447" s="42"/>
      <c r="G1447" s="39"/>
      <c r="H1447" s="40"/>
      <c r="I1447" s="40"/>
      <c r="J1447" s="40"/>
      <c r="K1447" s="41"/>
      <c r="L1447" s="39"/>
      <c r="M1447" s="48" t="str">
        <f aca="false">IF($E1447="","",IFERROR(INDEX(Parâmetros!$C$15:$C$20,MATCH($P1447,Parâmetros!$B$15:$B$20,0)),""))</f>
        <v/>
      </c>
      <c r="N1447" s="46" t="str">
        <f aca="false">IF($E1447="","",IF($P1447="","",IF($P1447&gt;=8,"Alta",IF($P1447&gt;=5,"Média","Baixa"))))</f>
        <v/>
      </c>
      <c r="O1447" s="46" t="str">
        <f aca="false">IF($E1447="","",IF(AND(Parâmetros!$C$5&gt;0,$P1447&lt;&gt;"",$P1447&gt;=Parâmetros!$C$5),"Sim","Não"))</f>
        <v/>
      </c>
      <c r="P1447" s="45" t="str">
        <f aca="false">IF($E1447="","",IF($G1447="","",IF($G1447="NOK",$F1447,0)))</f>
        <v/>
      </c>
      <c r="Q1447" s="46" t="str">
        <f aca="false">IF($E1447="","",IF($O1447&lt;&gt;"Sim","",COUNTIF($O$3:$O1447,"Sim")))</f>
        <v/>
      </c>
      <c r="R1447" s="47" t="n">
        <f aca="false">IF($P1447="",0,$P1447)</f>
        <v>0</v>
      </c>
    </row>
    <row r="1448" customFormat="false" ht="18" hidden="false" customHeight="true" outlineLevel="0" collapsed="false">
      <c r="A1448" s="39"/>
      <c r="B1448" s="41"/>
      <c r="C1448" s="40"/>
      <c r="D1448" s="40"/>
      <c r="E1448" s="40"/>
      <c r="F1448" s="42"/>
      <c r="G1448" s="39"/>
      <c r="H1448" s="40"/>
      <c r="I1448" s="40"/>
      <c r="J1448" s="40"/>
      <c r="K1448" s="41"/>
      <c r="L1448" s="39"/>
      <c r="M1448" s="48" t="str">
        <f aca="false">IF($E1448="","",IFERROR(INDEX(Parâmetros!$C$15:$C$20,MATCH($P1448,Parâmetros!$B$15:$B$20,0)),""))</f>
        <v/>
      </c>
      <c r="N1448" s="46" t="str">
        <f aca="false">IF($E1448="","",IF($P1448="","",IF($P1448&gt;=8,"Alta",IF($P1448&gt;=5,"Média","Baixa"))))</f>
        <v/>
      </c>
      <c r="O1448" s="46" t="str">
        <f aca="false">IF($E1448="","",IF(AND(Parâmetros!$C$5&gt;0,$P1448&lt;&gt;"",$P1448&gt;=Parâmetros!$C$5),"Sim","Não"))</f>
        <v/>
      </c>
      <c r="P1448" s="45" t="str">
        <f aca="false">IF($E1448="","",IF($G1448="","",IF($G1448="NOK",$F1448,0)))</f>
        <v/>
      </c>
      <c r="Q1448" s="46" t="str">
        <f aca="false">IF($E1448="","",IF($O1448&lt;&gt;"Sim","",COUNTIF($O$3:$O1448,"Sim")))</f>
        <v/>
      </c>
      <c r="R1448" s="47" t="n">
        <f aca="false">IF($P1448="",0,$P1448)</f>
        <v>0</v>
      </c>
    </row>
    <row r="1449" customFormat="false" ht="18" hidden="false" customHeight="true" outlineLevel="0" collapsed="false">
      <c r="A1449" s="39"/>
      <c r="B1449" s="41"/>
      <c r="C1449" s="40"/>
      <c r="D1449" s="40"/>
      <c r="E1449" s="40"/>
      <c r="F1449" s="42"/>
      <c r="G1449" s="39"/>
      <c r="H1449" s="40"/>
      <c r="I1449" s="40"/>
      <c r="J1449" s="40"/>
      <c r="K1449" s="41"/>
      <c r="L1449" s="39"/>
      <c r="M1449" s="48" t="str">
        <f aca="false">IF($E1449="","",IFERROR(INDEX(Parâmetros!$C$15:$C$20,MATCH($P1449,Parâmetros!$B$15:$B$20,0)),""))</f>
        <v/>
      </c>
      <c r="N1449" s="46" t="str">
        <f aca="false">IF($E1449="","",IF($P1449="","",IF($P1449&gt;=8,"Alta",IF($P1449&gt;=5,"Média","Baixa"))))</f>
        <v/>
      </c>
      <c r="O1449" s="46" t="str">
        <f aca="false">IF($E1449="","",IF(AND(Parâmetros!$C$5&gt;0,$P1449&lt;&gt;"",$P1449&gt;=Parâmetros!$C$5),"Sim","Não"))</f>
        <v/>
      </c>
      <c r="P1449" s="45" t="str">
        <f aca="false">IF($E1449="","",IF($G1449="","",IF($G1449="NOK",$F1449,0)))</f>
        <v/>
      </c>
      <c r="Q1449" s="46" t="str">
        <f aca="false">IF($E1449="","",IF($O1449&lt;&gt;"Sim","",COUNTIF($O$3:$O1449,"Sim")))</f>
        <v/>
      </c>
      <c r="R1449" s="47" t="n">
        <f aca="false">IF($P1449="",0,$P1449)</f>
        <v>0</v>
      </c>
    </row>
    <row r="1450" customFormat="false" ht="18" hidden="false" customHeight="true" outlineLevel="0" collapsed="false">
      <c r="A1450" s="39"/>
      <c r="B1450" s="41"/>
      <c r="C1450" s="40"/>
      <c r="D1450" s="40"/>
      <c r="E1450" s="40"/>
      <c r="F1450" s="42"/>
      <c r="G1450" s="39"/>
      <c r="H1450" s="40"/>
      <c r="I1450" s="40"/>
      <c r="J1450" s="40"/>
      <c r="K1450" s="41"/>
      <c r="L1450" s="39"/>
      <c r="M1450" s="48" t="str">
        <f aca="false">IF($E1450="","",IFERROR(INDEX(Parâmetros!$C$15:$C$20,MATCH($P1450,Parâmetros!$B$15:$B$20,0)),""))</f>
        <v/>
      </c>
      <c r="N1450" s="46" t="str">
        <f aca="false">IF($E1450="","",IF($P1450="","",IF($P1450&gt;=8,"Alta",IF($P1450&gt;=5,"Média","Baixa"))))</f>
        <v/>
      </c>
      <c r="O1450" s="46" t="str">
        <f aca="false">IF($E1450="","",IF(AND(Parâmetros!$C$5&gt;0,$P1450&lt;&gt;"",$P1450&gt;=Parâmetros!$C$5),"Sim","Não"))</f>
        <v/>
      </c>
      <c r="P1450" s="45" t="str">
        <f aca="false">IF($E1450="","",IF($G1450="","",IF($G1450="NOK",$F1450,0)))</f>
        <v/>
      </c>
      <c r="Q1450" s="46" t="str">
        <f aca="false">IF($E1450="","",IF($O1450&lt;&gt;"Sim","",COUNTIF($O$3:$O1450,"Sim")))</f>
        <v/>
      </c>
      <c r="R1450" s="47" t="n">
        <f aca="false">IF($P1450="",0,$P1450)</f>
        <v>0</v>
      </c>
    </row>
    <row r="1451" customFormat="false" ht="18" hidden="false" customHeight="true" outlineLevel="0" collapsed="false">
      <c r="A1451" s="39"/>
      <c r="B1451" s="41"/>
      <c r="C1451" s="40"/>
      <c r="D1451" s="40"/>
      <c r="E1451" s="40"/>
      <c r="F1451" s="42"/>
      <c r="G1451" s="39"/>
      <c r="H1451" s="40"/>
      <c r="I1451" s="40"/>
      <c r="J1451" s="40"/>
      <c r="K1451" s="41"/>
      <c r="L1451" s="39"/>
      <c r="M1451" s="48" t="str">
        <f aca="false">IF($E1451="","",IFERROR(INDEX(Parâmetros!$C$15:$C$20,MATCH($P1451,Parâmetros!$B$15:$B$20,0)),""))</f>
        <v/>
      </c>
      <c r="N1451" s="46" t="str">
        <f aca="false">IF($E1451="","",IF($P1451="","",IF($P1451&gt;=8,"Alta",IF($P1451&gt;=5,"Média","Baixa"))))</f>
        <v/>
      </c>
      <c r="O1451" s="46" t="str">
        <f aca="false">IF($E1451="","",IF(AND(Parâmetros!$C$5&gt;0,$P1451&lt;&gt;"",$P1451&gt;=Parâmetros!$C$5),"Sim","Não"))</f>
        <v/>
      </c>
      <c r="P1451" s="45" t="str">
        <f aca="false">IF($E1451="","",IF($G1451="","",IF($G1451="NOK",$F1451,0)))</f>
        <v/>
      </c>
      <c r="Q1451" s="46" t="str">
        <f aca="false">IF($E1451="","",IF($O1451&lt;&gt;"Sim","",COUNTIF($O$3:$O1451,"Sim")))</f>
        <v/>
      </c>
      <c r="R1451" s="47" t="n">
        <f aca="false">IF($P1451="",0,$P1451)</f>
        <v>0</v>
      </c>
    </row>
    <row r="1452" customFormat="false" ht="18" hidden="false" customHeight="true" outlineLevel="0" collapsed="false">
      <c r="A1452" s="39"/>
      <c r="B1452" s="41"/>
      <c r="C1452" s="40"/>
      <c r="D1452" s="40"/>
      <c r="E1452" s="40"/>
      <c r="F1452" s="42"/>
      <c r="G1452" s="39"/>
      <c r="H1452" s="40"/>
      <c r="I1452" s="40"/>
      <c r="J1452" s="40"/>
      <c r="K1452" s="41"/>
      <c r="L1452" s="39"/>
      <c r="M1452" s="48" t="str">
        <f aca="false">IF($E1452="","",IFERROR(INDEX(Parâmetros!$C$15:$C$20,MATCH($P1452,Parâmetros!$B$15:$B$20,0)),""))</f>
        <v/>
      </c>
      <c r="N1452" s="46" t="str">
        <f aca="false">IF($E1452="","",IF($P1452="","",IF($P1452&gt;=8,"Alta",IF($P1452&gt;=5,"Média","Baixa"))))</f>
        <v/>
      </c>
      <c r="O1452" s="46" t="str">
        <f aca="false">IF($E1452="","",IF(AND(Parâmetros!$C$5&gt;0,$P1452&lt;&gt;"",$P1452&gt;=Parâmetros!$C$5),"Sim","Não"))</f>
        <v/>
      </c>
      <c r="P1452" s="45" t="str">
        <f aca="false">IF($E1452="","",IF($G1452="","",IF($G1452="NOK",$F1452,0)))</f>
        <v/>
      </c>
      <c r="Q1452" s="46" t="str">
        <f aca="false">IF($E1452="","",IF($O1452&lt;&gt;"Sim","",COUNTIF($O$3:$O1452,"Sim")))</f>
        <v/>
      </c>
      <c r="R1452" s="47" t="n">
        <f aca="false">IF($P1452="",0,$P1452)</f>
        <v>0</v>
      </c>
    </row>
    <row r="1453" customFormat="false" ht="18" hidden="false" customHeight="true" outlineLevel="0" collapsed="false">
      <c r="A1453" s="39"/>
      <c r="B1453" s="41"/>
      <c r="C1453" s="40"/>
      <c r="D1453" s="40"/>
      <c r="E1453" s="40"/>
      <c r="F1453" s="42"/>
      <c r="G1453" s="39"/>
      <c r="H1453" s="40"/>
      <c r="I1453" s="40"/>
      <c r="J1453" s="40"/>
      <c r="K1453" s="41"/>
      <c r="L1453" s="39"/>
      <c r="M1453" s="48" t="str">
        <f aca="false">IF($E1453="","",IFERROR(INDEX(Parâmetros!$C$15:$C$20,MATCH($P1453,Parâmetros!$B$15:$B$20,0)),""))</f>
        <v/>
      </c>
      <c r="N1453" s="46" t="str">
        <f aca="false">IF($E1453="","",IF($P1453="","",IF($P1453&gt;=8,"Alta",IF($P1453&gt;=5,"Média","Baixa"))))</f>
        <v/>
      </c>
      <c r="O1453" s="46" t="str">
        <f aca="false">IF($E1453="","",IF(AND(Parâmetros!$C$5&gt;0,$P1453&lt;&gt;"",$P1453&gt;=Parâmetros!$C$5),"Sim","Não"))</f>
        <v/>
      </c>
      <c r="P1453" s="45" t="str">
        <f aca="false">IF($E1453="","",IF($G1453="","",IF($G1453="NOK",$F1453,0)))</f>
        <v/>
      </c>
      <c r="Q1453" s="46" t="str">
        <f aca="false">IF($E1453="","",IF($O1453&lt;&gt;"Sim","",COUNTIF($O$3:$O1453,"Sim")))</f>
        <v/>
      </c>
      <c r="R1453" s="47" t="n">
        <f aca="false">IF($P1453="",0,$P1453)</f>
        <v>0</v>
      </c>
    </row>
    <row r="1454" customFormat="false" ht="18" hidden="false" customHeight="true" outlineLevel="0" collapsed="false">
      <c r="A1454" s="39"/>
      <c r="B1454" s="41"/>
      <c r="C1454" s="40"/>
      <c r="D1454" s="40"/>
      <c r="E1454" s="40"/>
      <c r="F1454" s="42"/>
      <c r="G1454" s="39"/>
      <c r="H1454" s="40"/>
      <c r="I1454" s="40"/>
      <c r="J1454" s="40"/>
      <c r="K1454" s="41"/>
      <c r="L1454" s="39"/>
      <c r="M1454" s="48" t="str">
        <f aca="false">IF($E1454="","",IFERROR(INDEX(Parâmetros!$C$15:$C$20,MATCH($P1454,Parâmetros!$B$15:$B$20,0)),""))</f>
        <v/>
      </c>
      <c r="N1454" s="46" t="str">
        <f aca="false">IF($E1454="","",IF($P1454="","",IF($P1454&gt;=8,"Alta",IF($P1454&gt;=5,"Média","Baixa"))))</f>
        <v/>
      </c>
      <c r="O1454" s="46" t="str">
        <f aca="false">IF($E1454="","",IF(AND(Parâmetros!$C$5&gt;0,$P1454&lt;&gt;"",$P1454&gt;=Parâmetros!$C$5),"Sim","Não"))</f>
        <v/>
      </c>
      <c r="P1454" s="45" t="str">
        <f aca="false">IF($E1454="","",IF($G1454="","",IF($G1454="NOK",$F1454,0)))</f>
        <v/>
      </c>
      <c r="Q1454" s="46" t="str">
        <f aca="false">IF($E1454="","",IF($O1454&lt;&gt;"Sim","",COUNTIF($O$3:$O1454,"Sim")))</f>
        <v/>
      </c>
      <c r="R1454" s="47" t="n">
        <f aca="false">IF($P1454="",0,$P1454)</f>
        <v>0</v>
      </c>
    </row>
    <row r="1455" customFormat="false" ht="18" hidden="false" customHeight="true" outlineLevel="0" collapsed="false">
      <c r="A1455" s="39"/>
      <c r="B1455" s="41"/>
      <c r="C1455" s="40"/>
      <c r="D1455" s="40"/>
      <c r="E1455" s="40"/>
      <c r="F1455" s="42"/>
      <c r="G1455" s="39"/>
      <c r="H1455" s="40"/>
      <c r="I1455" s="40"/>
      <c r="J1455" s="40"/>
      <c r="K1455" s="41"/>
      <c r="L1455" s="39"/>
      <c r="M1455" s="48" t="str">
        <f aca="false">IF($E1455="","",IFERROR(INDEX(Parâmetros!$C$15:$C$20,MATCH($P1455,Parâmetros!$B$15:$B$20,0)),""))</f>
        <v/>
      </c>
      <c r="N1455" s="46" t="str">
        <f aca="false">IF($E1455="","",IF($P1455="","",IF($P1455&gt;=8,"Alta",IF($P1455&gt;=5,"Média","Baixa"))))</f>
        <v/>
      </c>
      <c r="O1455" s="46" t="str">
        <f aca="false">IF($E1455="","",IF(AND(Parâmetros!$C$5&gt;0,$P1455&lt;&gt;"",$P1455&gt;=Parâmetros!$C$5),"Sim","Não"))</f>
        <v/>
      </c>
      <c r="P1455" s="45" t="str">
        <f aca="false">IF($E1455="","",IF($G1455="","",IF($G1455="NOK",$F1455,0)))</f>
        <v/>
      </c>
      <c r="Q1455" s="46" t="str">
        <f aca="false">IF($E1455="","",IF($O1455&lt;&gt;"Sim","",COUNTIF($O$3:$O1455,"Sim")))</f>
        <v/>
      </c>
      <c r="R1455" s="47" t="n">
        <f aca="false">IF($P1455="",0,$P1455)</f>
        <v>0</v>
      </c>
    </row>
    <row r="1456" customFormat="false" ht="18" hidden="false" customHeight="true" outlineLevel="0" collapsed="false">
      <c r="A1456" s="39"/>
      <c r="B1456" s="41"/>
      <c r="C1456" s="40"/>
      <c r="D1456" s="40"/>
      <c r="E1456" s="40"/>
      <c r="F1456" s="42"/>
      <c r="G1456" s="39"/>
      <c r="H1456" s="40"/>
      <c r="I1456" s="40"/>
      <c r="J1456" s="40"/>
      <c r="K1456" s="41"/>
      <c r="L1456" s="39"/>
      <c r="M1456" s="48" t="str">
        <f aca="false">IF($E1456="","",IFERROR(INDEX(Parâmetros!$C$15:$C$20,MATCH($P1456,Parâmetros!$B$15:$B$20,0)),""))</f>
        <v/>
      </c>
      <c r="N1456" s="46" t="str">
        <f aca="false">IF($E1456="","",IF($P1456="","",IF($P1456&gt;=8,"Alta",IF($P1456&gt;=5,"Média","Baixa"))))</f>
        <v/>
      </c>
      <c r="O1456" s="46" t="str">
        <f aca="false">IF($E1456="","",IF(AND(Parâmetros!$C$5&gt;0,$P1456&lt;&gt;"",$P1456&gt;=Parâmetros!$C$5),"Sim","Não"))</f>
        <v/>
      </c>
      <c r="P1456" s="45" t="str">
        <f aca="false">IF($E1456="","",IF($G1456="","",IF($G1456="NOK",$F1456,0)))</f>
        <v/>
      </c>
      <c r="Q1456" s="46" t="str">
        <f aca="false">IF($E1456="","",IF($O1456&lt;&gt;"Sim","",COUNTIF($O$3:$O1456,"Sim")))</f>
        <v/>
      </c>
      <c r="R1456" s="47" t="n">
        <f aca="false">IF($P1456="",0,$P1456)</f>
        <v>0</v>
      </c>
    </row>
    <row r="1457" customFormat="false" ht="18" hidden="false" customHeight="true" outlineLevel="0" collapsed="false">
      <c r="A1457" s="39"/>
      <c r="B1457" s="41"/>
      <c r="C1457" s="40"/>
      <c r="D1457" s="40"/>
      <c r="E1457" s="40"/>
      <c r="F1457" s="42"/>
      <c r="G1457" s="39"/>
      <c r="H1457" s="40"/>
      <c r="I1457" s="40"/>
      <c r="J1457" s="40"/>
      <c r="K1457" s="41"/>
      <c r="L1457" s="39"/>
      <c r="M1457" s="48" t="str">
        <f aca="false">IF($E1457="","",IFERROR(INDEX(Parâmetros!$C$15:$C$20,MATCH($P1457,Parâmetros!$B$15:$B$20,0)),""))</f>
        <v/>
      </c>
      <c r="N1457" s="46" t="str">
        <f aca="false">IF($E1457="","",IF($P1457="","",IF($P1457&gt;=8,"Alta",IF($P1457&gt;=5,"Média","Baixa"))))</f>
        <v/>
      </c>
      <c r="O1457" s="46" t="str">
        <f aca="false">IF($E1457="","",IF(AND(Parâmetros!$C$5&gt;0,$P1457&lt;&gt;"",$P1457&gt;=Parâmetros!$C$5),"Sim","Não"))</f>
        <v/>
      </c>
      <c r="P1457" s="45" t="str">
        <f aca="false">IF($E1457="","",IF($G1457="","",IF($G1457="NOK",$F1457,0)))</f>
        <v/>
      </c>
      <c r="Q1457" s="46" t="str">
        <f aca="false">IF($E1457="","",IF($O1457&lt;&gt;"Sim","",COUNTIF($O$3:$O1457,"Sim")))</f>
        <v/>
      </c>
      <c r="R1457" s="47" t="n">
        <f aca="false">IF($P1457="",0,$P1457)</f>
        <v>0</v>
      </c>
    </row>
    <row r="1458" customFormat="false" ht="18" hidden="false" customHeight="true" outlineLevel="0" collapsed="false">
      <c r="A1458" s="39"/>
      <c r="B1458" s="41"/>
      <c r="C1458" s="40"/>
      <c r="D1458" s="40"/>
      <c r="E1458" s="40"/>
      <c r="F1458" s="42"/>
      <c r="G1458" s="39"/>
      <c r="H1458" s="40"/>
      <c r="I1458" s="40"/>
      <c r="J1458" s="40"/>
      <c r="K1458" s="41"/>
      <c r="L1458" s="39"/>
      <c r="M1458" s="48" t="str">
        <f aca="false">IF($E1458="","",IFERROR(INDEX(Parâmetros!$C$15:$C$20,MATCH($P1458,Parâmetros!$B$15:$B$20,0)),""))</f>
        <v/>
      </c>
      <c r="N1458" s="46" t="str">
        <f aca="false">IF($E1458="","",IF($P1458="","",IF($P1458&gt;=8,"Alta",IF($P1458&gt;=5,"Média","Baixa"))))</f>
        <v/>
      </c>
      <c r="O1458" s="46" t="str">
        <f aca="false">IF($E1458="","",IF(AND(Parâmetros!$C$5&gt;0,$P1458&lt;&gt;"",$P1458&gt;=Parâmetros!$C$5),"Sim","Não"))</f>
        <v/>
      </c>
      <c r="P1458" s="45" t="str">
        <f aca="false">IF($E1458="","",IF($G1458="","",IF($G1458="NOK",$F1458,0)))</f>
        <v/>
      </c>
      <c r="Q1458" s="46" t="str">
        <f aca="false">IF($E1458="","",IF($O1458&lt;&gt;"Sim","",COUNTIF($O$3:$O1458,"Sim")))</f>
        <v/>
      </c>
      <c r="R1458" s="47" t="n">
        <f aca="false">IF($P1458="",0,$P1458)</f>
        <v>0</v>
      </c>
    </row>
    <row r="1459" customFormat="false" ht="18" hidden="false" customHeight="true" outlineLevel="0" collapsed="false">
      <c r="A1459" s="39"/>
      <c r="B1459" s="41"/>
      <c r="C1459" s="40"/>
      <c r="D1459" s="40"/>
      <c r="E1459" s="40"/>
      <c r="F1459" s="42"/>
      <c r="G1459" s="39"/>
      <c r="H1459" s="40"/>
      <c r="I1459" s="40"/>
      <c r="J1459" s="40"/>
      <c r="K1459" s="41"/>
      <c r="L1459" s="39"/>
      <c r="M1459" s="48" t="str">
        <f aca="false">IF($E1459="","",IFERROR(INDEX(Parâmetros!$C$15:$C$20,MATCH($P1459,Parâmetros!$B$15:$B$20,0)),""))</f>
        <v/>
      </c>
      <c r="N1459" s="46" t="str">
        <f aca="false">IF($E1459="","",IF($P1459="","",IF($P1459&gt;=8,"Alta",IF($P1459&gt;=5,"Média","Baixa"))))</f>
        <v/>
      </c>
      <c r="O1459" s="46" t="str">
        <f aca="false">IF($E1459="","",IF(AND(Parâmetros!$C$5&gt;0,$P1459&lt;&gt;"",$P1459&gt;=Parâmetros!$C$5),"Sim","Não"))</f>
        <v/>
      </c>
      <c r="P1459" s="45" t="str">
        <f aca="false">IF($E1459="","",IF($G1459="","",IF($G1459="NOK",$F1459,0)))</f>
        <v/>
      </c>
      <c r="Q1459" s="46" t="str">
        <f aca="false">IF($E1459="","",IF($O1459&lt;&gt;"Sim","",COUNTIF($O$3:$O1459,"Sim")))</f>
        <v/>
      </c>
      <c r="R1459" s="47" t="n">
        <f aca="false">IF($P1459="",0,$P1459)</f>
        <v>0</v>
      </c>
    </row>
    <row r="1460" customFormat="false" ht="18" hidden="false" customHeight="true" outlineLevel="0" collapsed="false">
      <c r="A1460" s="39"/>
      <c r="B1460" s="41"/>
      <c r="C1460" s="40"/>
      <c r="D1460" s="40"/>
      <c r="E1460" s="40"/>
      <c r="F1460" s="42"/>
      <c r="G1460" s="39"/>
      <c r="H1460" s="40"/>
      <c r="I1460" s="40"/>
      <c r="J1460" s="40"/>
      <c r="K1460" s="41"/>
      <c r="L1460" s="39"/>
      <c r="M1460" s="48" t="str">
        <f aca="false">IF($E1460="","",IFERROR(INDEX(Parâmetros!$C$15:$C$20,MATCH($P1460,Parâmetros!$B$15:$B$20,0)),""))</f>
        <v/>
      </c>
      <c r="N1460" s="46" t="str">
        <f aca="false">IF($E1460="","",IF($P1460="","",IF($P1460&gt;=8,"Alta",IF($P1460&gt;=5,"Média","Baixa"))))</f>
        <v/>
      </c>
      <c r="O1460" s="46" t="str">
        <f aca="false">IF($E1460="","",IF(AND(Parâmetros!$C$5&gt;0,$P1460&lt;&gt;"",$P1460&gt;=Parâmetros!$C$5),"Sim","Não"))</f>
        <v/>
      </c>
      <c r="P1460" s="45" t="str">
        <f aca="false">IF($E1460="","",IF($G1460="","",IF($G1460="NOK",$F1460,0)))</f>
        <v/>
      </c>
      <c r="Q1460" s="46" t="str">
        <f aca="false">IF($E1460="","",IF($O1460&lt;&gt;"Sim","",COUNTIF($O$3:$O1460,"Sim")))</f>
        <v/>
      </c>
      <c r="R1460" s="47" t="n">
        <f aca="false">IF($P1460="",0,$P1460)</f>
        <v>0</v>
      </c>
    </row>
    <row r="1461" customFormat="false" ht="18" hidden="false" customHeight="true" outlineLevel="0" collapsed="false">
      <c r="A1461" s="39"/>
      <c r="B1461" s="41"/>
      <c r="C1461" s="40"/>
      <c r="D1461" s="40"/>
      <c r="E1461" s="40"/>
      <c r="F1461" s="42"/>
      <c r="G1461" s="39"/>
      <c r="H1461" s="40"/>
      <c r="I1461" s="40"/>
      <c r="J1461" s="40"/>
      <c r="K1461" s="41"/>
      <c r="L1461" s="39"/>
      <c r="M1461" s="48" t="str">
        <f aca="false">IF($E1461="","",IFERROR(INDEX(Parâmetros!$C$15:$C$20,MATCH($P1461,Parâmetros!$B$15:$B$20,0)),""))</f>
        <v/>
      </c>
      <c r="N1461" s="46" t="str">
        <f aca="false">IF($E1461="","",IF($P1461="","",IF($P1461&gt;=8,"Alta",IF($P1461&gt;=5,"Média","Baixa"))))</f>
        <v/>
      </c>
      <c r="O1461" s="46" t="str">
        <f aca="false">IF($E1461="","",IF(AND(Parâmetros!$C$5&gt;0,$P1461&lt;&gt;"",$P1461&gt;=Parâmetros!$C$5),"Sim","Não"))</f>
        <v/>
      </c>
      <c r="P1461" s="45" t="str">
        <f aca="false">IF($E1461="","",IF($G1461="","",IF($G1461="NOK",$F1461,0)))</f>
        <v/>
      </c>
      <c r="Q1461" s="46" t="str">
        <f aca="false">IF($E1461="","",IF($O1461&lt;&gt;"Sim","",COUNTIF($O$3:$O1461,"Sim")))</f>
        <v/>
      </c>
      <c r="R1461" s="47" t="n">
        <f aca="false">IF($P1461="",0,$P1461)</f>
        <v>0</v>
      </c>
    </row>
    <row r="1462" customFormat="false" ht="18" hidden="false" customHeight="true" outlineLevel="0" collapsed="false">
      <c r="A1462" s="39"/>
      <c r="B1462" s="41"/>
      <c r="C1462" s="40"/>
      <c r="D1462" s="40"/>
      <c r="E1462" s="40"/>
      <c r="F1462" s="42"/>
      <c r="G1462" s="39"/>
      <c r="H1462" s="40"/>
      <c r="I1462" s="40"/>
      <c r="J1462" s="40"/>
      <c r="K1462" s="41"/>
      <c r="L1462" s="39"/>
      <c r="M1462" s="48" t="str">
        <f aca="false">IF($E1462="","",IFERROR(INDEX(Parâmetros!$C$15:$C$20,MATCH($P1462,Parâmetros!$B$15:$B$20,0)),""))</f>
        <v/>
      </c>
      <c r="N1462" s="46" t="str">
        <f aca="false">IF($E1462="","",IF($P1462="","",IF($P1462&gt;=8,"Alta",IF($P1462&gt;=5,"Média","Baixa"))))</f>
        <v/>
      </c>
      <c r="O1462" s="46" t="str">
        <f aca="false">IF($E1462="","",IF(AND(Parâmetros!$C$5&gt;0,$P1462&lt;&gt;"",$P1462&gt;=Parâmetros!$C$5),"Sim","Não"))</f>
        <v/>
      </c>
      <c r="P1462" s="45" t="str">
        <f aca="false">IF($E1462="","",IF($G1462="","",IF($G1462="NOK",$F1462,0)))</f>
        <v/>
      </c>
      <c r="Q1462" s="46" t="str">
        <f aca="false">IF($E1462="","",IF($O1462&lt;&gt;"Sim","",COUNTIF($O$3:$O1462,"Sim")))</f>
        <v/>
      </c>
      <c r="R1462" s="47" t="n">
        <f aca="false">IF($P1462="",0,$P1462)</f>
        <v>0</v>
      </c>
    </row>
    <row r="1463" customFormat="false" ht="18" hidden="false" customHeight="true" outlineLevel="0" collapsed="false">
      <c r="A1463" s="39"/>
      <c r="B1463" s="41"/>
      <c r="C1463" s="40"/>
      <c r="D1463" s="40"/>
      <c r="E1463" s="40"/>
      <c r="F1463" s="42"/>
      <c r="G1463" s="39"/>
      <c r="H1463" s="40"/>
      <c r="I1463" s="40"/>
      <c r="J1463" s="40"/>
      <c r="K1463" s="41"/>
      <c r="L1463" s="39"/>
      <c r="M1463" s="48" t="str">
        <f aca="false">IF($E1463="","",IFERROR(INDEX(Parâmetros!$C$15:$C$20,MATCH($P1463,Parâmetros!$B$15:$B$20,0)),""))</f>
        <v/>
      </c>
      <c r="N1463" s="46" t="str">
        <f aca="false">IF($E1463="","",IF($P1463="","",IF($P1463&gt;=8,"Alta",IF($P1463&gt;=5,"Média","Baixa"))))</f>
        <v/>
      </c>
      <c r="O1463" s="46" t="str">
        <f aca="false">IF($E1463="","",IF(AND(Parâmetros!$C$5&gt;0,$P1463&lt;&gt;"",$P1463&gt;=Parâmetros!$C$5),"Sim","Não"))</f>
        <v/>
      </c>
      <c r="P1463" s="45" t="str">
        <f aca="false">IF($E1463="","",IF($G1463="","",IF($G1463="NOK",$F1463,0)))</f>
        <v/>
      </c>
      <c r="Q1463" s="46" t="str">
        <f aca="false">IF($E1463="","",IF($O1463&lt;&gt;"Sim","",COUNTIF($O$3:$O1463,"Sim")))</f>
        <v/>
      </c>
      <c r="R1463" s="47" t="n">
        <f aca="false">IF($P1463="",0,$P1463)</f>
        <v>0</v>
      </c>
    </row>
    <row r="1464" customFormat="false" ht="18" hidden="false" customHeight="true" outlineLevel="0" collapsed="false">
      <c r="A1464" s="39"/>
      <c r="B1464" s="41"/>
      <c r="C1464" s="40"/>
      <c r="D1464" s="40"/>
      <c r="E1464" s="40"/>
      <c r="F1464" s="42"/>
      <c r="G1464" s="39"/>
      <c r="H1464" s="40"/>
      <c r="I1464" s="40"/>
      <c r="J1464" s="40"/>
      <c r="K1464" s="41"/>
      <c r="L1464" s="39"/>
      <c r="M1464" s="48" t="str">
        <f aca="false">IF($E1464="","",IFERROR(INDEX(Parâmetros!$C$15:$C$20,MATCH($P1464,Parâmetros!$B$15:$B$20,0)),""))</f>
        <v/>
      </c>
      <c r="N1464" s="46" t="str">
        <f aca="false">IF($E1464="","",IF($P1464="","",IF($P1464&gt;=8,"Alta",IF($P1464&gt;=5,"Média","Baixa"))))</f>
        <v/>
      </c>
      <c r="O1464" s="46" t="str">
        <f aca="false">IF($E1464="","",IF(AND(Parâmetros!$C$5&gt;0,$P1464&lt;&gt;"",$P1464&gt;=Parâmetros!$C$5),"Sim","Não"))</f>
        <v/>
      </c>
      <c r="P1464" s="45" t="str">
        <f aca="false">IF($E1464="","",IF($G1464="","",IF($G1464="NOK",$F1464,0)))</f>
        <v/>
      </c>
      <c r="Q1464" s="46" t="str">
        <f aca="false">IF($E1464="","",IF($O1464&lt;&gt;"Sim","",COUNTIF($O$3:$O1464,"Sim")))</f>
        <v/>
      </c>
      <c r="R1464" s="47" t="n">
        <f aca="false">IF($P1464="",0,$P1464)</f>
        <v>0</v>
      </c>
    </row>
    <row r="1465" customFormat="false" ht="18" hidden="false" customHeight="true" outlineLevel="0" collapsed="false">
      <c r="A1465" s="39"/>
      <c r="B1465" s="41"/>
      <c r="C1465" s="40"/>
      <c r="D1465" s="40"/>
      <c r="E1465" s="40"/>
      <c r="F1465" s="42"/>
      <c r="G1465" s="39"/>
      <c r="H1465" s="40"/>
      <c r="I1465" s="40"/>
      <c r="J1465" s="40"/>
      <c r="K1465" s="41"/>
      <c r="L1465" s="39"/>
      <c r="M1465" s="48" t="str">
        <f aca="false">IF($E1465="","",IFERROR(INDEX(Parâmetros!$C$15:$C$20,MATCH($P1465,Parâmetros!$B$15:$B$20,0)),""))</f>
        <v/>
      </c>
      <c r="N1465" s="46" t="str">
        <f aca="false">IF($E1465="","",IF($P1465="","",IF($P1465&gt;=8,"Alta",IF($P1465&gt;=5,"Média","Baixa"))))</f>
        <v/>
      </c>
      <c r="O1465" s="46" t="str">
        <f aca="false">IF($E1465="","",IF(AND(Parâmetros!$C$5&gt;0,$P1465&lt;&gt;"",$P1465&gt;=Parâmetros!$C$5),"Sim","Não"))</f>
        <v/>
      </c>
      <c r="P1465" s="45" t="str">
        <f aca="false">IF($E1465="","",IF($G1465="","",IF($G1465="NOK",$F1465,0)))</f>
        <v/>
      </c>
      <c r="Q1465" s="46" t="str">
        <f aca="false">IF($E1465="","",IF($O1465&lt;&gt;"Sim","",COUNTIF($O$3:$O1465,"Sim")))</f>
        <v/>
      </c>
      <c r="R1465" s="47" t="n">
        <f aca="false">IF($P1465="",0,$P1465)</f>
        <v>0</v>
      </c>
    </row>
    <row r="1466" customFormat="false" ht="18" hidden="false" customHeight="true" outlineLevel="0" collapsed="false">
      <c r="A1466" s="39"/>
      <c r="B1466" s="41"/>
      <c r="C1466" s="40"/>
      <c r="D1466" s="40"/>
      <c r="E1466" s="40"/>
      <c r="F1466" s="42"/>
      <c r="G1466" s="39"/>
      <c r="H1466" s="40"/>
      <c r="I1466" s="40"/>
      <c r="J1466" s="40"/>
      <c r="K1466" s="41"/>
      <c r="L1466" s="39"/>
      <c r="M1466" s="48" t="str">
        <f aca="false">IF($E1466="","",IFERROR(INDEX(Parâmetros!$C$15:$C$20,MATCH($P1466,Parâmetros!$B$15:$B$20,0)),""))</f>
        <v/>
      </c>
      <c r="N1466" s="46" t="str">
        <f aca="false">IF($E1466="","",IF($P1466="","",IF($P1466&gt;=8,"Alta",IF($P1466&gt;=5,"Média","Baixa"))))</f>
        <v/>
      </c>
      <c r="O1466" s="46" t="str">
        <f aca="false">IF($E1466="","",IF(AND(Parâmetros!$C$5&gt;0,$P1466&lt;&gt;"",$P1466&gt;=Parâmetros!$C$5),"Sim","Não"))</f>
        <v/>
      </c>
      <c r="P1466" s="45" t="str">
        <f aca="false">IF($E1466="","",IF($G1466="","",IF($G1466="NOK",$F1466,0)))</f>
        <v/>
      </c>
      <c r="Q1466" s="46" t="str">
        <f aca="false">IF($E1466="","",IF($O1466&lt;&gt;"Sim","",COUNTIF($O$3:$O1466,"Sim")))</f>
        <v/>
      </c>
      <c r="R1466" s="47" t="n">
        <f aca="false">IF($P1466="",0,$P1466)</f>
        <v>0</v>
      </c>
    </row>
    <row r="1467" customFormat="false" ht="18" hidden="false" customHeight="true" outlineLevel="0" collapsed="false">
      <c r="A1467" s="39"/>
      <c r="B1467" s="41"/>
      <c r="C1467" s="40"/>
      <c r="D1467" s="40"/>
      <c r="E1467" s="40"/>
      <c r="F1467" s="42"/>
      <c r="G1467" s="39"/>
      <c r="H1467" s="40"/>
      <c r="I1467" s="40"/>
      <c r="J1467" s="40"/>
      <c r="K1467" s="41"/>
      <c r="L1467" s="39"/>
      <c r="M1467" s="48" t="str">
        <f aca="false">IF($E1467="","",IFERROR(INDEX(Parâmetros!$C$15:$C$20,MATCH($P1467,Parâmetros!$B$15:$B$20,0)),""))</f>
        <v/>
      </c>
      <c r="N1467" s="46" t="str">
        <f aca="false">IF($E1467="","",IF($P1467="","",IF($P1467&gt;=8,"Alta",IF($P1467&gt;=5,"Média","Baixa"))))</f>
        <v/>
      </c>
      <c r="O1467" s="46" t="str">
        <f aca="false">IF($E1467="","",IF(AND(Parâmetros!$C$5&gt;0,$P1467&lt;&gt;"",$P1467&gt;=Parâmetros!$C$5),"Sim","Não"))</f>
        <v/>
      </c>
      <c r="P1467" s="45" t="str">
        <f aca="false">IF($E1467="","",IF($G1467="","",IF($G1467="NOK",$F1467,0)))</f>
        <v/>
      </c>
      <c r="Q1467" s="46" t="str">
        <f aca="false">IF($E1467="","",IF($O1467&lt;&gt;"Sim","",COUNTIF($O$3:$O1467,"Sim")))</f>
        <v/>
      </c>
      <c r="R1467" s="47" t="n">
        <f aca="false">IF($P1467="",0,$P1467)</f>
        <v>0</v>
      </c>
    </row>
    <row r="1468" customFormat="false" ht="18" hidden="false" customHeight="true" outlineLevel="0" collapsed="false">
      <c r="A1468" s="39"/>
      <c r="B1468" s="41"/>
      <c r="C1468" s="40"/>
      <c r="D1468" s="40"/>
      <c r="E1468" s="40"/>
      <c r="F1468" s="42"/>
      <c r="G1468" s="39"/>
      <c r="H1468" s="40"/>
      <c r="I1468" s="40"/>
      <c r="J1468" s="40"/>
      <c r="K1468" s="41"/>
      <c r="L1468" s="39"/>
      <c r="M1468" s="48" t="str">
        <f aca="false">IF($E1468="","",IFERROR(INDEX(Parâmetros!$C$15:$C$20,MATCH($P1468,Parâmetros!$B$15:$B$20,0)),""))</f>
        <v/>
      </c>
      <c r="N1468" s="46" t="str">
        <f aca="false">IF($E1468="","",IF($P1468="","",IF($P1468&gt;=8,"Alta",IF($P1468&gt;=5,"Média","Baixa"))))</f>
        <v/>
      </c>
      <c r="O1468" s="46" t="str">
        <f aca="false">IF($E1468="","",IF(AND(Parâmetros!$C$5&gt;0,$P1468&lt;&gt;"",$P1468&gt;=Parâmetros!$C$5),"Sim","Não"))</f>
        <v/>
      </c>
      <c r="P1468" s="45" t="str">
        <f aca="false">IF($E1468="","",IF($G1468="","",IF($G1468="NOK",$F1468,0)))</f>
        <v/>
      </c>
      <c r="Q1468" s="46" t="str">
        <f aca="false">IF($E1468="","",IF($O1468&lt;&gt;"Sim","",COUNTIF($O$3:$O1468,"Sim")))</f>
        <v/>
      </c>
      <c r="R1468" s="47" t="n">
        <f aca="false">IF($P1468="",0,$P1468)</f>
        <v>0</v>
      </c>
    </row>
    <row r="1469" customFormat="false" ht="18" hidden="false" customHeight="true" outlineLevel="0" collapsed="false">
      <c r="A1469" s="39"/>
      <c r="B1469" s="41"/>
      <c r="C1469" s="40"/>
      <c r="D1469" s="40"/>
      <c r="E1469" s="40"/>
      <c r="F1469" s="42"/>
      <c r="G1469" s="39"/>
      <c r="H1469" s="40"/>
      <c r="I1469" s="40"/>
      <c r="J1469" s="40"/>
      <c r="K1469" s="41"/>
      <c r="L1469" s="39"/>
      <c r="M1469" s="48" t="str">
        <f aca="false">IF($E1469="","",IFERROR(INDEX(Parâmetros!$C$15:$C$20,MATCH($P1469,Parâmetros!$B$15:$B$20,0)),""))</f>
        <v/>
      </c>
      <c r="N1469" s="46" t="str">
        <f aca="false">IF($E1469="","",IF($P1469="","",IF($P1469&gt;=8,"Alta",IF($P1469&gt;=5,"Média","Baixa"))))</f>
        <v/>
      </c>
      <c r="O1469" s="46" t="str">
        <f aca="false">IF($E1469="","",IF(AND(Parâmetros!$C$5&gt;0,$P1469&lt;&gt;"",$P1469&gt;=Parâmetros!$C$5),"Sim","Não"))</f>
        <v/>
      </c>
      <c r="P1469" s="45" t="str">
        <f aca="false">IF($E1469="","",IF($G1469="","",IF($G1469="NOK",$F1469,0)))</f>
        <v/>
      </c>
      <c r="Q1469" s="46" t="str">
        <f aca="false">IF($E1469="","",IF($O1469&lt;&gt;"Sim","",COUNTIF($O$3:$O1469,"Sim")))</f>
        <v/>
      </c>
      <c r="R1469" s="47" t="n">
        <f aca="false">IF($P1469="",0,$P1469)</f>
        <v>0</v>
      </c>
    </row>
    <row r="1470" customFormat="false" ht="18" hidden="false" customHeight="true" outlineLevel="0" collapsed="false">
      <c r="A1470" s="39"/>
      <c r="B1470" s="41"/>
      <c r="C1470" s="40"/>
      <c r="D1470" s="40"/>
      <c r="E1470" s="40"/>
      <c r="F1470" s="42"/>
      <c r="G1470" s="39"/>
      <c r="H1470" s="40"/>
      <c r="I1470" s="40"/>
      <c r="J1470" s="40"/>
      <c r="K1470" s="41"/>
      <c r="L1470" s="39"/>
      <c r="M1470" s="48" t="str">
        <f aca="false">IF($E1470="","",IFERROR(INDEX(Parâmetros!$C$15:$C$20,MATCH($P1470,Parâmetros!$B$15:$B$20,0)),""))</f>
        <v/>
      </c>
      <c r="N1470" s="46" t="str">
        <f aca="false">IF($E1470="","",IF($P1470="","",IF($P1470&gt;=8,"Alta",IF($P1470&gt;=5,"Média","Baixa"))))</f>
        <v/>
      </c>
      <c r="O1470" s="46" t="str">
        <f aca="false">IF($E1470="","",IF(AND(Parâmetros!$C$5&gt;0,$P1470&lt;&gt;"",$P1470&gt;=Parâmetros!$C$5),"Sim","Não"))</f>
        <v/>
      </c>
      <c r="P1470" s="45" t="str">
        <f aca="false">IF($E1470="","",IF($G1470="","",IF($G1470="NOK",$F1470,0)))</f>
        <v/>
      </c>
      <c r="Q1470" s="46" t="str">
        <f aca="false">IF($E1470="","",IF($O1470&lt;&gt;"Sim","",COUNTIF($O$3:$O1470,"Sim")))</f>
        <v/>
      </c>
      <c r="R1470" s="47" t="n">
        <f aca="false">IF($P1470="",0,$P1470)</f>
        <v>0</v>
      </c>
    </row>
    <row r="1471" customFormat="false" ht="18" hidden="false" customHeight="true" outlineLevel="0" collapsed="false">
      <c r="A1471" s="39"/>
      <c r="B1471" s="41"/>
      <c r="C1471" s="40"/>
      <c r="D1471" s="40"/>
      <c r="E1471" s="40"/>
      <c r="F1471" s="42"/>
      <c r="G1471" s="39"/>
      <c r="H1471" s="40"/>
      <c r="I1471" s="40"/>
      <c r="J1471" s="40"/>
      <c r="K1471" s="41"/>
      <c r="L1471" s="39"/>
      <c r="M1471" s="48" t="str">
        <f aca="false">IF($E1471="","",IFERROR(INDEX(Parâmetros!$C$15:$C$20,MATCH($P1471,Parâmetros!$B$15:$B$20,0)),""))</f>
        <v/>
      </c>
      <c r="N1471" s="46" t="str">
        <f aca="false">IF($E1471="","",IF($P1471="","",IF($P1471&gt;=8,"Alta",IF($P1471&gt;=5,"Média","Baixa"))))</f>
        <v/>
      </c>
      <c r="O1471" s="46" t="str">
        <f aca="false">IF($E1471="","",IF(AND(Parâmetros!$C$5&gt;0,$P1471&lt;&gt;"",$P1471&gt;=Parâmetros!$C$5),"Sim","Não"))</f>
        <v/>
      </c>
      <c r="P1471" s="45" t="str">
        <f aca="false">IF($E1471="","",IF($G1471="","",IF($G1471="NOK",$F1471,0)))</f>
        <v/>
      </c>
      <c r="Q1471" s="46" t="str">
        <f aca="false">IF($E1471="","",IF($O1471&lt;&gt;"Sim","",COUNTIF($O$3:$O1471,"Sim")))</f>
        <v/>
      </c>
      <c r="R1471" s="47" t="n">
        <f aca="false">IF($P1471="",0,$P1471)</f>
        <v>0</v>
      </c>
    </row>
    <row r="1472" customFormat="false" ht="18" hidden="false" customHeight="true" outlineLevel="0" collapsed="false">
      <c r="A1472" s="39"/>
      <c r="B1472" s="41"/>
      <c r="C1472" s="40"/>
      <c r="D1472" s="40"/>
      <c r="E1472" s="40"/>
      <c r="F1472" s="42"/>
      <c r="G1472" s="39"/>
      <c r="H1472" s="40"/>
      <c r="I1472" s="40"/>
      <c r="J1472" s="40"/>
      <c r="K1472" s="41"/>
      <c r="L1472" s="39"/>
      <c r="M1472" s="48" t="str">
        <f aca="false">IF($E1472="","",IFERROR(INDEX(Parâmetros!$C$15:$C$20,MATCH($P1472,Parâmetros!$B$15:$B$20,0)),""))</f>
        <v/>
      </c>
      <c r="N1472" s="46" t="str">
        <f aca="false">IF($E1472="","",IF($P1472="","",IF($P1472&gt;=8,"Alta",IF($P1472&gt;=5,"Média","Baixa"))))</f>
        <v/>
      </c>
      <c r="O1472" s="46" t="str">
        <f aca="false">IF($E1472="","",IF(AND(Parâmetros!$C$5&gt;0,$P1472&lt;&gt;"",$P1472&gt;=Parâmetros!$C$5),"Sim","Não"))</f>
        <v/>
      </c>
      <c r="P1472" s="45" t="str">
        <f aca="false">IF($E1472="","",IF($G1472="","",IF($G1472="NOK",$F1472,0)))</f>
        <v/>
      </c>
      <c r="Q1472" s="46" t="str">
        <f aca="false">IF($E1472="","",IF($O1472&lt;&gt;"Sim","",COUNTIF($O$3:$O1472,"Sim")))</f>
        <v/>
      </c>
      <c r="R1472" s="47" t="n">
        <f aca="false">IF($P1472="",0,$P1472)</f>
        <v>0</v>
      </c>
    </row>
    <row r="1473" customFormat="false" ht="18" hidden="false" customHeight="true" outlineLevel="0" collapsed="false">
      <c r="A1473" s="39"/>
      <c r="B1473" s="41"/>
      <c r="C1473" s="40"/>
      <c r="D1473" s="40"/>
      <c r="E1473" s="40"/>
      <c r="F1473" s="42"/>
      <c r="G1473" s="39"/>
      <c r="H1473" s="40"/>
      <c r="I1473" s="40"/>
      <c r="J1473" s="40"/>
      <c r="K1473" s="41"/>
      <c r="L1473" s="39"/>
      <c r="M1473" s="48" t="str">
        <f aca="false">IF($E1473="","",IFERROR(INDEX(Parâmetros!$C$15:$C$20,MATCH($P1473,Parâmetros!$B$15:$B$20,0)),""))</f>
        <v/>
      </c>
      <c r="N1473" s="46" t="str">
        <f aca="false">IF($E1473="","",IF($P1473="","",IF($P1473&gt;=8,"Alta",IF($P1473&gt;=5,"Média","Baixa"))))</f>
        <v/>
      </c>
      <c r="O1473" s="46" t="str">
        <f aca="false">IF($E1473="","",IF(AND(Parâmetros!$C$5&gt;0,$P1473&lt;&gt;"",$P1473&gt;=Parâmetros!$C$5),"Sim","Não"))</f>
        <v/>
      </c>
      <c r="P1473" s="45" t="str">
        <f aca="false">IF($E1473="","",IF($G1473="","",IF($G1473="NOK",$F1473,0)))</f>
        <v/>
      </c>
      <c r="Q1473" s="46" t="str">
        <f aca="false">IF($E1473="","",IF($O1473&lt;&gt;"Sim","",COUNTIF($O$3:$O1473,"Sim")))</f>
        <v/>
      </c>
      <c r="R1473" s="47" t="n">
        <f aca="false">IF($P1473="",0,$P1473)</f>
        <v>0</v>
      </c>
    </row>
    <row r="1474" customFormat="false" ht="18" hidden="false" customHeight="true" outlineLevel="0" collapsed="false">
      <c r="A1474" s="39"/>
      <c r="B1474" s="41"/>
      <c r="C1474" s="40"/>
      <c r="D1474" s="40"/>
      <c r="E1474" s="40"/>
      <c r="F1474" s="42"/>
      <c r="G1474" s="39"/>
      <c r="H1474" s="40"/>
      <c r="I1474" s="40"/>
      <c r="J1474" s="40"/>
      <c r="K1474" s="41"/>
      <c r="L1474" s="39"/>
      <c r="M1474" s="48" t="str">
        <f aca="false">IF($E1474="","",IFERROR(INDEX(Parâmetros!$C$15:$C$20,MATCH($P1474,Parâmetros!$B$15:$B$20,0)),""))</f>
        <v/>
      </c>
      <c r="N1474" s="46" t="str">
        <f aca="false">IF($E1474="","",IF($P1474="","",IF($P1474&gt;=8,"Alta",IF($P1474&gt;=5,"Média","Baixa"))))</f>
        <v/>
      </c>
      <c r="O1474" s="46" t="str">
        <f aca="false">IF($E1474="","",IF(AND(Parâmetros!$C$5&gt;0,$P1474&lt;&gt;"",$P1474&gt;=Parâmetros!$C$5),"Sim","Não"))</f>
        <v/>
      </c>
      <c r="P1474" s="45" t="str">
        <f aca="false">IF($E1474="","",IF($G1474="","",IF($G1474="NOK",$F1474,0)))</f>
        <v/>
      </c>
      <c r="Q1474" s="46" t="str">
        <f aca="false">IF($E1474="","",IF($O1474&lt;&gt;"Sim","",COUNTIF($O$3:$O1474,"Sim")))</f>
        <v/>
      </c>
      <c r="R1474" s="47" t="n">
        <f aca="false">IF($P1474="",0,$P1474)</f>
        <v>0</v>
      </c>
    </row>
    <row r="1475" customFormat="false" ht="18" hidden="false" customHeight="true" outlineLevel="0" collapsed="false">
      <c r="A1475" s="39"/>
      <c r="B1475" s="41"/>
      <c r="C1475" s="40"/>
      <c r="D1475" s="40"/>
      <c r="E1475" s="40"/>
      <c r="F1475" s="42"/>
      <c r="G1475" s="39"/>
      <c r="H1475" s="40"/>
      <c r="I1475" s="40"/>
      <c r="J1475" s="40"/>
      <c r="K1475" s="41"/>
      <c r="L1475" s="39"/>
      <c r="M1475" s="48" t="str">
        <f aca="false">IF($E1475="","",IFERROR(INDEX(Parâmetros!$C$15:$C$20,MATCH($P1475,Parâmetros!$B$15:$B$20,0)),""))</f>
        <v/>
      </c>
      <c r="N1475" s="46" t="str">
        <f aca="false">IF($E1475="","",IF($P1475="","",IF($P1475&gt;=8,"Alta",IF($P1475&gt;=5,"Média","Baixa"))))</f>
        <v/>
      </c>
      <c r="O1475" s="46" t="str">
        <f aca="false">IF($E1475="","",IF(AND(Parâmetros!$C$5&gt;0,$P1475&lt;&gt;"",$P1475&gt;=Parâmetros!$C$5),"Sim","Não"))</f>
        <v/>
      </c>
      <c r="P1475" s="45" t="str">
        <f aca="false">IF($E1475="","",IF($G1475="","",IF($G1475="NOK",$F1475,0)))</f>
        <v/>
      </c>
      <c r="Q1475" s="46" t="str">
        <f aca="false">IF($E1475="","",IF($O1475&lt;&gt;"Sim","",COUNTIF($O$3:$O1475,"Sim")))</f>
        <v/>
      </c>
      <c r="R1475" s="47" t="n">
        <f aca="false">IF($P1475="",0,$P1475)</f>
        <v>0</v>
      </c>
    </row>
    <row r="1476" customFormat="false" ht="18" hidden="false" customHeight="true" outlineLevel="0" collapsed="false">
      <c r="A1476" s="39"/>
      <c r="B1476" s="41"/>
      <c r="C1476" s="40"/>
      <c r="D1476" s="40"/>
      <c r="E1476" s="40"/>
      <c r="F1476" s="42"/>
      <c r="G1476" s="39"/>
      <c r="H1476" s="40"/>
      <c r="I1476" s="40"/>
      <c r="J1476" s="40"/>
      <c r="K1476" s="41"/>
      <c r="L1476" s="39"/>
      <c r="M1476" s="48" t="str">
        <f aca="false">IF($E1476="","",IFERROR(INDEX(Parâmetros!$C$15:$C$20,MATCH($P1476,Parâmetros!$B$15:$B$20,0)),""))</f>
        <v/>
      </c>
      <c r="N1476" s="46" t="str">
        <f aca="false">IF($E1476="","",IF($P1476="","",IF($P1476&gt;=8,"Alta",IF($P1476&gt;=5,"Média","Baixa"))))</f>
        <v/>
      </c>
      <c r="O1476" s="46" t="str">
        <f aca="false">IF($E1476="","",IF(AND(Parâmetros!$C$5&gt;0,$P1476&lt;&gt;"",$P1476&gt;=Parâmetros!$C$5),"Sim","Não"))</f>
        <v/>
      </c>
      <c r="P1476" s="45" t="str">
        <f aca="false">IF($E1476="","",IF($G1476="","",IF($G1476="NOK",$F1476,0)))</f>
        <v/>
      </c>
      <c r="Q1476" s="46" t="str">
        <f aca="false">IF($E1476="","",IF($O1476&lt;&gt;"Sim","",COUNTIF($O$3:$O1476,"Sim")))</f>
        <v/>
      </c>
      <c r="R1476" s="47" t="n">
        <f aca="false">IF($P1476="",0,$P1476)</f>
        <v>0</v>
      </c>
    </row>
    <row r="1477" customFormat="false" ht="18" hidden="false" customHeight="true" outlineLevel="0" collapsed="false">
      <c r="A1477" s="39"/>
      <c r="B1477" s="41"/>
      <c r="C1477" s="40"/>
      <c r="D1477" s="40"/>
      <c r="E1477" s="40"/>
      <c r="F1477" s="42"/>
      <c r="G1477" s="39"/>
      <c r="H1477" s="40"/>
      <c r="I1477" s="40"/>
      <c r="J1477" s="40"/>
      <c r="K1477" s="41"/>
      <c r="L1477" s="39"/>
      <c r="M1477" s="48" t="str">
        <f aca="false">IF($E1477="","",IFERROR(INDEX(Parâmetros!$C$15:$C$20,MATCH($P1477,Parâmetros!$B$15:$B$20,0)),""))</f>
        <v/>
      </c>
      <c r="N1477" s="46" t="str">
        <f aca="false">IF($E1477="","",IF($P1477="","",IF($P1477&gt;=8,"Alta",IF($P1477&gt;=5,"Média","Baixa"))))</f>
        <v/>
      </c>
      <c r="O1477" s="46" t="str">
        <f aca="false">IF($E1477="","",IF(AND(Parâmetros!$C$5&gt;0,$P1477&lt;&gt;"",$P1477&gt;=Parâmetros!$C$5),"Sim","Não"))</f>
        <v/>
      </c>
      <c r="P1477" s="45" t="str">
        <f aca="false">IF($E1477="","",IF($G1477="","",IF($G1477="NOK",$F1477,0)))</f>
        <v/>
      </c>
      <c r="Q1477" s="46" t="str">
        <f aca="false">IF($E1477="","",IF($O1477&lt;&gt;"Sim","",COUNTIF($O$3:$O1477,"Sim")))</f>
        <v/>
      </c>
      <c r="R1477" s="47" t="n">
        <f aca="false">IF($P1477="",0,$P1477)</f>
        <v>0</v>
      </c>
    </row>
    <row r="1478" customFormat="false" ht="18" hidden="false" customHeight="true" outlineLevel="0" collapsed="false">
      <c r="A1478" s="39"/>
      <c r="B1478" s="41"/>
      <c r="C1478" s="40"/>
      <c r="D1478" s="40"/>
      <c r="E1478" s="40"/>
      <c r="F1478" s="42"/>
      <c r="G1478" s="39"/>
      <c r="H1478" s="40"/>
      <c r="I1478" s="40"/>
      <c r="J1478" s="40"/>
      <c r="K1478" s="41"/>
      <c r="L1478" s="39"/>
      <c r="M1478" s="48" t="str">
        <f aca="false">IF($E1478="","",IFERROR(INDEX(Parâmetros!$C$15:$C$20,MATCH($P1478,Parâmetros!$B$15:$B$20,0)),""))</f>
        <v/>
      </c>
      <c r="N1478" s="46" t="str">
        <f aca="false">IF($E1478="","",IF($P1478="","",IF($P1478&gt;=8,"Alta",IF($P1478&gt;=5,"Média","Baixa"))))</f>
        <v/>
      </c>
      <c r="O1478" s="46" t="str">
        <f aca="false">IF($E1478="","",IF(AND(Parâmetros!$C$5&gt;0,$P1478&lt;&gt;"",$P1478&gt;=Parâmetros!$C$5),"Sim","Não"))</f>
        <v/>
      </c>
      <c r="P1478" s="45" t="str">
        <f aca="false">IF($E1478="","",IF($G1478="","",IF($G1478="NOK",$F1478,0)))</f>
        <v/>
      </c>
      <c r="Q1478" s="46" t="str">
        <f aca="false">IF($E1478="","",IF($O1478&lt;&gt;"Sim","",COUNTIF($O$3:$O1478,"Sim")))</f>
        <v/>
      </c>
      <c r="R1478" s="47" t="n">
        <f aca="false">IF($P1478="",0,$P1478)</f>
        <v>0</v>
      </c>
    </row>
    <row r="1479" customFormat="false" ht="18" hidden="false" customHeight="true" outlineLevel="0" collapsed="false">
      <c r="A1479" s="39"/>
      <c r="B1479" s="41"/>
      <c r="C1479" s="40"/>
      <c r="D1479" s="40"/>
      <c r="E1479" s="40"/>
      <c r="F1479" s="42"/>
      <c r="G1479" s="39"/>
      <c r="H1479" s="40"/>
      <c r="I1479" s="40"/>
      <c r="J1479" s="40"/>
      <c r="K1479" s="41"/>
      <c r="L1479" s="39"/>
      <c r="M1479" s="48" t="str">
        <f aca="false">IF($E1479="","",IFERROR(INDEX(Parâmetros!$C$15:$C$20,MATCH($P1479,Parâmetros!$B$15:$B$20,0)),""))</f>
        <v/>
      </c>
      <c r="N1479" s="46" t="str">
        <f aca="false">IF($E1479="","",IF($P1479="","",IF($P1479&gt;=8,"Alta",IF($P1479&gt;=5,"Média","Baixa"))))</f>
        <v/>
      </c>
      <c r="O1479" s="46" t="str">
        <f aca="false">IF($E1479="","",IF(AND(Parâmetros!$C$5&gt;0,$P1479&lt;&gt;"",$P1479&gt;=Parâmetros!$C$5),"Sim","Não"))</f>
        <v/>
      </c>
      <c r="P1479" s="45" t="str">
        <f aca="false">IF($E1479="","",IF($G1479="","",IF($G1479="NOK",$F1479,0)))</f>
        <v/>
      </c>
      <c r="Q1479" s="46" t="str">
        <f aca="false">IF($E1479="","",IF($O1479&lt;&gt;"Sim","",COUNTIF($O$3:$O1479,"Sim")))</f>
        <v/>
      </c>
      <c r="R1479" s="47" t="n">
        <f aca="false">IF($P1479="",0,$P1479)</f>
        <v>0</v>
      </c>
    </row>
    <row r="1480" customFormat="false" ht="18" hidden="false" customHeight="true" outlineLevel="0" collapsed="false">
      <c r="A1480" s="39"/>
      <c r="B1480" s="41"/>
      <c r="C1480" s="40"/>
      <c r="D1480" s="40"/>
      <c r="E1480" s="40"/>
      <c r="F1480" s="42"/>
      <c r="G1480" s="39"/>
      <c r="H1480" s="40"/>
      <c r="I1480" s="40"/>
      <c r="J1480" s="40"/>
      <c r="K1480" s="41"/>
      <c r="L1480" s="39"/>
      <c r="M1480" s="48" t="str">
        <f aca="false">IF($E1480="","",IFERROR(INDEX(Parâmetros!$C$15:$C$20,MATCH($P1480,Parâmetros!$B$15:$B$20,0)),""))</f>
        <v/>
      </c>
      <c r="N1480" s="46" t="str">
        <f aca="false">IF($E1480="","",IF($P1480="","",IF($P1480&gt;=8,"Alta",IF($P1480&gt;=5,"Média","Baixa"))))</f>
        <v/>
      </c>
      <c r="O1480" s="46" t="str">
        <f aca="false">IF($E1480="","",IF(AND(Parâmetros!$C$5&gt;0,$P1480&lt;&gt;"",$P1480&gt;=Parâmetros!$C$5),"Sim","Não"))</f>
        <v/>
      </c>
      <c r="P1480" s="45" t="str">
        <f aca="false">IF($E1480="","",IF($G1480="","",IF($G1480="NOK",$F1480,0)))</f>
        <v/>
      </c>
      <c r="Q1480" s="46" t="str">
        <f aca="false">IF($E1480="","",IF($O1480&lt;&gt;"Sim","",COUNTIF($O$3:$O1480,"Sim")))</f>
        <v/>
      </c>
      <c r="R1480" s="47" t="n">
        <f aca="false">IF($P1480="",0,$P1480)</f>
        <v>0</v>
      </c>
    </row>
    <row r="1481" customFormat="false" ht="18" hidden="false" customHeight="true" outlineLevel="0" collapsed="false">
      <c r="A1481" s="39"/>
      <c r="B1481" s="41"/>
      <c r="C1481" s="40"/>
      <c r="D1481" s="40"/>
      <c r="E1481" s="40"/>
      <c r="F1481" s="42"/>
      <c r="G1481" s="39"/>
      <c r="H1481" s="40"/>
      <c r="I1481" s="40"/>
      <c r="J1481" s="40"/>
      <c r="K1481" s="41"/>
      <c r="L1481" s="39"/>
      <c r="M1481" s="48" t="str">
        <f aca="false">IF($E1481="","",IFERROR(INDEX(Parâmetros!$C$15:$C$20,MATCH($P1481,Parâmetros!$B$15:$B$20,0)),""))</f>
        <v/>
      </c>
      <c r="N1481" s="46" t="str">
        <f aca="false">IF($E1481="","",IF($P1481="","",IF($P1481&gt;=8,"Alta",IF($P1481&gt;=5,"Média","Baixa"))))</f>
        <v/>
      </c>
      <c r="O1481" s="46" t="str">
        <f aca="false">IF($E1481="","",IF(AND(Parâmetros!$C$5&gt;0,$P1481&lt;&gt;"",$P1481&gt;=Parâmetros!$C$5),"Sim","Não"))</f>
        <v/>
      </c>
      <c r="P1481" s="45" t="str">
        <f aca="false">IF($E1481="","",IF($G1481="","",IF($G1481="NOK",$F1481,0)))</f>
        <v/>
      </c>
      <c r="Q1481" s="46" t="str">
        <f aca="false">IF($E1481="","",IF($O1481&lt;&gt;"Sim","",COUNTIF($O$3:$O1481,"Sim")))</f>
        <v/>
      </c>
      <c r="R1481" s="47" t="n">
        <f aca="false">IF($P1481="",0,$P1481)</f>
        <v>0</v>
      </c>
    </row>
    <row r="1482" customFormat="false" ht="18" hidden="false" customHeight="true" outlineLevel="0" collapsed="false">
      <c r="A1482" s="39"/>
      <c r="B1482" s="41"/>
      <c r="C1482" s="40"/>
      <c r="D1482" s="40"/>
      <c r="E1482" s="40"/>
      <c r="F1482" s="42"/>
      <c r="G1482" s="39"/>
      <c r="H1482" s="40"/>
      <c r="I1482" s="40"/>
      <c r="J1482" s="40"/>
      <c r="K1482" s="41"/>
      <c r="L1482" s="39"/>
      <c r="M1482" s="48" t="str">
        <f aca="false">IF($E1482="","",IFERROR(INDEX(Parâmetros!$C$15:$C$20,MATCH($P1482,Parâmetros!$B$15:$B$20,0)),""))</f>
        <v/>
      </c>
      <c r="N1482" s="46" t="str">
        <f aca="false">IF($E1482="","",IF($P1482="","",IF($P1482&gt;=8,"Alta",IF($P1482&gt;=5,"Média","Baixa"))))</f>
        <v/>
      </c>
      <c r="O1482" s="46" t="str">
        <f aca="false">IF($E1482="","",IF(AND(Parâmetros!$C$5&gt;0,$P1482&lt;&gt;"",$P1482&gt;=Parâmetros!$C$5),"Sim","Não"))</f>
        <v/>
      </c>
      <c r="P1482" s="45" t="str">
        <f aca="false">IF($E1482="","",IF($G1482="","",IF($G1482="NOK",$F1482,0)))</f>
        <v/>
      </c>
      <c r="Q1482" s="46" t="str">
        <f aca="false">IF($E1482="","",IF($O1482&lt;&gt;"Sim","",COUNTIF($O$3:$O1482,"Sim")))</f>
        <v/>
      </c>
      <c r="R1482" s="47" t="n">
        <f aca="false">IF($P1482="",0,$P1482)</f>
        <v>0</v>
      </c>
    </row>
    <row r="1483" customFormat="false" ht="18" hidden="false" customHeight="true" outlineLevel="0" collapsed="false">
      <c r="A1483" s="39"/>
      <c r="B1483" s="41"/>
      <c r="C1483" s="40"/>
      <c r="D1483" s="40"/>
      <c r="E1483" s="40"/>
      <c r="F1483" s="42"/>
      <c r="G1483" s="39"/>
      <c r="H1483" s="40"/>
      <c r="I1483" s="40"/>
      <c r="J1483" s="40"/>
      <c r="K1483" s="41"/>
      <c r="L1483" s="39"/>
      <c r="M1483" s="48" t="str">
        <f aca="false">IF($E1483="","",IFERROR(INDEX(Parâmetros!$C$15:$C$20,MATCH($P1483,Parâmetros!$B$15:$B$20,0)),""))</f>
        <v/>
      </c>
      <c r="N1483" s="46" t="str">
        <f aca="false">IF($E1483="","",IF($P1483="","",IF($P1483&gt;=8,"Alta",IF($P1483&gt;=5,"Média","Baixa"))))</f>
        <v/>
      </c>
      <c r="O1483" s="46" t="str">
        <f aca="false">IF($E1483="","",IF(AND(Parâmetros!$C$5&gt;0,$P1483&lt;&gt;"",$P1483&gt;=Parâmetros!$C$5),"Sim","Não"))</f>
        <v/>
      </c>
      <c r="P1483" s="45" t="str">
        <f aca="false">IF($E1483="","",IF($G1483="","",IF($G1483="NOK",$F1483,0)))</f>
        <v/>
      </c>
      <c r="Q1483" s="46" t="str">
        <f aca="false">IF($E1483="","",IF($O1483&lt;&gt;"Sim","",COUNTIF($O$3:$O1483,"Sim")))</f>
        <v/>
      </c>
      <c r="R1483" s="47" t="n">
        <f aca="false">IF($P1483="",0,$P1483)</f>
        <v>0</v>
      </c>
    </row>
    <row r="1484" customFormat="false" ht="18" hidden="false" customHeight="true" outlineLevel="0" collapsed="false">
      <c r="A1484" s="39"/>
      <c r="B1484" s="41"/>
      <c r="C1484" s="40"/>
      <c r="D1484" s="40"/>
      <c r="E1484" s="40"/>
      <c r="F1484" s="42"/>
      <c r="G1484" s="39"/>
      <c r="H1484" s="40"/>
      <c r="I1484" s="40"/>
      <c r="J1484" s="40"/>
      <c r="K1484" s="41"/>
      <c r="L1484" s="39"/>
      <c r="M1484" s="48" t="str">
        <f aca="false">IF($E1484="","",IFERROR(INDEX(Parâmetros!$C$15:$C$20,MATCH($P1484,Parâmetros!$B$15:$B$20,0)),""))</f>
        <v/>
      </c>
      <c r="N1484" s="46" t="str">
        <f aca="false">IF($E1484="","",IF($P1484="","",IF($P1484&gt;=8,"Alta",IF($P1484&gt;=5,"Média","Baixa"))))</f>
        <v/>
      </c>
      <c r="O1484" s="46" t="str">
        <f aca="false">IF($E1484="","",IF(AND(Parâmetros!$C$5&gt;0,$P1484&lt;&gt;"",$P1484&gt;=Parâmetros!$C$5),"Sim","Não"))</f>
        <v/>
      </c>
      <c r="P1484" s="45" t="str">
        <f aca="false">IF($E1484="","",IF($G1484="","",IF($G1484="NOK",$F1484,0)))</f>
        <v/>
      </c>
      <c r="Q1484" s="46" t="str">
        <f aca="false">IF($E1484="","",IF($O1484&lt;&gt;"Sim","",COUNTIF($O$3:$O1484,"Sim")))</f>
        <v/>
      </c>
      <c r="R1484" s="47" t="n">
        <f aca="false">IF($P1484="",0,$P1484)</f>
        <v>0</v>
      </c>
    </row>
    <row r="1485" customFormat="false" ht="18" hidden="false" customHeight="true" outlineLevel="0" collapsed="false">
      <c r="A1485" s="39"/>
      <c r="B1485" s="41"/>
      <c r="C1485" s="40"/>
      <c r="D1485" s="40"/>
      <c r="E1485" s="40"/>
      <c r="F1485" s="42"/>
      <c r="G1485" s="39"/>
      <c r="H1485" s="40"/>
      <c r="I1485" s="40"/>
      <c r="J1485" s="40"/>
      <c r="K1485" s="41"/>
      <c r="L1485" s="39"/>
      <c r="M1485" s="48" t="str">
        <f aca="false">IF($E1485="","",IFERROR(INDEX(Parâmetros!$C$15:$C$20,MATCH($P1485,Parâmetros!$B$15:$B$20,0)),""))</f>
        <v/>
      </c>
      <c r="N1485" s="46" t="str">
        <f aca="false">IF($E1485="","",IF($P1485="","",IF($P1485&gt;=8,"Alta",IF($P1485&gt;=5,"Média","Baixa"))))</f>
        <v/>
      </c>
      <c r="O1485" s="46" t="str">
        <f aca="false">IF($E1485="","",IF(AND(Parâmetros!$C$5&gt;0,$P1485&lt;&gt;"",$P1485&gt;=Parâmetros!$C$5),"Sim","Não"))</f>
        <v/>
      </c>
      <c r="P1485" s="45" t="str">
        <f aca="false">IF($E1485="","",IF($G1485="","",IF($G1485="NOK",$F1485,0)))</f>
        <v/>
      </c>
      <c r="Q1485" s="46" t="str">
        <f aca="false">IF($E1485="","",IF($O1485&lt;&gt;"Sim","",COUNTIF($O$3:$O1485,"Sim")))</f>
        <v/>
      </c>
      <c r="R1485" s="47" t="n">
        <f aca="false">IF($P1485="",0,$P1485)</f>
        <v>0</v>
      </c>
    </row>
    <row r="1486" customFormat="false" ht="18" hidden="false" customHeight="true" outlineLevel="0" collapsed="false">
      <c r="A1486" s="39"/>
      <c r="B1486" s="41"/>
      <c r="C1486" s="40"/>
      <c r="D1486" s="40"/>
      <c r="E1486" s="40"/>
      <c r="F1486" s="42"/>
      <c r="G1486" s="39"/>
      <c r="H1486" s="40"/>
      <c r="I1486" s="40"/>
      <c r="J1486" s="40"/>
      <c r="K1486" s="41"/>
      <c r="L1486" s="39"/>
      <c r="M1486" s="48" t="str">
        <f aca="false">IF($E1486="","",IFERROR(INDEX(Parâmetros!$C$15:$C$20,MATCH($P1486,Parâmetros!$B$15:$B$20,0)),""))</f>
        <v/>
      </c>
      <c r="N1486" s="46" t="str">
        <f aca="false">IF($E1486="","",IF($P1486="","",IF($P1486&gt;=8,"Alta",IF($P1486&gt;=5,"Média","Baixa"))))</f>
        <v/>
      </c>
      <c r="O1486" s="46" t="str">
        <f aca="false">IF($E1486="","",IF(AND(Parâmetros!$C$5&gt;0,$P1486&lt;&gt;"",$P1486&gt;=Parâmetros!$C$5),"Sim","Não"))</f>
        <v/>
      </c>
      <c r="P1486" s="45" t="str">
        <f aca="false">IF($E1486="","",IF($G1486="","",IF($G1486="NOK",$F1486,0)))</f>
        <v/>
      </c>
      <c r="Q1486" s="46" t="str">
        <f aca="false">IF($E1486="","",IF($O1486&lt;&gt;"Sim","",COUNTIF($O$3:$O1486,"Sim")))</f>
        <v/>
      </c>
      <c r="R1486" s="47" t="n">
        <f aca="false">IF($P1486="",0,$P1486)</f>
        <v>0</v>
      </c>
    </row>
    <row r="1487" customFormat="false" ht="18" hidden="false" customHeight="true" outlineLevel="0" collapsed="false">
      <c r="A1487" s="39"/>
      <c r="B1487" s="41"/>
      <c r="C1487" s="40"/>
      <c r="D1487" s="40"/>
      <c r="E1487" s="40"/>
      <c r="F1487" s="42"/>
      <c r="G1487" s="39"/>
      <c r="H1487" s="40"/>
      <c r="I1487" s="40"/>
      <c r="J1487" s="40"/>
      <c r="K1487" s="41"/>
      <c r="L1487" s="39"/>
      <c r="M1487" s="48" t="str">
        <f aca="false">IF($E1487="","",IFERROR(INDEX(Parâmetros!$C$15:$C$20,MATCH($P1487,Parâmetros!$B$15:$B$20,0)),""))</f>
        <v/>
      </c>
      <c r="N1487" s="46" t="str">
        <f aca="false">IF($E1487="","",IF($P1487="","",IF($P1487&gt;=8,"Alta",IF($P1487&gt;=5,"Média","Baixa"))))</f>
        <v/>
      </c>
      <c r="O1487" s="46" t="str">
        <f aca="false">IF($E1487="","",IF(AND(Parâmetros!$C$5&gt;0,$P1487&lt;&gt;"",$P1487&gt;=Parâmetros!$C$5),"Sim","Não"))</f>
        <v/>
      </c>
      <c r="P1487" s="45" t="str">
        <f aca="false">IF($E1487="","",IF($G1487="","",IF($G1487="NOK",$F1487,0)))</f>
        <v/>
      </c>
      <c r="Q1487" s="46" t="str">
        <f aca="false">IF($E1487="","",IF($O1487&lt;&gt;"Sim","",COUNTIF($O$3:$O1487,"Sim")))</f>
        <v/>
      </c>
      <c r="R1487" s="47" t="n">
        <f aca="false">IF($P1487="",0,$P1487)</f>
        <v>0</v>
      </c>
    </row>
    <row r="1488" customFormat="false" ht="18" hidden="false" customHeight="true" outlineLevel="0" collapsed="false">
      <c r="A1488" s="39"/>
      <c r="B1488" s="41"/>
      <c r="C1488" s="40"/>
      <c r="D1488" s="40"/>
      <c r="E1488" s="40"/>
      <c r="F1488" s="42"/>
      <c r="G1488" s="39"/>
      <c r="H1488" s="40"/>
      <c r="I1488" s="40"/>
      <c r="J1488" s="40"/>
      <c r="K1488" s="41"/>
      <c r="L1488" s="39"/>
      <c r="M1488" s="48" t="str">
        <f aca="false">IF($E1488="","",IFERROR(INDEX(Parâmetros!$C$15:$C$20,MATCH($P1488,Parâmetros!$B$15:$B$20,0)),""))</f>
        <v/>
      </c>
      <c r="N1488" s="46" t="str">
        <f aca="false">IF($E1488="","",IF($P1488="","",IF($P1488&gt;=8,"Alta",IF($P1488&gt;=5,"Média","Baixa"))))</f>
        <v/>
      </c>
      <c r="O1488" s="46" t="str">
        <f aca="false">IF($E1488="","",IF(AND(Parâmetros!$C$5&gt;0,$P1488&lt;&gt;"",$P1488&gt;=Parâmetros!$C$5),"Sim","Não"))</f>
        <v/>
      </c>
      <c r="P1488" s="45" t="str">
        <f aca="false">IF($E1488="","",IF($G1488="","",IF($G1488="NOK",$F1488,0)))</f>
        <v/>
      </c>
      <c r="Q1488" s="46" t="str">
        <f aca="false">IF($E1488="","",IF($O1488&lt;&gt;"Sim","",COUNTIF($O$3:$O1488,"Sim")))</f>
        <v/>
      </c>
      <c r="R1488" s="47" t="n">
        <f aca="false">IF($P1488="",0,$P1488)</f>
        <v>0</v>
      </c>
    </row>
    <row r="1489" customFormat="false" ht="18" hidden="false" customHeight="true" outlineLevel="0" collapsed="false">
      <c r="A1489" s="39"/>
      <c r="B1489" s="41"/>
      <c r="C1489" s="40"/>
      <c r="D1489" s="40"/>
      <c r="E1489" s="40"/>
      <c r="F1489" s="42"/>
      <c r="G1489" s="39"/>
      <c r="H1489" s="40"/>
      <c r="I1489" s="40"/>
      <c r="J1489" s="40"/>
      <c r="K1489" s="41"/>
      <c r="L1489" s="39"/>
      <c r="M1489" s="48" t="str">
        <f aca="false">IF($E1489="","",IFERROR(INDEX(Parâmetros!$C$15:$C$20,MATCH($P1489,Parâmetros!$B$15:$B$20,0)),""))</f>
        <v/>
      </c>
      <c r="N1489" s="46" t="str">
        <f aca="false">IF($E1489="","",IF($P1489="","",IF($P1489&gt;=8,"Alta",IF($P1489&gt;=5,"Média","Baixa"))))</f>
        <v/>
      </c>
      <c r="O1489" s="46" t="str">
        <f aca="false">IF($E1489="","",IF(AND(Parâmetros!$C$5&gt;0,$P1489&lt;&gt;"",$P1489&gt;=Parâmetros!$C$5),"Sim","Não"))</f>
        <v/>
      </c>
      <c r="P1489" s="45" t="str">
        <f aca="false">IF($E1489="","",IF($G1489="","",IF($G1489="NOK",$F1489,0)))</f>
        <v/>
      </c>
      <c r="Q1489" s="46" t="str">
        <f aca="false">IF($E1489="","",IF($O1489&lt;&gt;"Sim","",COUNTIF($O$3:$O1489,"Sim")))</f>
        <v/>
      </c>
      <c r="R1489" s="47" t="n">
        <f aca="false">IF($P1489="",0,$P1489)</f>
        <v>0</v>
      </c>
    </row>
    <row r="1490" customFormat="false" ht="18" hidden="false" customHeight="true" outlineLevel="0" collapsed="false">
      <c r="A1490" s="39"/>
      <c r="B1490" s="41"/>
      <c r="C1490" s="40"/>
      <c r="D1490" s="40"/>
      <c r="E1490" s="40"/>
      <c r="F1490" s="42"/>
      <c r="G1490" s="39"/>
      <c r="H1490" s="40"/>
      <c r="I1490" s="40"/>
      <c r="J1490" s="40"/>
      <c r="K1490" s="41"/>
      <c r="L1490" s="39"/>
      <c r="M1490" s="48" t="str">
        <f aca="false">IF($E1490="","",IFERROR(INDEX(Parâmetros!$C$15:$C$20,MATCH($P1490,Parâmetros!$B$15:$B$20,0)),""))</f>
        <v/>
      </c>
      <c r="N1490" s="46" t="str">
        <f aca="false">IF($E1490="","",IF($P1490="","",IF($P1490&gt;=8,"Alta",IF($P1490&gt;=5,"Média","Baixa"))))</f>
        <v/>
      </c>
      <c r="O1490" s="46" t="str">
        <f aca="false">IF($E1490="","",IF(AND(Parâmetros!$C$5&gt;0,$P1490&lt;&gt;"",$P1490&gt;=Parâmetros!$C$5),"Sim","Não"))</f>
        <v/>
      </c>
      <c r="P1490" s="45" t="str">
        <f aca="false">IF($E1490="","",IF($G1490="","",IF($G1490="NOK",$F1490,0)))</f>
        <v/>
      </c>
      <c r="Q1490" s="46" t="str">
        <f aca="false">IF($E1490="","",IF($O1490&lt;&gt;"Sim","",COUNTIF($O$3:$O1490,"Sim")))</f>
        <v/>
      </c>
      <c r="R1490" s="47" t="n">
        <f aca="false">IF($P1490="",0,$P1490)</f>
        <v>0</v>
      </c>
    </row>
    <row r="1491" customFormat="false" ht="18" hidden="false" customHeight="true" outlineLevel="0" collapsed="false">
      <c r="A1491" s="39"/>
      <c r="B1491" s="41"/>
      <c r="C1491" s="40"/>
      <c r="D1491" s="40"/>
      <c r="E1491" s="40"/>
      <c r="F1491" s="42"/>
      <c r="G1491" s="39"/>
      <c r="H1491" s="40"/>
      <c r="I1491" s="40"/>
      <c r="J1491" s="40"/>
      <c r="K1491" s="41"/>
      <c r="L1491" s="39"/>
      <c r="M1491" s="48" t="str">
        <f aca="false">IF($E1491="","",IFERROR(INDEX(Parâmetros!$C$15:$C$20,MATCH($P1491,Parâmetros!$B$15:$B$20,0)),""))</f>
        <v/>
      </c>
      <c r="N1491" s="46" t="str">
        <f aca="false">IF($E1491="","",IF($P1491="","",IF($P1491&gt;=8,"Alta",IF($P1491&gt;=5,"Média","Baixa"))))</f>
        <v/>
      </c>
      <c r="O1491" s="46" t="str">
        <f aca="false">IF($E1491="","",IF(AND(Parâmetros!$C$5&gt;0,$P1491&lt;&gt;"",$P1491&gt;=Parâmetros!$C$5),"Sim","Não"))</f>
        <v/>
      </c>
      <c r="P1491" s="45" t="str">
        <f aca="false">IF($E1491="","",IF($G1491="","",IF($G1491="NOK",$F1491,0)))</f>
        <v/>
      </c>
      <c r="Q1491" s="46" t="str">
        <f aca="false">IF($E1491="","",IF($O1491&lt;&gt;"Sim","",COUNTIF($O$3:$O1491,"Sim")))</f>
        <v/>
      </c>
      <c r="R1491" s="47" t="n">
        <f aca="false">IF($P1491="",0,$P1491)</f>
        <v>0</v>
      </c>
    </row>
    <row r="1492" customFormat="false" ht="18" hidden="false" customHeight="true" outlineLevel="0" collapsed="false">
      <c r="A1492" s="39"/>
      <c r="B1492" s="41"/>
      <c r="C1492" s="40"/>
      <c r="D1492" s="40"/>
      <c r="E1492" s="40"/>
      <c r="F1492" s="42"/>
      <c r="G1492" s="39"/>
      <c r="H1492" s="40"/>
      <c r="I1492" s="40"/>
      <c r="J1492" s="40"/>
      <c r="K1492" s="41"/>
      <c r="L1492" s="39"/>
      <c r="M1492" s="48" t="str">
        <f aca="false">IF($E1492="","",IFERROR(INDEX(Parâmetros!$C$15:$C$20,MATCH($P1492,Parâmetros!$B$15:$B$20,0)),""))</f>
        <v/>
      </c>
      <c r="N1492" s="46" t="str">
        <f aca="false">IF($E1492="","",IF($P1492="","",IF($P1492&gt;=8,"Alta",IF($P1492&gt;=5,"Média","Baixa"))))</f>
        <v/>
      </c>
      <c r="O1492" s="46" t="str">
        <f aca="false">IF($E1492="","",IF(AND(Parâmetros!$C$5&gt;0,$P1492&lt;&gt;"",$P1492&gt;=Parâmetros!$C$5),"Sim","Não"))</f>
        <v/>
      </c>
      <c r="P1492" s="45" t="str">
        <f aca="false">IF($E1492="","",IF($G1492="","",IF($G1492="NOK",$F1492,0)))</f>
        <v/>
      </c>
      <c r="Q1492" s="46" t="str">
        <f aca="false">IF($E1492="","",IF($O1492&lt;&gt;"Sim","",COUNTIF($O$3:$O1492,"Sim")))</f>
        <v/>
      </c>
      <c r="R1492" s="47" t="n">
        <f aca="false">IF($P1492="",0,$P1492)</f>
        <v>0</v>
      </c>
    </row>
    <row r="1493" customFormat="false" ht="18" hidden="false" customHeight="true" outlineLevel="0" collapsed="false">
      <c r="A1493" s="39"/>
      <c r="B1493" s="41"/>
      <c r="C1493" s="40"/>
      <c r="D1493" s="40"/>
      <c r="E1493" s="40"/>
      <c r="F1493" s="42"/>
      <c r="G1493" s="39"/>
      <c r="H1493" s="40"/>
      <c r="I1493" s="40"/>
      <c r="J1493" s="40"/>
      <c r="K1493" s="41"/>
      <c r="L1493" s="39"/>
      <c r="M1493" s="48" t="str">
        <f aca="false">IF($E1493="","",IFERROR(INDEX(Parâmetros!$C$15:$C$20,MATCH($P1493,Parâmetros!$B$15:$B$20,0)),""))</f>
        <v/>
      </c>
      <c r="N1493" s="46" t="str">
        <f aca="false">IF($E1493="","",IF($P1493="","",IF($P1493&gt;=8,"Alta",IF($P1493&gt;=5,"Média","Baixa"))))</f>
        <v/>
      </c>
      <c r="O1493" s="46" t="str">
        <f aca="false">IF($E1493="","",IF(AND(Parâmetros!$C$5&gt;0,$P1493&lt;&gt;"",$P1493&gt;=Parâmetros!$C$5),"Sim","Não"))</f>
        <v/>
      </c>
      <c r="P1493" s="45" t="str">
        <f aca="false">IF($E1493="","",IF($G1493="","",IF($G1493="NOK",$F1493,0)))</f>
        <v/>
      </c>
      <c r="Q1493" s="46" t="str">
        <f aca="false">IF($E1493="","",IF($O1493&lt;&gt;"Sim","",COUNTIF($O$3:$O1493,"Sim")))</f>
        <v/>
      </c>
      <c r="R1493" s="47" t="n">
        <f aca="false">IF($P1493="",0,$P1493)</f>
        <v>0</v>
      </c>
    </row>
    <row r="1494" customFormat="false" ht="18" hidden="false" customHeight="true" outlineLevel="0" collapsed="false">
      <c r="A1494" s="39"/>
      <c r="B1494" s="41"/>
      <c r="C1494" s="40"/>
      <c r="D1494" s="40"/>
      <c r="E1494" s="40"/>
      <c r="F1494" s="42"/>
      <c r="G1494" s="39"/>
      <c r="H1494" s="40"/>
      <c r="I1494" s="40"/>
      <c r="J1494" s="40"/>
      <c r="K1494" s="41"/>
      <c r="L1494" s="39"/>
      <c r="M1494" s="48" t="str">
        <f aca="false">IF($E1494="","",IFERROR(INDEX(Parâmetros!$C$15:$C$20,MATCH($P1494,Parâmetros!$B$15:$B$20,0)),""))</f>
        <v/>
      </c>
      <c r="N1494" s="46" t="str">
        <f aca="false">IF($E1494="","",IF($P1494="","",IF($P1494&gt;=8,"Alta",IF($P1494&gt;=5,"Média","Baixa"))))</f>
        <v/>
      </c>
      <c r="O1494" s="46" t="str">
        <f aca="false">IF($E1494="","",IF(AND(Parâmetros!$C$5&gt;0,$P1494&lt;&gt;"",$P1494&gt;=Parâmetros!$C$5),"Sim","Não"))</f>
        <v/>
      </c>
      <c r="P1494" s="45" t="str">
        <f aca="false">IF($E1494="","",IF($G1494="","",IF($G1494="NOK",$F1494,0)))</f>
        <v/>
      </c>
      <c r="Q1494" s="46" t="str">
        <f aca="false">IF($E1494="","",IF($O1494&lt;&gt;"Sim","",COUNTIF($O$3:$O1494,"Sim")))</f>
        <v/>
      </c>
      <c r="R1494" s="47" t="n">
        <f aca="false">IF($P1494="",0,$P1494)</f>
        <v>0</v>
      </c>
    </row>
    <row r="1495" customFormat="false" ht="18" hidden="false" customHeight="true" outlineLevel="0" collapsed="false">
      <c r="A1495" s="39"/>
      <c r="B1495" s="41"/>
      <c r="C1495" s="40"/>
      <c r="D1495" s="40"/>
      <c r="E1495" s="40"/>
      <c r="F1495" s="42"/>
      <c r="G1495" s="39"/>
      <c r="H1495" s="40"/>
      <c r="I1495" s="40"/>
      <c r="J1495" s="40"/>
      <c r="K1495" s="41"/>
      <c r="L1495" s="39"/>
      <c r="M1495" s="48" t="str">
        <f aca="false">IF($E1495="","",IFERROR(INDEX(Parâmetros!$C$15:$C$20,MATCH($P1495,Parâmetros!$B$15:$B$20,0)),""))</f>
        <v/>
      </c>
      <c r="N1495" s="46" t="str">
        <f aca="false">IF($E1495="","",IF($P1495="","",IF($P1495&gt;=8,"Alta",IF($P1495&gt;=5,"Média","Baixa"))))</f>
        <v/>
      </c>
      <c r="O1495" s="46" t="str">
        <f aca="false">IF($E1495="","",IF(AND(Parâmetros!$C$5&gt;0,$P1495&lt;&gt;"",$P1495&gt;=Parâmetros!$C$5),"Sim","Não"))</f>
        <v/>
      </c>
      <c r="P1495" s="45" t="str">
        <f aca="false">IF($E1495="","",IF($G1495="","",IF($G1495="NOK",$F1495,0)))</f>
        <v/>
      </c>
      <c r="Q1495" s="46" t="str">
        <f aca="false">IF($E1495="","",IF($O1495&lt;&gt;"Sim","",COUNTIF($O$3:$O1495,"Sim")))</f>
        <v/>
      </c>
      <c r="R1495" s="47" t="n">
        <f aca="false">IF($P1495="",0,$P1495)</f>
        <v>0</v>
      </c>
    </row>
    <row r="1496" customFormat="false" ht="18" hidden="false" customHeight="true" outlineLevel="0" collapsed="false">
      <c r="A1496" s="39"/>
      <c r="B1496" s="41"/>
      <c r="C1496" s="40"/>
      <c r="D1496" s="40"/>
      <c r="E1496" s="40"/>
      <c r="F1496" s="42"/>
      <c r="G1496" s="39"/>
      <c r="H1496" s="40"/>
      <c r="I1496" s="40"/>
      <c r="J1496" s="40"/>
      <c r="K1496" s="41"/>
      <c r="L1496" s="39"/>
      <c r="M1496" s="48" t="str">
        <f aca="false">IF($E1496="","",IFERROR(INDEX(Parâmetros!$C$15:$C$20,MATCH($P1496,Parâmetros!$B$15:$B$20,0)),""))</f>
        <v/>
      </c>
      <c r="N1496" s="46" t="str">
        <f aca="false">IF($E1496="","",IF($P1496="","",IF($P1496&gt;=8,"Alta",IF($P1496&gt;=5,"Média","Baixa"))))</f>
        <v/>
      </c>
      <c r="O1496" s="46" t="str">
        <f aca="false">IF($E1496="","",IF(AND(Parâmetros!$C$5&gt;0,$P1496&lt;&gt;"",$P1496&gt;=Parâmetros!$C$5),"Sim","Não"))</f>
        <v/>
      </c>
      <c r="P1496" s="45" t="str">
        <f aca="false">IF($E1496="","",IF($G1496="","",IF($G1496="NOK",$F1496,0)))</f>
        <v/>
      </c>
      <c r="Q1496" s="46" t="str">
        <f aca="false">IF($E1496="","",IF($O1496&lt;&gt;"Sim","",COUNTIF($O$3:$O1496,"Sim")))</f>
        <v/>
      </c>
      <c r="R1496" s="47" t="n">
        <f aca="false">IF($P1496="",0,$P1496)</f>
        <v>0</v>
      </c>
    </row>
    <row r="1497" customFormat="false" ht="18" hidden="false" customHeight="true" outlineLevel="0" collapsed="false">
      <c r="A1497" s="39"/>
      <c r="B1497" s="41"/>
      <c r="C1497" s="40"/>
      <c r="D1497" s="40"/>
      <c r="E1497" s="40"/>
      <c r="F1497" s="42"/>
      <c r="G1497" s="39"/>
      <c r="H1497" s="40"/>
      <c r="I1497" s="40"/>
      <c r="J1497" s="40"/>
      <c r="K1497" s="41"/>
      <c r="L1497" s="39"/>
      <c r="M1497" s="48" t="str">
        <f aca="false">IF($E1497="","",IFERROR(INDEX(Parâmetros!$C$15:$C$20,MATCH($P1497,Parâmetros!$B$15:$B$20,0)),""))</f>
        <v/>
      </c>
      <c r="N1497" s="46" t="str">
        <f aca="false">IF($E1497="","",IF($P1497="","",IF($P1497&gt;=8,"Alta",IF($P1497&gt;=5,"Média","Baixa"))))</f>
        <v/>
      </c>
      <c r="O1497" s="46" t="str">
        <f aca="false">IF($E1497="","",IF(AND(Parâmetros!$C$5&gt;0,$P1497&lt;&gt;"",$P1497&gt;=Parâmetros!$C$5),"Sim","Não"))</f>
        <v/>
      </c>
      <c r="P1497" s="45" t="str">
        <f aca="false">IF($E1497="","",IF($G1497="","",IF($G1497="NOK",$F1497,0)))</f>
        <v/>
      </c>
      <c r="Q1497" s="46" t="str">
        <f aca="false">IF($E1497="","",IF($O1497&lt;&gt;"Sim","",COUNTIF($O$3:$O1497,"Sim")))</f>
        <v/>
      </c>
      <c r="R1497" s="47" t="n">
        <f aca="false">IF($P1497="",0,$P1497)</f>
        <v>0</v>
      </c>
    </row>
    <row r="1498" customFormat="false" ht="18" hidden="false" customHeight="true" outlineLevel="0" collapsed="false">
      <c r="A1498" s="39"/>
      <c r="B1498" s="41"/>
      <c r="C1498" s="40"/>
      <c r="D1498" s="40"/>
      <c r="E1498" s="40"/>
      <c r="F1498" s="42"/>
      <c r="G1498" s="39"/>
      <c r="H1498" s="40"/>
      <c r="I1498" s="40"/>
      <c r="J1498" s="40"/>
      <c r="K1498" s="41"/>
      <c r="L1498" s="39"/>
      <c r="M1498" s="48" t="str">
        <f aca="false">IF($E1498="","",IFERROR(INDEX(Parâmetros!$C$15:$C$20,MATCH($P1498,Parâmetros!$B$15:$B$20,0)),""))</f>
        <v/>
      </c>
      <c r="N1498" s="46" t="str">
        <f aca="false">IF($E1498="","",IF($P1498="","",IF($P1498&gt;=8,"Alta",IF($P1498&gt;=5,"Média","Baixa"))))</f>
        <v/>
      </c>
      <c r="O1498" s="46" t="str">
        <f aca="false">IF($E1498="","",IF(AND(Parâmetros!$C$5&gt;0,$P1498&lt;&gt;"",$P1498&gt;=Parâmetros!$C$5),"Sim","Não"))</f>
        <v/>
      </c>
      <c r="P1498" s="45" t="str">
        <f aca="false">IF($E1498="","",IF($G1498="","",IF($G1498="NOK",$F1498,0)))</f>
        <v/>
      </c>
      <c r="Q1498" s="46" t="str">
        <f aca="false">IF($E1498="","",IF($O1498&lt;&gt;"Sim","",COUNTIF($O$3:$O1498,"Sim")))</f>
        <v/>
      </c>
      <c r="R1498" s="47" t="n">
        <f aca="false">IF($P1498="",0,$P1498)</f>
        <v>0</v>
      </c>
    </row>
    <row r="1499" customFormat="false" ht="18" hidden="false" customHeight="true" outlineLevel="0" collapsed="false">
      <c r="A1499" s="39"/>
      <c r="B1499" s="41"/>
      <c r="C1499" s="40"/>
      <c r="D1499" s="40"/>
      <c r="E1499" s="40"/>
      <c r="F1499" s="42"/>
      <c r="G1499" s="39"/>
      <c r="H1499" s="40"/>
      <c r="I1499" s="40"/>
      <c r="J1499" s="40"/>
      <c r="K1499" s="41"/>
      <c r="L1499" s="39"/>
      <c r="M1499" s="48" t="str">
        <f aca="false">IF($E1499="","",IFERROR(INDEX(Parâmetros!$C$15:$C$20,MATCH($P1499,Parâmetros!$B$15:$B$20,0)),""))</f>
        <v/>
      </c>
      <c r="N1499" s="46" t="str">
        <f aca="false">IF($E1499="","",IF($P1499="","",IF($P1499&gt;=8,"Alta",IF($P1499&gt;=5,"Média","Baixa"))))</f>
        <v/>
      </c>
      <c r="O1499" s="46" t="str">
        <f aca="false">IF($E1499="","",IF(AND(Parâmetros!$C$5&gt;0,$P1499&lt;&gt;"",$P1499&gt;=Parâmetros!$C$5),"Sim","Não"))</f>
        <v/>
      </c>
      <c r="P1499" s="45" t="str">
        <f aca="false">IF($E1499="","",IF($G1499="","",IF($G1499="NOK",$F1499,0)))</f>
        <v/>
      </c>
      <c r="Q1499" s="46" t="str">
        <f aca="false">IF($E1499="","",IF($O1499&lt;&gt;"Sim","",COUNTIF($O$3:$O1499,"Sim")))</f>
        <v/>
      </c>
      <c r="R1499" s="47" t="n">
        <f aca="false">IF($P1499="",0,$P1499)</f>
        <v>0</v>
      </c>
    </row>
    <row r="1500" customFormat="false" ht="18" hidden="false" customHeight="true" outlineLevel="0" collapsed="false">
      <c r="A1500" s="39"/>
      <c r="B1500" s="41"/>
      <c r="C1500" s="40"/>
      <c r="D1500" s="40"/>
      <c r="E1500" s="40"/>
      <c r="F1500" s="42"/>
      <c r="G1500" s="39"/>
      <c r="H1500" s="40"/>
      <c r="I1500" s="40"/>
      <c r="J1500" s="40"/>
      <c r="K1500" s="41"/>
      <c r="L1500" s="39"/>
      <c r="M1500" s="48" t="str">
        <f aca="false">IF($E1500="","",IFERROR(INDEX(Parâmetros!$C$15:$C$20,MATCH($P1500,Parâmetros!$B$15:$B$20,0)),""))</f>
        <v/>
      </c>
      <c r="N1500" s="46" t="str">
        <f aca="false">IF($E1500="","",IF($P1500="","",IF($P1500&gt;=8,"Alta",IF($P1500&gt;=5,"Média","Baixa"))))</f>
        <v/>
      </c>
      <c r="O1500" s="46" t="str">
        <f aca="false">IF($E1500="","",IF(AND(Parâmetros!$C$5&gt;0,$P1500&lt;&gt;"",$P1500&gt;=Parâmetros!$C$5),"Sim","Não"))</f>
        <v/>
      </c>
      <c r="P1500" s="45" t="str">
        <f aca="false">IF($E1500="","",IF($G1500="","",IF($G1500="NOK",$F1500,0)))</f>
        <v/>
      </c>
      <c r="Q1500" s="46" t="str">
        <f aca="false">IF($E1500="","",IF($O1500&lt;&gt;"Sim","",COUNTIF($O$3:$O1500,"Sim")))</f>
        <v/>
      </c>
      <c r="R1500" s="47" t="n">
        <f aca="false">IF($P1500="",0,$P1500)</f>
        <v>0</v>
      </c>
    </row>
    <row r="1501" customFormat="false" ht="18" hidden="false" customHeight="true" outlineLevel="0" collapsed="false">
      <c r="A1501" s="39"/>
      <c r="B1501" s="41"/>
      <c r="C1501" s="40"/>
      <c r="D1501" s="40"/>
      <c r="E1501" s="40"/>
      <c r="F1501" s="42"/>
      <c r="G1501" s="39"/>
      <c r="H1501" s="40"/>
      <c r="I1501" s="40"/>
      <c r="J1501" s="40"/>
      <c r="K1501" s="41"/>
      <c r="L1501" s="39"/>
      <c r="M1501" s="48" t="str">
        <f aca="false">IF($E1501="","",IFERROR(INDEX(Parâmetros!$C$15:$C$20,MATCH($P1501,Parâmetros!$B$15:$B$20,0)),""))</f>
        <v/>
      </c>
      <c r="N1501" s="46" t="str">
        <f aca="false">IF($E1501="","",IF($P1501="","",IF($P1501&gt;=8,"Alta",IF($P1501&gt;=5,"Média","Baixa"))))</f>
        <v/>
      </c>
      <c r="O1501" s="46" t="str">
        <f aca="false">IF($E1501="","",IF(AND(Parâmetros!$C$5&gt;0,$P1501&lt;&gt;"",$P1501&gt;=Parâmetros!$C$5),"Sim","Não"))</f>
        <v/>
      </c>
      <c r="P1501" s="45" t="str">
        <f aca="false">IF($E1501="","",IF($G1501="","",IF($G1501="NOK",$F1501,0)))</f>
        <v/>
      </c>
      <c r="Q1501" s="46" t="str">
        <f aca="false">IF($E1501="","",IF($O1501&lt;&gt;"Sim","",COUNTIF($O$3:$O1501,"Sim")))</f>
        <v/>
      </c>
      <c r="R1501" s="47" t="n">
        <f aca="false">IF($P1501="",0,$P1501)</f>
        <v>0</v>
      </c>
    </row>
    <row r="1502" customFormat="false" ht="18" hidden="false" customHeight="true" outlineLevel="0" collapsed="false">
      <c r="A1502" s="39"/>
      <c r="B1502" s="41"/>
      <c r="C1502" s="40"/>
      <c r="D1502" s="40"/>
      <c r="E1502" s="40"/>
      <c r="F1502" s="42"/>
      <c r="G1502" s="39"/>
      <c r="H1502" s="40"/>
      <c r="I1502" s="40"/>
      <c r="J1502" s="40"/>
      <c r="K1502" s="41"/>
      <c r="L1502" s="39"/>
      <c r="M1502" s="48" t="str">
        <f aca="false">IF($E1502="","",IFERROR(INDEX(Parâmetros!$C$15:$C$20,MATCH($P1502,Parâmetros!$B$15:$B$20,0)),""))</f>
        <v/>
      </c>
      <c r="N1502" s="46" t="str">
        <f aca="false">IF($E1502="","",IF($P1502="","",IF($P1502&gt;=8,"Alta",IF($P1502&gt;=5,"Média","Baixa"))))</f>
        <v/>
      </c>
      <c r="O1502" s="46" t="str">
        <f aca="false">IF($E1502="","",IF(AND(Parâmetros!$C$5&gt;0,$P1502&lt;&gt;"",$P1502&gt;=Parâmetros!$C$5),"Sim","Não"))</f>
        <v/>
      </c>
      <c r="P1502" s="45" t="str">
        <f aca="false">IF($E1502="","",IF($G1502="","",IF($G1502="NOK",$F1502,0)))</f>
        <v/>
      </c>
      <c r="Q1502" s="46" t="str">
        <f aca="false">IF($E1502="","",IF($O1502&lt;&gt;"Sim","",COUNTIF($O$3:$O1502,"Sim")))</f>
        <v/>
      </c>
      <c r="R1502" s="47" t="n">
        <f aca="false">IF($P1502="",0,$P1502)</f>
        <v>0</v>
      </c>
    </row>
    <row r="1503" customFormat="false" ht="18" hidden="false" customHeight="true" outlineLevel="0" collapsed="false">
      <c r="A1503" s="39"/>
      <c r="B1503" s="41"/>
      <c r="C1503" s="40"/>
      <c r="D1503" s="40"/>
      <c r="E1503" s="40"/>
      <c r="F1503" s="42"/>
      <c r="G1503" s="39"/>
      <c r="H1503" s="40"/>
      <c r="I1503" s="40"/>
      <c r="J1503" s="40"/>
      <c r="K1503" s="41"/>
      <c r="L1503" s="39"/>
      <c r="M1503" s="48" t="str">
        <f aca="false">IF($E1503="","",IFERROR(INDEX(Parâmetros!$C$15:$C$20,MATCH($P1503,Parâmetros!$B$15:$B$20,0)),""))</f>
        <v/>
      </c>
      <c r="N1503" s="46" t="str">
        <f aca="false">IF($E1503="","",IF($P1503="","",IF($P1503&gt;=8,"Alta",IF($P1503&gt;=5,"Média","Baixa"))))</f>
        <v/>
      </c>
      <c r="O1503" s="46" t="str">
        <f aca="false">IF($E1503="","",IF(AND(Parâmetros!$C$5&gt;0,$P1503&lt;&gt;"",$P1503&gt;=Parâmetros!$C$5),"Sim","Não"))</f>
        <v/>
      </c>
      <c r="P1503" s="45" t="str">
        <f aca="false">IF($E1503="","",IF($G1503="","",IF($G1503="NOK",$F1503,0)))</f>
        <v/>
      </c>
      <c r="Q1503" s="46" t="str">
        <f aca="false">IF($E1503="","",IF($O1503&lt;&gt;"Sim","",COUNTIF($O$3:$O1503,"Sim")))</f>
        <v/>
      </c>
      <c r="R1503" s="47" t="n">
        <f aca="false">IF($P1503="",0,$P1503)</f>
        <v>0</v>
      </c>
    </row>
    <row r="1504" customFormat="false" ht="18" hidden="false" customHeight="true" outlineLevel="0" collapsed="false">
      <c r="A1504" s="39"/>
      <c r="B1504" s="41"/>
      <c r="C1504" s="40"/>
      <c r="D1504" s="40"/>
      <c r="E1504" s="40"/>
      <c r="F1504" s="42"/>
      <c r="G1504" s="39"/>
      <c r="H1504" s="40"/>
      <c r="I1504" s="40"/>
      <c r="J1504" s="40"/>
      <c r="K1504" s="41"/>
      <c r="L1504" s="39"/>
      <c r="M1504" s="48" t="str">
        <f aca="false">IF($E1504="","",IFERROR(INDEX(Parâmetros!$C$15:$C$20,MATCH($P1504,Parâmetros!$B$15:$B$20,0)),""))</f>
        <v/>
      </c>
      <c r="N1504" s="46" t="str">
        <f aca="false">IF($E1504="","",IF($P1504="","",IF($P1504&gt;=8,"Alta",IF($P1504&gt;=5,"Média","Baixa"))))</f>
        <v/>
      </c>
      <c r="O1504" s="46" t="str">
        <f aca="false">IF($E1504="","",IF(AND(Parâmetros!$C$5&gt;0,$P1504&lt;&gt;"",$P1504&gt;=Parâmetros!$C$5),"Sim","Não"))</f>
        <v/>
      </c>
      <c r="P1504" s="45" t="str">
        <f aca="false">IF($E1504="","",IF($G1504="","",IF($G1504="NOK",$F1504,0)))</f>
        <v/>
      </c>
      <c r="Q1504" s="46" t="str">
        <f aca="false">IF($E1504="","",IF($O1504&lt;&gt;"Sim","",COUNTIF($O$3:$O1504,"Sim")))</f>
        <v/>
      </c>
      <c r="R1504" s="47" t="n">
        <f aca="false">IF($P1504="",0,$P1504)</f>
        <v>0</v>
      </c>
    </row>
    <row r="1505" customFormat="false" ht="18" hidden="false" customHeight="true" outlineLevel="0" collapsed="false">
      <c r="A1505" s="39"/>
      <c r="B1505" s="41"/>
      <c r="C1505" s="40"/>
      <c r="D1505" s="40"/>
      <c r="E1505" s="40"/>
      <c r="F1505" s="42"/>
      <c r="G1505" s="39"/>
      <c r="H1505" s="40"/>
      <c r="I1505" s="40"/>
      <c r="J1505" s="40"/>
      <c r="K1505" s="41"/>
      <c r="L1505" s="39"/>
      <c r="M1505" s="48" t="str">
        <f aca="false">IF($E1505="","",IFERROR(INDEX(Parâmetros!$C$15:$C$20,MATCH($P1505,Parâmetros!$B$15:$B$20,0)),""))</f>
        <v/>
      </c>
      <c r="N1505" s="46" t="str">
        <f aca="false">IF($E1505="","",IF($P1505="","",IF($P1505&gt;=8,"Alta",IF($P1505&gt;=5,"Média","Baixa"))))</f>
        <v/>
      </c>
      <c r="O1505" s="46" t="str">
        <f aca="false">IF($E1505="","",IF(AND(Parâmetros!$C$5&gt;0,$P1505&lt;&gt;"",$P1505&gt;=Parâmetros!$C$5),"Sim","Não"))</f>
        <v/>
      </c>
      <c r="P1505" s="45" t="str">
        <f aca="false">IF($E1505="","",IF($G1505="","",IF($G1505="NOK",$F1505,0)))</f>
        <v/>
      </c>
      <c r="Q1505" s="46" t="str">
        <f aca="false">IF($E1505="","",IF($O1505&lt;&gt;"Sim","",COUNTIF($O$3:$O1505,"Sim")))</f>
        <v/>
      </c>
      <c r="R1505" s="47" t="n">
        <f aca="false">IF($P1505="",0,$P1505)</f>
        <v>0</v>
      </c>
    </row>
    <row r="1506" customFormat="false" ht="18" hidden="false" customHeight="true" outlineLevel="0" collapsed="false">
      <c r="A1506" s="39"/>
      <c r="B1506" s="41"/>
      <c r="C1506" s="40"/>
      <c r="D1506" s="40"/>
      <c r="E1506" s="40"/>
      <c r="F1506" s="42"/>
      <c r="G1506" s="39"/>
      <c r="H1506" s="40"/>
      <c r="I1506" s="40"/>
      <c r="J1506" s="40"/>
      <c r="K1506" s="41"/>
      <c r="L1506" s="39"/>
      <c r="M1506" s="48" t="str">
        <f aca="false">IF($E1506="","",IFERROR(INDEX(Parâmetros!$C$15:$C$20,MATCH($P1506,Parâmetros!$B$15:$B$20,0)),""))</f>
        <v/>
      </c>
      <c r="N1506" s="46" t="str">
        <f aca="false">IF($E1506="","",IF($P1506="","",IF($P1506&gt;=8,"Alta",IF($P1506&gt;=5,"Média","Baixa"))))</f>
        <v/>
      </c>
      <c r="O1506" s="46" t="str">
        <f aca="false">IF($E1506="","",IF(AND(Parâmetros!$C$5&gt;0,$P1506&lt;&gt;"",$P1506&gt;=Parâmetros!$C$5),"Sim","Não"))</f>
        <v/>
      </c>
      <c r="P1506" s="45" t="str">
        <f aca="false">IF($E1506="","",IF($G1506="","",IF($G1506="NOK",$F1506,0)))</f>
        <v/>
      </c>
      <c r="Q1506" s="46" t="str">
        <f aca="false">IF($E1506="","",IF($O1506&lt;&gt;"Sim","",COUNTIF($O$3:$O1506,"Sim")))</f>
        <v/>
      </c>
      <c r="R1506" s="47" t="n">
        <f aca="false">IF($P1506="",0,$P1506)</f>
        <v>0</v>
      </c>
    </row>
    <row r="1507" customFormat="false" ht="18" hidden="false" customHeight="true" outlineLevel="0" collapsed="false">
      <c r="A1507" s="39"/>
      <c r="B1507" s="41"/>
      <c r="C1507" s="40"/>
      <c r="D1507" s="40"/>
      <c r="E1507" s="40"/>
      <c r="F1507" s="42"/>
      <c r="G1507" s="39"/>
      <c r="H1507" s="40"/>
      <c r="I1507" s="40"/>
      <c r="J1507" s="40"/>
      <c r="K1507" s="41"/>
      <c r="L1507" s="39"/>
      <c r="M1507" s="48" t="str">
        <f aca="false">IF($E1507="","",IFERROR(INDEX(Parâmetros!$C$15:$C$20,MATCH($P1507,Parâmetros!$B$15:$B$20,0)),""))</f>
        <v/>
      </c>
      <c r="N1507" s="46" t="str">
        <f aca="false">IF($E1507="","",IF($P1507="","",IF($P1507&gt;=8,"Alta",IF($P1507&gt;=5,"Média","Baixa"))))</f>
        <v/>
      </c>
      <c r="O1507" s="46" t="str">
        <f aca="false">IF($E1507="","",IF(AND(Parâmetros!$C$5&gt;0,$P1507&lt;&gt;"",$P1507&gt;=Parâmetros!$C$5),"Sim","Não"))</f>
        <v/>
      </c>
      <c r="P1507" s="45" t="str">
        <f aca="false">IF($E1507="","",IF($G1507="","",IF($G1507="NOK",$F1507,0)))</f>
        <v/>
      </c>
      <c r="Q1507" s="46" t="str">
        <f aca="false">IF($E1507="","",IF($O1507&lt;&gt;"Sim","",COUNTIF($O$3:$O1507,"Sim")))</f>
        <v/>
      </c>
      <c r="R1507" s="47" t="n">
        <f aca="false">IF($P1507="",0,$P1507)</f>
        <v>0</v>
      </c>
    </row>
    <row r="1508" customFormat="false" ht="18" hidden="false" customHeight="true" outlineLevel="0" collapsed="false">
      <c r="A1508" s="39"/>
      <c r="B1508" s="41"/>
      <c r="C1508" s="40"/>
      <c r="D1508" s="40"/>
      <c r="E1508" s="40"/>
      <c r="F1508" s="42"/>
      <c r="G1508" s="39"/>
      <c r="H1508" s="40"/>
      <c r="I1508" s="40"/>
      <c r="J1508" s="40"/>
      <c r="K1508" s="41"/>
      <c r="L1508" s="39"/>
      <c r="M1508" s="48" t="str">
        <f aca="false">IF($E1508="","",IFERROR(INDEX(Parâmetros!$C$15:$C$20,MATCH($P1508,Parâmetros!$B$15:$B$20,0)),""))</f>
        <v/>
      </c>
      <c r="N1508" s="46" t="str">
        <f aca="false">IF($E1508="","",IF($P1508="","",IF($P1508&gt;=8,"Alta",IF($P1508&gt;=5,"Média","Baixa"))))</f>
        <v/>
      </c>
      <c r="O1508" s="46" t="str">
        <f aca="false">IF($E1508="","",IF(AND(Parâmetros!$C$5&gt;0,$P1508&lt;&gt;"",$P1508&gt;=Parâmetros!$C$5),"Sim","Não"))</f>
        <v/>
      </c>
      <c r="P1508" s="45" t="str">
        <f aca="false">IF($E1508="","",IF($G1508="","",IF($G1508="NOK",$F1508,0)))</f>
        <v/>
      </c>
      <c r="Q1508" s="46" t="str">
        <f aca="false">IF($E1508="","",IF($O1508&lt;&gt;"Sim","",COUNTIF($O$3:$O1508,"Sim")))</f>
        <v/>
      </c>
      <c r="R1508" s="47" t="n">
        <f aca="false">IF($P1508="",0,$P1508)</f>
        <v>0</v>
      </c>
    </row>
    <row r="1509" customFormat="false" ht="18" hidden="false" customHeight="true" outlineLevel="0" collapsed="false">
      <c r="A1509" s="39"/>
      <c r="B1509" s="41"/>
      <c r="C1509" s="40"/>
      <c r="D1509" s="40"/>
      <c r="E1509" s="40"/>
      <c r="F1509" s="42"/>
      <c r="G1509" s="39"/>
      <c r="H1509" s="40"/>
      <c r="I1509" s="40"/>
      <c r="J1509" s="40"/>
      <c r="K1509" s="41"/>
      <c r="L1509" s="39"/>
      <c r="M1509" s="48" t="str">
        <f aca="false">IF($E1509="","",IFERROR(INDEX(Parâmetros!$C$15:$C$20,MATCH($P1509,Parâmetros!$B$15:$B$20,0)),""))</f>
        <v/>
      </c>
      <c r="N1509" s="46" t="str">
        <f aca="false">IF($E1509="","",IF($P1509="","",IF($P1509&gt;=8,"Alta",IF($P1509&gt;=5,"Média","Baixa"))))</f>
        <v/>
      </c>
      <c r="O1509" s="46" t="str">
        <f aca="false">IF($E1509="","",IF(AND(Parâmetros!$C$5&gt;0,$P1509&lt;&gt;"",$P1509&gt;=Parâmetros!$C$5),"Sim","Não"))</f>
        <v/>
      </c>
      <c r="P1509" s="45" t="str">
        <f aca="false">IF($E1509="","",IF($G1509="","",IF($G1509="NOK",$F1509,0)))</f>
        <v/>
      </c>
      <c r="Q1509" s="46" t="str">
        <f aca="false">IF($E1509="","",IF($O1509&lt;&gt;"Sim","",COUNTIF($O$3:$O1509,"Sim")))</f>
        <v/>
      </c>
      <c r="R1509" s="47" t="n">
        <f aca="false">IF($P1509="",0,$P1509)</f>
        <v>0</v>
      </c>
    </row>
    <row r="1510" customFormat="false" ht="18" hidden="false" customHeight="true" outlineLevel="0" collapsed="false">
      <c r="A1510" s="39"/>
      <c r="B1510" s="41"/>
      <c r="C1510" s="40"/>
      <c r="D1510" s="40"/>
      <c r="E1510" s="40"/>
      <c r="F1510" s="42"/>
      <c r="G1510" s="39"/>
      <c r="H1510" s="40"/>
      <c r="I1510" s="40"/>
      <c r="J1510" s="40"/>
      <c r="K1510" s="41"/>
      <c r="L1510" s="39"/>
      <c r="M1510" s="48" t="str">
        <f aca="false">IF($E1510="","",IFERROR(INDEX(Parâmetros!$C$15:$C$20,MATCH($P1510,Parâmetros!$B$15:$B$20,0)),""))</f>
        <v/>
      </c>
      <c r="N1510" s="46" t="str">
        <f aca="false">IF($E1510="","",IF($P1510="","",IF($P1510&gt;=8,"Alta",IF($P1510&gt;=5,"Média","Baixa"))))</f>
        <v/>
      </c>
      <c r="O1510" s="46" t="str">
        <f aca="false">IF($E1510="","",IF(AND(Parâmetros!$C$5&gt;0,$P1510&lt;&gt;"",$P1510&gt;=Parâmetros!$C$5),"Sim","Não"))</f>
        <v/>
      </c>
      <c r="P1510" s="45" t="str">
        <f aca="false">IF($E1510="","",IF($G1510="","",IF($G1510="NOK",$F1510,0)))</f>
        <v/>
      </c>
      <c r="Q1510" s="46" t="str">
        <f aca="false">IF($E1510="","",IF($O1510&lt;&gt;"Sim","",COUNTIF($O$3:$O1510,"Sim")))</f>
        <v/>
      </c>
      <c r="R1510" s="47" t="n">
        <f aca="false">IF($P1510="",0,$P1510)</f>
        <v>0</v>
      </c>
    </row>
    <row r="1511" customFormat="false" ht="18" hidden="false" customHeight="true" outlineLevel="0" collapsed="false">
      <c r="A1511" s="39"/>
      <c r="B1511" s="41"/>
      <c r="C1511" s="40"/>
      <c r="D1511" s="40"/>
      <c r="E1511" s="40"/>
      <c r="F1511" s="42"/>
      <c r="G1511" s="39"/>
      <c r="H1511" s="40"/>
      <c r="I1511" s="40"/>
      <c r="J1511" s="40"/>
      <c r="K1511" s="41"/>
      <c r="L1511" s="39"/>
      <c r="M1511" s="48" t="str">
        <f aca="false">IF($E1511="","",IFERROR(INDEX(Parâmetros!$C$15:$C$20,MATCH($P1511,Parâmetros!$B$15:$B$20,0)),""))</f>
        <v/>
      </c>
      <c r="N1511" s="46" t="str">
        <f aca="false">IF($E1511="","",IF($P1511="","",IF($P1511&gt;=8,"Alta",IF($P1511&gt;=5,"Média","Baixa"))))</f>
        <v/>
      </c>
      <c r="O1511" s="46" t="str">
        <f aca="false">IF($E1511="","",IF(AND(Parâmetros!$C$5&gt;0,$P1511&lt;&gt;"",$P1511&gt;=Parâmetros!$C$5),"Sim","Não"))</f>
        <v/>
      </c>
      <c r="P1511" s="45" t="str">
        <f aca="false">IF($E1511="","",IF($G1511="","",IF($G1511="NOK",$F1511,0)))</f>
        <v/>
      </c>
      <c r="Q1511" s="46" t="str">
        <f aca="false">IF($E1511="","",IF($O1511&lt;&gt;"Sim","",COUNTIF($O$3:$O1511,"Sim")))</f>
        <v/>
      </c>
      <c r="R1511" s="47" t="n">
        <f aca="false">IF($P1511="",0,$P1511)</f>
        <v>0</v>
      </c>
    </row>
    <row r="1512" customFormat="false" ht="18" hidden="false" customHeight="true" outlineLevel="0" collapsed="false">
      <c r="A1512" s="39"/>
      <c r="B1512" s="41"/>
      <c r="C1512" s="40"/>
      <c r="D1512" s="40"/>
      <c r="E1512" s="40"/>
      <c r="F1512" s="42"/>
      <c r="G1512" s="39"/>
      <c r="H1512" s="40"/>
      <c r="I1512" s="40"/>
      <c r="J1512" s="40"/>
      <c r="K1512" s="41"/>
      <c r="L1512" s="39"/>
      <c r="M1512" s="48" t="str">
        <f aca="false">IF($E1512="","",IFERROR(INDEX(Parâmetros!$C$15:$C$20,MATCH($P1512,Parâmetros!$B$15:$B$20,0)),""))</f>
        <v/>
      </c>
      <c r="N1512" s="46" t="str">
        <f aca="false">IF($E1512="","",IF($P1512="","",IF($P1512&gt;=8,"Alta",IF($P1512&gt;=5,"Média","Baixa"))))</f>
        <v/>
      </c>
      <c r="O1512" s="46" t="str">
        <f aca="false">IF($E1512="","",IF(AND(Parâmetros!$C$5&gt;0,$P1512&lt;&gt;"",$P1512&gt;=Parâmetros!$C$5),"Sim","Não"))</f>
        <v/>
      </c>
      <c r="P1512" s="45" t="str">
        <f aca="false">IF($E1512="","",IF($G1512="","",IF($G1512="NOK",$F1512,0)))</f>
        <v/>
      </c>
      <c r="Q1512" s="46" t="str">
        <f aca="false">IF($E1512="","",IF($O1512&lt;&gt;"Sim","",COUNTIF($O$3:$O1512,"Sim")))</f>
        <v/>
      </c>
      <c r="R1512" s="47" t="n">
        <f aca="false">IF($P1512="",0,$P1512)</f>
        <v>0</v>
      </c>
    </row>
    <row r="1513" customFormat="false" ht="18" hidden="false" customHeight="true" outlineLevel="0" collapsed="false">
      <c r="A1513" s="39"/>
      <c r="B1513" s="41"/>
      <c r="C1513" s="40"/>
      <c r="D1513" s="40"/>
      <c r="E1513" s="40"/>
      <c r="F1513" s="42"/>
      <c r="G1513" s="39"/>
      <c r="H1513" s="40"/>
      <c r="I1513" s="40"/>
      <c r="J1513" s="40"/>
      <c r="K1513" s="41"/>
      <c r="L1513" s="39"/>
      <c r="M1513" s="48" t="str">
        <f aca="false">IF($E1513="","",IFERROR(INDEX(Parâmetros!$C$15:$C$20,MATCH($P1513,Parâmetros!$B$15:$B$20,0)),""))</f>
        <v/>
      </c>
      <c r="N1513" s="46" t="str">
        <f aca="false">IF($E1513="","",IF($P1513="","",IF($P1513&gt;=8,"Alta",IF($P1513&gt;=5,"Média","Baixa"))))</f>
        <v/>
      </c>
      <c r="O1513" s="46" t="str">
        <f aca="false">IF($E1513="","",IF(AND(Parâmetros!$C$5&gt;0,$P1513&lt;&gt;"",$P1513&gt;=Parâmetros!$C$5),"Sim","Não"))</f>
        <v/>
      </c>
      <c r="P1513" s="45" t="str">
        <f aca="false">IF($E1513="","",IF($G1513="","",IF($G1513="NOK",$F1513,0)))</f>
        <v/>
      </c>
      <c r="Q1513" s="46" t="str">
        <f aca="false">IF($E1513="","",IF($O1513&lt;&gt;"Sim","",COUNTIF($O$3:$O1513,"Sim")))</f>
        <v/>
      </c>
      <c r="R1513" s="47" t="n">
        <f aca="false">IF($P1513="",0,$P1513)</f>
        <v>0</v>
      </c>
    </row>
    <row r="1514" customFormat="false" ht="18" hidden="false" customHeight="true" outlineLevel="0" collapsed="false">
      <c r="A1514" s="39"/>
      <c r="B1514" s="41"/>
      <c r="C1514" s="40"/>
      <c r="D1514" s="40"/>
      <c r="E1514" s="40"/>
      <c r="F1514" s="42"/>
      <c r="G1514" s="39"/>
      <c r="H1514" s="40"/>
      <c r="I1514" s="40"/>
      <c r="J1514" s="40"/>
      <c r="K1514" s="41"/>
      <c r="L1514" s="39"/>
      <c r="M1514" s="48" t="str">
        <f aca="false">IF($E1514="","",IFERROR(INDEX(Parâmetros!$C$15:$C$20,MATCH($P1514,Parâmetros!$B$15:$B$20,0)),""))</f>
        <v/>
      </c>
      <c r="N1514" s="46" t="str">
        <f aca="false">IF($E1514="","",IF($P1514="","",IF($P1514&gt;=8,"Alta",IF($P1514&gt;=5,"Média","Baixa"))))</f>
        <v/>
      </c>
      <c r="O1514" s="46" t="str">
        <f aca="false">IF($E1514="","",IF(AND(Parâmetros!$C$5&gt;0,$P1514&lt;&gt;"",$P1514&gt;=Parâmetros!$C$5),"Sim","Não"))</f>
        <v/>
      </c>
      <c r="P1514" s="45" t="str">
        <f aca="false">IF($E1514="","",IF($G1514="","",IF($G1514="NOK",$F1514,0)))</f>
        <v/>
      </c>
      <c r="Q1514" s="46" t="str">
        <f aca="false">IF($E1514="","",IF($O1514&lt;&gt;"Sim","",COUNTIF($O$3:$O1514,"Sim")))</f>
        <v/>
      </c>
      <c r="R1514" s="47" t="n">
        <f aca="false">IF($P1514="",0,$P1514)</f>
        <v>0</v>
      </c>
    </row>
    <row r="1515" customFormat="false" ht="18" hidden="false" customHeight="true" outlineLevel="0" collapsed="false">
      <c r="A1515" s="39"/>
      <c r="B1515" s="41"/>
      <c r="C1515" s="40"/>
      <c r="D1515" s="40"/>
      <c r="E1515" s="40"/>
      <c r="F1515" s="42"/>
      <c r="G1515" s="39"/>
      <c r="H1515" s="40"/>
      <c r="I1515" s="40"/>
      <c r="J1515" s="40"/>
      <c r="K1515" s="41"/>
      <c r="L1515" s="39"/>
      <c r="M1515" s="48" t="str">
        <f aca="false">IF($E1515="","",IFERROR(INDEX(Parâmetros!$C$15:$C$20,MATCH($P1515,Parâmetros!$B$15:$B$20,0)),""))</f>
        <v/>
      </c>
      <c r="N1515" s="46" t="str">
        <f aca="false">IF($E1515="","",IF($P1515="","",IF($P1515&gt;=8,"Alta",IF($P1515&gt;=5,"Média","Baixa"))))</f>
        <v/>
      </c>
      <c r="O1515" s="46" t="str">
        <f aca="false">IF($E1515="","",IF(AND(Parâmetros!$C$5&gt;0,$P1515&lt;&gt;"",$P1515&gt;=Parâmetros!$C$5),"Sim","Não"))</f>
        <v/>
      </c>
      <c r="P1515" s="45" t="str">
        <f aca="false">IF($E1515="","",IF($G1515="","",IF($G1515="NOK",$F1515,0)))</f>
        <v/>
      </c>
      <c r="Q1515" s="46" t="str">
        <f aca="false">IF($E1515="","",IF($O1515&lt;&gt;"Sim","",COUNTIF($O$3:$O1515,"Sim")))</f>
        <v/>
      </c>
      <c r="R1515" s="47" t="n">
        <f aca="false">IF($P1515="",0,$P1515)</f>
        <v>0</v>
      </c>
    </row>
    <row r="1516" customFormat="false" ht="18" hidden="false" customHeight="true" outlineLevel="0" collapsed="false">
      <c r="A1516" s="39"/>
      <c r="B1516" s="41"/>
      <c r="C1516" s="40"/>
      <c r="D1516" s="40"/>
      <c r="E1516" s="40"/>
      <c r="F1516" s="42"/>
      <c r="G1516" s="39"/>
      <c r="H1516" s="40"/>
      <c r="I1516" s="40"/>
      <c r="J1516" s="40"/>
      <c r="K1516" s="41"/>
      <c r="L1516" s="39"/>
      <c r="M1516" s="48" t="str">
        <f aca="false">IF($E1516="","",IFERROR(INDEX(Parâmetros!$C$15:$C$20,MATCH($P1516,Parâmetros!$B$15:$B$20,0)),""))</f>
        <v/>
      </c>
      <c r="N1516" s="46" t="str">
        <f aca="false">IF($E1516="","",IF($P1516="","",IF($P1516&gt;=8,"Alta",IF($P1516&gt;=5,"Média","Baixa"))))</f>
        <v/>
      </c>
      <c r="O1516" s="46" t="str">
        <f aca="false">IF($E1516="","",IF(AND(Parâmetros!$C$5&gt;0,$P1516&lt;&gt;"",$P1516&gt;=Parâmetros!$C$5),"Sim","Não"))</f>
        <v/>
      </c>
      <c r="P1516" s="45" t="str">
        <f aca="false">IF($E1516="","",IF($G1516="","",IF($G1516="NOK",$F1516,0)))</f>
        <v/>
      </c>
      <c r="Q1516" s="46" t="str">
        <f aca="false">IF($E1516="","",IF($O1516&lt;&gt;"Sim","",COUNTIF($O$3:$O1516,"Sim")))</f>
        <v/>
      </c>
      <c r="R1516" s="47" t="n">
        <f aca="false">IF($P1516="",0,$P1516)</f>
        <v>0</v>
      </c>
    </row>
    <row r="1517" customFormat="false" ht="18" hidden="false" customHeight="true" outlineLevel="0" collapsed="false">
      <c r="A1517" s="39"/>
      <c r="B1517" s="41"/>
      <c r="C1517" s="40"/>
      <c r="D1517" s="40"/>
      <c r="E1517" s="40"/>
      <c r="F1517" s="42"/>
      <c r="G1517" s="39"/>
      <c r="H1517" s="40"/>
      <c r="I1517" s="40"/>
      <c r="J1517" s="40"/>
      <c r="K1517" s="41"/>
      <c r="L1517" s="39"/>
      <c r="M1517" s="48" t="str">
        <f aca="false">IF($E1517="","",IFERROR(INDEX(Parâmetros!$C$15:$C$20,MATCH($P1517,Parâmetros!$B$15:$B$20,0)),""))</f>
        <v/>
      </c>
      <c r="N1517" s="46" t="str">
        <f aca="false">IF($E1517="","",IF($P1517="","",IF($P1517&gt;=8,"Alta",IF($P1517&gt;=5,"Média","Baixa"))))</f>
        <v/>
      </c>
      <c r="O1517" s="46" t="str">
        <f aca="false">IF($E1517="","",IF(AND(Parâmetros!$C$5&gt;0,$P1517&lt;&gt;"",$P1517&gt;=Parâmetros!$C$5),"Sim","Não"))</f>
        <v/>
      </c>
      <c r="P1517" s="45" t="str">
        <f aca="false">IF($E1517="","",IF($G1517="","",IF($G1517="NOK",$F1517,0)))</f>
        <v/>
      </c>
      <c r="Q1517" s="46" t="str">
        <f aca="false">IF($E1517="","",IF($O1517&lt;&gt;"Sim","",COUNTIF($O$3:$O1517,"Sim")))</f>
        <v/>
      </c>
      <c r="R1517" s="47" t="n">
        <f aca="false">IF($P1517="",0,$P1517)</f>
        <v>0</v>
      </c>
    </row>
    <row r="1518" customFormat="false" ht="18" hidden="false" customHeight="true" outlineLevel="0" collapsed="false">
      <c r="A1518" s="39"/>
      <c r="B1518" s="41"/>
      <c r="C1518" s="40"/>
      <c r="D1518" s="40"/>
      <c r="E1518" s="40"/>
      <c r="F1518" s="42"/>
      <c r="G1518" s="39"/>
      <c r="H1518" s="40"/>
      <c r="I1518" s="40"/>
      <c r="J1518" s="40"/>
      <c r="K1518" s="41"/>
      <c r="L1518" s="39"/>
      <c r="M1518" s="48" t="str">
        <f aca="false">IF($E1518="","",IFERROR(INDEX(Parâmetros!$C$15:$C$20,MATCH($P1518,Parâmetros!$B$15:$B$20,0)),""))</f>
        <v/>
      </c>
      <c r="N1518" s="46" t="str">
        <f aca="false">IF($E1518="","",IF($P1518="","",IF($P1518&gt;=8,"Alta",IF($P1518&gt;=5,"Média","Baixa"))))</f>
        <v/>
      </c>
      <c r="O1518" s="46" t="str">
        <f aca="false">IF($E1518="","",IF(AND(Parâmetros!$C$5&gt;0,$P1518&lt;&gt;"",$P1518&gt;=Parâmetros!$C$5),"Sim","Não"))</f>
        <v/>
      </c>
      <c r="P1518" s="45" t="str">
        <f aca="false">IF($E1518="","",IF($G1518="","",IF($G1518="NOK",$F1518,0)))</f>
        <v/>
      </c>
      <c r="Q1518" s="46" t="str">
        <f aca="false">IF($E1518="","",IF($O1518&lt;&gt;"Sim","",COUNTIF($O$3:$O1518,"Sim")))</f>
        <v/>
      </c>
      <c r="R1518" s="47" t="n">
        <f aca="false">IF($P1518="",0,$P1518)</f>
        <v>0</v>
      </c>
    </row>
    <row r="1519" customFormat="false" ht="18" hidden="false" customHeight="true" outlineLevel="0" collapsed="false">
      <c r="A1519" s="39"/>
      <c r="B1519" s="41"/>
      <c r="C1519" s="40"/>
      <c r="D1519" s="40"/>
      <c r="E1519" s="40"/>
      <c r="F1519" s="42"/>
      <c r="G1519" s="39"/>
      <c r="H1519" s="40"/>
      <c r="I1519" s="40"/>
      <c r="J1519" s="40"/>
      <c r="K1519" s="41"/>
      <c r="L1519" s="39"/>
      <c r="M1519" s="48" t="str">
        <f aca="false">IF($E1519="","",IFERROR(INDEX(Parâmetros!$C$15:$C$20,MATCH($P1519,Parâmetros!$B$15:$B$20,0)),""))</f>
        <v/>
      </c>
      <c r="N1519" s="46" t="str">
        <f aca="false">IF($E1519="","",IF($P1519="","",IF($P1519&gt;=8,"Alta",IF($P1519&gt;=5,"Média","Baixa"))))</f>
        <v/>
      </c>
      <c r="O1519" s="46" t="str">
        <f aca="false">IF($E1519="","",IF(AND(Parâmetros!$C$5&gt;0,$P1519&lt;&gt;"",$P1519&gt;=Parâmetros!$C$5),"Sim","Não"))</f>
        <v/>
      </c>
      <c r="P1519" s="45" t="str">
        <f aca="false">IF($E1519="","",IF($G1519="","",IF($G1519="NOK",$F1519,0)))</f>
        <v/>
      </c>
      <c r="Q1519" s="46" t="str">
        <f aca="false">IF($E1519="","",IF($O1519&lt;&gt;"Sim","",COUNTIF($O$3:$O1519,"Sim")))</f>
        <v/>
      </c>
      <c r="R1519" s="47" t="n">
        <f aca="false">IF($P1519="",0,$P1519)</f>
        <v>0</v>
      </c>
    </row>
    <row r="1520" customFormat="false" ht="18" hidden="false" customHeight="true" outlineLevel="0" collapsed="false">
      <c r="A1520" s="39"/>
      <c r="B1520" s="41"/>
      <c r="C1520" s="40"/>
      <c r="D1520" s="40"/>
      <c r="E1520" s="40"/>
      <c r="F1520" s="42"/>
      <c r="G1520" s="39"/>
      <c r="H1520" s="40"/>
      <c r="I1520" s="40"/>
      <c r="J1520" s="40"/>
      <c r="K1520" s="41"/>
      <c r="L1520" s="39"/>
      <c r="M1520" s="48" t="str">
        <f aca="false">IF($E1520="","",IFERROR(INDEX(Parâmetros!$C$15:$C$20,MATCH($P1520,Parâmetros!$B$15:$B$20,0)),""))</f>
        <v/>
      </c>
      <c r="N1520" s="46" t="str">
        <f aca="false">IF($E1520="","",IF($P1520="","",IF($P1520&gt;=8,"Alta",IF($P1520&gt;=5,"Média","Baixa"))))</f>
        <v/>
      </c>
      <c r="O1520" s="46" t="str">
        <f aca="false">IF($E1520="","",IF(AND(Parâmetros!$C$5&gt;0,$P1520&lt;&gt;"",$P1520&gt;=Parâmetros!$C$5),"Sim","Não"))</f>
        <v/>
      </c>
      <c r="P1520" s="45" t="str">
        <f aca="false">IF($E1520="","",IF($G1520="","",IF($G1520="NOK",$F1520,0)))</f>
        <v/>
      </c>
      <c r="Q1520" s="46" t="str">
        <f aca="false">IF($E1520="","",IF($O1520&lt;&gt;"Sim","",COUNTIF($O$3:$O1520,"Sim")))</f>
        <v/>
      </c>
      <c r="R1520" s="47" t="n">
        <f aca="false">IF($P1520="",0,$P1520)</f>
        <v>0</v>
      </c>
    </row>
    <row r="1521" customFormat="false" ht="18" hidden="false" customHeight="true" outlineLevel="0" collapsed="false">
      <c r="A1521" s="39"/>
      <c r="B1521" s="41"/>
      <c r="C1521" s="40"/>
      <c r="D1521" s="40"/>
      <c r="E1521" s="40"/>
      <c r="F1521" s="42"/>
      <c r="G1521" s="39"/>
      <c r="H1521" s="40"/>
      <c r="I1521" s="40"/>
      <c r="J1521" s="40"/>
      <c r="K1521" s="41"/>
      <c r="L1521" s="39"/>
      <c r="M1521" s="48" t="str">
        <f aca="false">IF($E1521="","",IFERROR(INDEX(Parâmetros!$C$15:$C$20,MATCH($P1521,Parâmetros!$B$15:$B$20,0)),""))</f>
        <v/>
      </c>
      <c r="N1521" s="46" t="str">
        <f aca="false">IF($E1521="","",IF($P1521="","",IF($P1521&gt;=8,"Alta",IF($P1521&gt;=5,"Média","Baixa"))))</f>
        <v/>
      </c>
      <c r="O1521" s="46" t="str">
        <f aca="false">IF($E1521="","",IF(AND(Parâmetros!$C$5&gt;0,$P1521&lt;&gt;"",$P1521&gt;=Parâmetros!$C$5),"Sim","Não"))</f>
        <v/>
      </c>
      <c r="P1521" s="45" t="str">
        <f aca="false">IF($E1521="","",IF($G1521="","",IF($G1521="NOK",$F1521,0)))</f>
        <v/>
      </c>
      <c r="Q1521" s="46" t="str">
        <f aca="false">IF($E1521="","",IF($O1521&lt;&gt;"Sim","",COUNTIF($O$3:$O1521,"Sim")))</f>
        <v/>
      </c>
      <c r="R1521" s="47" t="n">
        <f aca="false">IF($P1521="",0,$P1521)</f>
        <v>0</v>
      </c>
    </row>
    <row r="1522" customFormat="false" ht="18" hidden="false" customHeight="true" outlineLevel="0" collapsed="false">
      <c r="A1522" s="39"/>
      <c r="B1522" s="41"/>
      <c r="C1522" s="40"/>
      <c r="D1522" s="40"/>
      <c r="E1522" s="40"/>
      <c r="F1522" s="42"/>
      <c r="G1522" s="39"/>
      <c r="H1522" s="40"/>
      <c r="I1522" s="40"/>
      <c r="J1522" s="40"/>
      <c r="K1522" s="41"/>
      <c r="L1522" s="39"/>
      <c r="M1522" s="48" t="str">
        <f aca="false">IF($E1522="","",IFERROR(INDEX(Parâmetros!$C$15:$C$20,MATCH($P1522,Parâmetros!$B$15:$B$20,0)),""))</f>
        <v/>
      </c>
      <c r="N1522" s="46" t="str">
        <f aca="false">IF($E1522="","",IF($P1522="","",IF($P1522&gt;=8,"Alta",IF($P1522&gt;=5,"Média","Baixa"))))</f>
        <v/>
      </c>
      <c r="O1522" s="46" t="str">
        <f aca="false">IF($E1522="","",IF(AND(Parâmetros!$C$5&gt;0,$P1522&lt;&gt;"",$P1522&gt;=Parâmetros!$C$5),"Sim","Não"))</f>
        <v/>
      </c>
      <c r="P1522" s="45" t="str">
        <f aca="false">IF($E1522="","",IF($G1522="","",IF($G1522="NOK",$F1522,0)))</f>
        <v/>
      </c>
      <c r="Q1522" s="46" t="str">
        <f aca="false">IF($E1522="","",IF($O1522&lt;&gt;"Sim","",COUNTIF($O$3:$O1522,"Sim")))</f>
        <v/>
      </c>
      <c r="R1522" s="47" t="n">
        <f aca="false">IF($P1522="",0,$P1522)</f>
        <v>0</v>
      </c>
    </row>
    <row r="1523" customFormat="false" ht="18" hidden="false" customHeight="true" outlineLevel="0" collapsed="false">
      <c r="A1523" s="39"/>
      <c r="B1523" s="41"/>
      <c r="C1523" s="40"/>
      <c r="D1523" s="40"/>
      <c r="E1523" s="40"/>
      <c r="F1523" s="42"/>
      <c r="G1523" s="39"/>
      <c r="H1523" s="40"/>
      <c r="I1523" s="40"/>
      <c r="J1523" s="40"/>
      <c r="K1523" s="41"/>
      <c r="L1523" s="39"/>
      <c r="M1523" s="48" t="str">
        <f aca="false">IF($E1523="","",IFERROR(INDEX(Parâmetros!$C$15:$C$20,MATCH($P1523,Parâmetros!$B$15:$B$20,0)),""))</f>
        <v/>
      </c>
      <c r="N1523" s="46" t="str">
        <f aca="false">IF($E1523="","",IF($P1523="","",IF($P1523&gt;=8,"Alta",IF($P1523&gt;=5,"Média","Baixa"))))</f>
        <v/>
      </c>
      <c r="O1523" s="46" t="str">
        <f aca="false">IF($E1523="","",IF(AND(Parâmetros!$C$5&gt;0,$P1523&lt;&gt;"",$P1523&gt;=Parâmetros!$C$5),"Sim","Não"))</f>
        <v/>
      </c>
      <c r="P1523" s="45" t="str">
        <f aca="false">IF($E1523="","",IF($G1523="","",IF($G1523="NOK",$F1523,0)))</f>
        <v/>
      </c>
      <c r="Q1523" s="46" t="str">
        <f aca="false">IF($E1523="","",IF($O1523&lt;&gt;"Sim","",COUNTIF($O$3:$O1523,"Sim")))</f>
        <v/>
      </c>
      <c r="R1523" s="47" t="n">
        <f aca="false">IF($P1523="",0,$P1523)</f>
        <v>0</v>
      </c>
    </row>
    <row r="1524" customFormat="false" ht="18" hidden="false" customHeight="true" outlineLevel="0" collapsed="false">
      <c r="A1524" s="39"/>
      <c r="B1524" s="41"/>
      <c r="C1524" s="40"/>
      <c r="D1524" s="40"/>
      <c r="E1524" s="40"/>
      <c r="F1524" s="42"/>
      <c r="G1524" s="39"/>
      <c r="H1524" s="40"/>
      <c r="I1524" s="40"/>
      <c r="J1524" s="40"/>
      <c r="K1524" s="41"/>
      <c r="L1524" s="39"/>
      <c r="M1524" s="48" t="str">
        <f aca="false">IF($E1524="","",IFERROR(INDEX(Parâmetros!$C$15:$C$20,MATCH($P1524,Parâmetros!$B$15:$B$20,0)),""))</f>
        <v/>
      </c>
      <c r="N1524" s="46" t="str">
        <f aca="false">IF($E1524="","",IF($P1524="","",IF($P1524&gt;=8,"Alta",IF($P1524&gt;=5,"Média","Baixa"))))</f>
        <v/>
      </c>
      <c r="O1524" s="46" t="str">
        <f aca="false">IF($E1524="","",IF(AND(Parâmetros!$C$5&gt;0,$P1524&lt;&gt;"",$P1524&gt;=Parâmetros!$C$5),"Sim","Não"))</f>
        <v/>
      </c>
      <c r="P1524" s="45" t="str">
        <f aca="false">IF($E1524="","",IF($G1524="","",IF($G1524="NOK",$F1524,0)))</f>
        <v/>
      </c>
      <c r="Q1524" s="46" t="str">
        <f aca="false">IF($E1524="","",IF($O1524&lt;&gt;"Sim","",COUNTIF($O$3:$O1524,"Sim")))</f>
        <v/>
      </c>
      <c r="R1524" s="47" t="n">
        <f aca="false">IF($P1524="",0,$P1524)</f>
        <v>0</v>
      </c>
    </row>
    <row r="1525" customFormat="false" ht="18" hidden="false" customHeight="true" outlineLevel="0" collapsed="false">
      <c r="A1525" s="39"/>
      <c r="B1525" s="41"/>
      <c r="C1525" s="40"/>
      <c r="D1525" s="40"/>
      <c r="E1525" s="40"/>
      <c r="F1525" s="42"/>
      <c r="G1525" s="39"/>
      <c r="H1525" s="40"/>
      <c r="I1525" s="40"/>
      <c r="J1525" s="40"/>
      <c r="K1525" s="41"/>
      <c r="L1525" s="39"/>
      <c r="M1525" s="48" t="str">
        <f aca="false">IF($E1525="","",IFERROR(INDEX(Parâmetros!$C$15:$C$20,MATCH($P1525,Parâmetros!$B$15:$B$20,0)),""))</f>
        <v/>
      </c>
      <c r="N1525" s="46" t="str">
        <f aca="false">IF($E1525="","",IF($P1525="","",IF($P1525&gt;=8,"Alta",IF($P1525&gt;=5,"Média","Baixa"))))</f>
        <v/>
      </c>
      <c r="O1525" s="46" t="str">
        <f aca="false">IF($E1525="","",IF(AND(Parâmetros!$C$5&gt;0,$P1525&lt;&gt;"",$P1525&gt;=Parâmetros!$C$5),"Sim","Não"))</f>
        <v/>
      </c>
      <c r="P1525" s="45" t="str">
        <f aca="false">IF($E1525="","",IF($G1525="","",IF($G1525="NOK",$F1525,0)))</f>
        <v/>
      </c>
      <c r="Q1525" s="46" t="str">
        <f aca="false">IF($E1525="","",IF($O1525&lt;&gt;"Sim","",COUNTIF($O$3:$O1525,"Sim")))</f>
        <v/>
      </c>
      <c r="R1525" s="47" t="n">
        <f aca="false">IF($P1525="",0,$P1525)</f>
        <v>0</v>
      </c>
    </row>
    <row r="1526" customFormat="false" ht="18" hidden="false" customHeight="true" outlineLevel="0" collapsed="false">
      <c r="A1526" s="39"/>
      <c r="B1526" s="41"/>
      <c r="C1526" s="40"/>
      <c r="D1526" s="40"/>
      <c r="E1526" s="40"/>
      <c r="F1526" s="42"/>
      <c r="G1526" s="39"/>
      <c r="H1526" s="40"/>
      <c r="I1526" s="40"/>
      <c r="J1526" s="40"/>
      <c r="K1526" s="41"/>
      <c r="L1526" s="39"/>
      <c r="M1526" s="48" t="str">
        <f aca="false">IF($E1526="","",IFERROR(INDEX(Parâmetros!$C$15:$C$20,MATCH($P1526,Parâmetros!$B$15:$B$20,0)),""))</f>
        <v/>
      </c>
      <c r="N1526" s="46" t="str">
        <f aca="false">IF($E1526="","",IF($P1526="","",IF($P1526&gt;=8,"Alta",IF($P1526&gt;=5,"Média","Baixa"))))</f>
        <v/>
      </c>
      <c r="O1526" s="46" t="str">
        <f aca="false">IF($E1526="","",IF(AND(Parâmetros!$C$5&gt;0,$P1526&lt;&gt;"",$P1526&gt;=Parâmetros!$C$5),"Sim","Não"))</f>
        <v/>
      </c>
      <c r="P1526" s="45" t="str">
        <f aca="false">IF($E1526="","",IF($G1526="","",IF($G1526="NOK",$F1526,0)))</f>
        <v/>
      </c>
      <c r="Q1526" s="46" t="str">
        <f aca="false">IF($E1526="","",IF($O1526&lt;&gt;"Sim","",COUNTIF($O$3:$O1526,"Sim")))</f>
        <v/>
      </c>
      <c r="R1526" s="47" t="n">
        <f aca="false">IF($P1526="",0,$P1526)</f>
        <v>0</v>
      </c>
    </row>
    <row r="1527" customFormat="false" ht="18" hidden="false" customHeight="true" outlineLevel="0" collapsed="false">
      <c r="A1527" s="39"/>
      <c r="B1527" s="41"/>
      <c r="C1527" s="40"/>
      <c r="D1527" s="40"/>
      <c r="E1527" s="40"/>
      <c r="F1527" s="42"/>
      <c r="G1527" s="39"/>
      <c r="H1527" s="40"/>
      <c r="I1527" s="40"/>
      <c r="J1527" s="40"/>
      <c r="K1527" s="41"/>
      <c r="L1527" s="39"/>
      <c r="M1527" s="48" t="str">
        <f aca="false">IF($E1527="","",IFERROR(INDEX(Parâmetros!$C$15:$C$20,MATCH($P1527,Parâmetros!$B$15:$B$20,0)),""))</f>
        <v/>
      </c>
      <c r="N1527" s="46" t="str">
        <f aca="false">IF($E1527="","",IF($P1527="","",IF($P1527&gt;=8,"Alta",IF($P1527&gt;=5,"Média","Baixa"))))</f>
        <v/>
      </c>
      <c r="O1527" s="46" t="str">
        <f aca="false">IF($E1527="","",IF(AND(Parâmetros!$C$5&gt;0,$P1527&lt;&gt;"",$P1527&gt;=Parâmetros!$C$5),"Sim","Não"))</f>
        <v/>
      </c>
      <c r="P1527" s="45" t="str">
        <f aca="false">IF($E1527="","",IF($G1527="","",IF($G1527="NOK",$F1527,0)))</f>
        <v/>
      </c>
      <c r="Q1527" s="46" t="str">
        <f aca="false">IF($E1527="","",IF($O1527&lt;&gt;"Sim","",COUNTIF($O$3:$O1527,"Sim")))</f>
        <v/>
      </c>
      <c r="R1527" s="47" t="n">
        <f aca="false">IF($P1527="",0,$P1527)</f>
        <v>0</v>
      </c>
    </row>
    <row r="1528" customFormat="false" ht="18" hidden="false" customHeight="true" outlineLevel="0" collapsed="false">
      <c r="A1528" s="39"/>
      <c r="B1528" s="41"/>
      <c r="C1528" s="40"/>
      <c r="D1528" s="40"/>
      <c r="E1528" s="40"/>
      <c r="F1528" s="42"/>
      <c r="G1528" s="39"/>
      <c r="H1528" s="40"/>
      <c r="I1528" s="40"/>
      <c r="J1528" s="40"/>
      <c r="K1528" s="41"/>
      <c r="L1528" s="39"/>
      <c r="M1528" s="48" t="str">
        <f aca="false">IF($E1528="","",IFERROR(INDEX(Parâmetros!$C$15:$C$20,MATCH($P1528,Parâmetros!$B$15:$B$20,0)),""))</f>
        <v/>
      </c>
      <c r="N1528" s="46" t="str">
        <f aca="false">IF($E1528="","",IF($P1528="","",IF($P1528&gt;=8,"Alta",IF($P1528&gt;=5,"Média","Baixa"))))</f>
        <v/>
      </c>
      <c r="O1528" s="46" t="str">
        <f aca="false">IF($E1528="","",IF(AND(Parâmetros!$C$5&gt;0,$P1528&lt;&gt;"",$P1528&gt;=Parâmetros!$C$5),"Sim","Não"))</f>
        <v/>
      </c>
      <c r="P1528" s="45" t="str">
        <f aca="false">IF($E1528="","",IF($G1528="","",IF($G1528="NOK",$F1528,0)))</f>
        <v/>
      </c>
      <c r="Q1528" s="46" t="str">
        <f aca="false">IF($E1528="","",IF($O1528&lt;&gt;"Sim","",COUNTIF($O$3:$O1528,"Sim")))</f>
        <v/>
      </c>
      <c r="R1528" s="47" t="n">
        <f aca="false">IF($P1528="",0,$P1528)</f>
        <v>0</v>
      </c>
    </row>
    <row r="1529" customFormat="false" ht="18" hidden="false" customHeight="true" outlineLevel="0" collapsed="false">
      <c r="A1529" s="39"/>
      <c r="B1529" s="41"/>
      <c r="C1529" s="40"/>
      <c r="D1529" s="40"/>
      <c r="E1529" s="40"/>
      <c r="F1529" s="42"/>
      <c r="G1529" s="39"/>
      <c r="H1529" s="40"/>
      <c r="I1529" s="40"/>
      <c r="J1529" s="40"/>
      <c r="K1529" s="41"/>
      <c r="L1529" s="39"/>
      <c r="M1529" s="48" t="str">
        <f aca="false">IF($E1529="","",IFERROR(INDEX(Parâmetros!$C$15:$C$20,MATCH($P1529,Parâmetros!$B$15:$B$20,0)),""))</f>
        <v/>
      </c>
      <c r="N1529" s="46" t="str">
        <f aca="false">IF($E1529="","",IF($P1529="","",IF($P1529&gt;=8,"Alta",IF($P1529&gt;=5,"Média","Baixa"))))</f>
        <v/>
      </c>
      <c r="O1529" s="46" t="str">
        <f aca="false">IF($E1529="","",IF(AND(Parâmetros!$C$5&gt;0,$P1529&lt;&gt;"",$P1529&gt;=Parâmetros!$C$5),"Sim","Não"))</f>
        <v/>
      </c>
      <c r="P1529" s="45" t="str">
        <f aca="false">IF($E1529="","",IF($G1529="","",IF($G1529="NOK",$F1529,0)))</f>
        <v/>
      </c>
      <c r="Q1529" s="46" t="str">
        <f aca="false">IF($E1529="","",IF($O1529&lt;&gt;"Sim","",COUNTIF($O$3:$O1529,"Sim")))</f>
        <v/>
      </c>
      <c r="R1529" s="47" t="n">
        <f aca="false">IF($P1529="",0,$P1529)</f>
        <v>0</v>
      </c>
    </row>
    <row r="1530" customFormat="false" ht="18" hidden="false" customHeight="true" outlineLevel="0" collapsed="false">
      <c r="A1530" s="39"/>
      <c r="B1530" s="41"/>
      <c r="C1530" s="40"/>
      <c r="D1530" s="40"/>
      <c r="E1530" s="40"/>
      <c r="F1530" s="42"/>
      <c r="G1530" s="39"/>
      <c r="H1530" s="40"/>
      <c r="I1530" s="40"/>
      <c r="J1530" s="40"/>
      <c r="K1530" s="41"/>
      <c r="L1530" s="39"/>
      <c r="M1530" s="48" t="str">
        <f aca="false">IF($E1530="","",IFERROR(INDEX(Parâmetros!$C$15:$C$20,MATCH($P1530,Parâmetros!$B$15:$B$20,0)),""))</f>
        <v/>
      </c>
      <c r="N1530" s="46" t="str">
        <f aca="false">IF($E1530="","",IF($P1530="","",IF($P1530&gt;=8,"Alta",IF($P1530&gt;=5,"Média","Baixa"))))</f>
        <v/>
      </c>
      <c r="O1530" s="46" t="str">
        <f aca="false">IF($E1530="","",IF(AND(Parâmetros!$C$5&gt;0,$P1530&lt;&gt;"",$P1530&gt;=Parâmetros!$C$5),"Sim","Não"))</f>
        <v/>
      </c>
      <c r="P1530" s="45" t="str">
        <f aca="false">IF($E1530="","",IF($G1530="","",IF($G1530="NOK",$F1530,0)))</f>
        <v/>
      </c>
      <c r="Q1530" s="46" t="str">
        <f aca="false">IF($E1530="","",IF($O1530&lt;&gt;"Sim","",COUNTIF($O$3:$O1530,"Sim")))</f>
        <v/>
      </c>
      <c r="R1530" s="47" t="n">
        <f aca="false">IF($P1530="",0,$P1530)</f>
        <v>0</v>
      </c>
    </row>
    <row r="1531" customFormat="false" ht="18" hidden="false" customHeight="true" outlineLevel="0" collapsed="false">
      <c r="A1531" s="39"/>
      <c r="B1531" s="41"/>
      <c r="C1531" s="40"/>
      <c r="D1531" s="40"/>
      <c r="E1531" s="40"/>
      <c r="F1531" s="42"/>
      <c r="G1531" s="39"/>
      <c r="H1531" s="40"/>
      <c r="I1531" s="40"/>
      <c r="J1531" s="40"/>
      <c r="K1531" s="41"/>
      <c r="L1531" s="39"/>
      <c r="M1531" s="48" t="str">
        <f aca="false">IF($E1531="","",IFERROR(INDEX(Parâmetros!$C$15:$C$20,MATCH($P1531,Parâmetros!$B$15:$B$20,0)),""))</f>
        <v/>
      </c>
      <c r="N1531" s="46" t="str">
        <f aca="false">IF($E1531="","",IF($P1531="","",IF($P1531&gt;=8,"Alta",IF($P1531&gt;=5,"Média","Baixa"))))</f>
        <v/>
      </c>
      <c r="O1531" s="46" t="str">
        <f aca="false">IF($E1531="","",IF(AND(Parâmetros!$C$5&gt;0,$P1531&lt;&gt;"",$P1531&gt;=Parâmetros!$C$5),"Sim","Não"))</f>
        <v/>
      </c>
      <c r="P1531" s="45" t="str">
        <f aca="false">IF($E1531="","",IF($G1531="","",IF($G1531="NOK",$F1531,0)))</f>
        <v/>
      </c>
      <c r="Q1531" s="46" t="str">
        <f aca="false">IF($E1531="","",IF($O1531&lt;&gt;"Sim","",COUNTIF($O$3:$O1531,"Sim")))</f>
        <v/>
      </c>
      <c r="R1531" s="47" t="n">
        <f aca="false">IF($P1531="",0,$P1531)</f>
        <v>0</v>
      </c>
    </row>
    <row r="1532" customFormat="false" ht="18" hidden="false" customHeight="true" outlineLevel="0" collapsed="false">
      <c r="A1532" s="39"/>
      <c r="B1532" s="41"/>
      <c r="C1532" s="40"/>
      <c r="D1532" s="40"/>
      <c r="E1532" s="40"/>
      <c r="F1532" s="42"/>
      <c r="G1532" s="39"/>
      <c r="H1532" s="40"/>
      <c r="I1532" s="40"/>
      <c r="J1532" s="40"/>
      <c r="K1532" s="41"/>
      <c r="L1532" s="39"/>
      <c r="M1532" s="48" t="str">
        <f aca="false">IF($E1532="","",IFERROR(INDEX(Parâmetros!$C$15:$C$20,MATCH($P1532,Parâmetros!$B$15:$B$20,0)),""))</f>
        <v/>
      </c>
      <c r="N1532" s="46" t="str">
        <f aca="false">IF($E1532="","",IF($P1532="","",IF($P1532&gt;=8,"Alta",IF($P1532&gt;=5,"Média","Baixa"))))</f>
        <v/>
      </c>
      <c r="O1532" s="46" t="str">
        <f aca="false">IF($E1532="","",IF(AND(Parâmetros!$C$5&gt;0,$P1532&lt;&gt;"",$P1532&gt;=Parâmetros!$C$5),"Sim","Não"))</f>
        <v/>
      </c>
      <c r="P1532" s="45" t="str">
        <f aca="false">IF($E1532="","",IF($G1532="","",IF($G1532="NOK",$F1532,0)))</f>
        <v/>
      </c>
      <c r="Q1532" s="46" t="str">
        <f aca="false">IF($E1532="","",IF($O1532&lt;&gt;"Sim","",COUNTIF($O$3:$O1532,"Sim")))</f>
        <v/>
      </c>
      <c r="R1532" s="47" t="n">
        <f aca="false">IF($P1532="",0,$P1532)</f>
        <v>0</v>
      </c>
    </row>
    <row r="1533" customFormat="false" ht="18" hidden="false" customHeight="true" outlineLevel="0" collapsed="false">
      <c r="A1533" s="39"/>
      <c r="B1533" s="41"/>
      <c r="C1533" s="40"/>
      <c r="D1533" s="40"/>
      <c r="E1533" s="40"/>
      <c r="F1533" s="42"/>
      <c r="G1533" s="39"/>
      <c r="H1533" s="40"/>
      <c r="I1533" s="40"/>
      <c r="J1533" s="40"/>
      <c r="K1533" s="41"/>
      <c r="L1533" s="39"/>
      <c r="M1533" s="48" t="str">
        <f aca="false">IF($E1533="","",IFERROR(INDEX(Parâmetros!$C$15:$C$20,MATCH($P1533,Parâmetros!$B$15:$B$20,0)),""))</f>
        <v/>
      </c>
      <c r="N1533" s="46" t="str">
        <f aca="false">IF($E1533="","",IF($P1533="","",IF($P1533&gt;=8,"Alta",IF($P1533&gt;=5,"Média","Baixa"))))</f>
        <v/>
      </c>
      <c r="O1533" s="46" t="str">
        <f aca="false">IF($E1533="","",IF(AND(Parâmetros!$C$5&gt;0,$P1533&lt;&gt;"",$P1533&gt;=Parâmetros!$C$5),"Sim","Não"))</f>
        <v/>
      </c>
      <c r="P1533" s="45" t="str">
        <f aca="false">IF($E1533="","",IF($G1533="","",IF($G1533="NOK",$F1533,0)))</f>
        <v/>
      </c>
      <c r="Q1533" s="46" t="str">
        <f aca="false">IF($E1533="","",IF($O1533&lt;&gt;"Sim","",COUNTIF($O$3:$O1533,"Sim")))</f>
        <v/>
      </c>
      <c r="R1533" s="47" t="n">
        <f aca="false">IF($P1533="",0,$P1533)</f>
        <v>0</v>
      </c>
    </row>
    <row r="1534" customFormat="false" ht="18" hidden="false" customHeight="true" outlineLevel="0" collapsed="false">
      <c r="A1534" s="39"/>
      <c r="B1534" s="41"/>
      <c r="C1534" s="40"/>
      <c r="D1534" s="40"/>
      <c r="E1534" s="40"/>
      <c r="F1534" s="42"/>
      <c r="G1534" s="39"/>
      <c r="H1534" s="40"/>
      <c r="I1534" s="40"/>
      <c r="J1534" s="40"/>
      <c r="K1534" s="41"/>
      <c r="L1534" s="39"/>
      <c r="M1534" s="48" t="str">
        <f aca="false">IF($E1534="","",IFERROR(INDEX(Parâmetros!$C$15:$C$20,MATCH($P1534,Parâmetros!$B$15:$B$20,0)),""))</f>
        <v/>
      </c>
      <c r="N1534" s="46" t="str">
        <f aca="false">IF($E1534="","",IF($P1534="","",IF($P1534&gt;=8,"Alta",IF($P1534&gt;=5,"Média","Baixa"))))</f>
        <v/>
      </c>
      <c r="O1534" s="46" t="str">
        <f aca="false">IF($E1534="","",IF(AND(Parâmetros!$C$5&gt;0,$P1534&lt;&gt;"",$P1534&gt;=Parâmetros!$C$5),"Sim","Não"))</f>
        <v/>
      </c>
      <c r="P1534" s="45" t="str">
        <f aca="false">IF($E1534="","",IF($G1534="","",IF($G1534="NOK",$F1534,0)))</f>
        <v/>
      </c>
      <c r="Q1534" s="46" t="str">
        <f aca="false">IF($E1534="","",IF($O1534&lt;&gt;"Sim","",COUNTIF($O$3:$O1534,"Sim")))</f>
        <v/>
      </c>
      <c r="R1534" s="47" t="n">
        <f aca="false">IF($P1534="",0,$P1534)</f>
        <v>0</v>
      </c>
    </row>
    <row r="1535" customFormat="false" ht="18" hidden="false" customHeight="true" outlineLevel="0" collapsed="false">
      <c r="A1535" s="39"/>
      <c r="B1535" s="41"/>
      <c r="C1535" s="40"/>
      <c r="D1535" s="40"/>
      <c r="E1535" s="40"/>
      <c r="F1535" s="42"/>
      <c r="G1535" s="39"/>
      <c r="H1535" s="40"/>
      <c r="I1535" s="40"/>
      <c r="J1535" s="40"/>
      <c r="K1535" s="41"/>
      <c r="L1535" s="39"/>
      <c r="M1535" s="48" t="str">
        <f aca="false">IF($E1535="","",IFERROR(INDEX(Parâmetros!$C$15:$C$20,MATCH($P1535,Parâmetros!$B$15:$B$20,0)),""))</f>
        <v/>
      </c>
      <c r="N1535" s="46" t="str">
        <f aca="false">IF($E1535="","",IF($P1535="","",IF($P1535&gt;=8,"Alta",IF($P1535&gt;=5,"Média","Baixa"))))</f>
        <v/>
      </c>
      <c r="O1535" s="46" t="str">
        <f aca="false">IF($E1535="","",IF(AND(Parâmetros!$C$5&gt;0,$P1535&lt;&gt;"",$P1535&gt;=Parâmetros!$C$5),"Sim","Não"))</f>
        <v/>
      </c>
      <c r="P1535" s="45" t="str">
        <f aca="false">IF($E1535="","",IF($G1535="","",IF($G1535="NOK",$F1535,0)))</f>
        <v/>
      </c>
      <c r="Q1535" s="46" t="str">
        <f aca="false">IF($E1535="","",IF($O1535&lt;&gt;"Sim","",COUNTIF($O$3:$O1535,"Sim")))</f>
        <v/>
      </c>
      <c r="R1535" s="47" t="n">
        <f aca="false">IF($P1535="",0,$P1535)</f>
        <v>0</v>
      </c>
    </row>
    <row r="1536" customFormat="false" ht="18" hidden="false" customHeight="true" outlineLevel="0" collapsed="false">
      <c r="A1536" s="39"/>
      <c r="B1536" s="41"/>
      <c r="C1536" s="40"/>
      <c r="D1536" s="40"/>
      <c r="E1536" s="40"/>
      <c r="F1536" s="42"/>
      <c r="G1536" s="39"/>
      <c r="H1536" s="40"/>
      <c r="I1536" s="40"/>
      <c r="J1536" s="40"/>
      <c r="K1536" s="41"/>
      <c r="L1536" s="39"/>
      <c r="M1536" s="48" t="str">
        <f aca="false">IF($E1536="","",IFERROR(INDEX(Parâmetros!$C$15:$C$20,MATCH($P1536,Parâmetros!$B$15:$B$20,0)),""))</f>
        <v/>
      </c>
      <c r="N1536" s="46" t="str">
        <f aca="false">IF($E1536="","",IF($P1536="","",IF($P1536&gt;=8,"Alta",IF($P1536&gt;=5,"Média","Baixa"))))</f>
        <v/>
      </c>
      <c r="O1536" s="46" t="str">
        <f aca="false">IF($E1536="","",IF(AND(Parâmetros!$C$5&gt;0,$P1536&lt;&gt;"",$P1536&gt;=Parâmetros!$C$5),"Sim","Não"))</f>
        <v/>
      </c>
      <c r="P1536" s="45" t="str">
        <f aca="false">IF($E1536="","",IF($G1536="","",IF($G1536="NOK",$F1536,0)))</f>
        <v/>
      </c>
      <c r="Q1536" s="46" t="str">
        <f aca="false">IF($E1536="","",IF($O1536&lt;&gt;"Sim","",COUNTIF($O$3:$O1536,"Sim")))</f>
        <v/>
      </c>
      <c r="R1536" s="47" t="n">
        <f aca="false">IF($P1536="",0,$P1536)</f>
        <v>0</v>
      </c>
    </row>
    <row r="1537" customFormat="false" ht="18" hidden="false" customHeight="true" outlineLevel="0" collapsed="false">
      <c r="A1537" s="39"/>
      <c r="B1537" s="41"/>
      <c r="C1537" s="40"/>
      <c r="D1537" s="40"/>
      <c r="E1537" s="40"/>
      <c r="F1537" s="42"/>
      <c r="G1537" s="39"/>
      <c r="H1537" s="40"/>
      <c r="I1537" s="40"/>
      <c r="J1537" s="40"/>
      <c r="K1537" s="41"/>
      <c r="L1537" s="39"/>
      <c r="M1537" s="48" t="str">
        <f aca="false">IF($E1537="","",IFERROR(INDEX(Parâmetros!$C$15:$C$20,MATCH($P1537,Parâmetros!$B$15:$B$20,0)),""))</f>
        <v/>
      </c>
      <c r="N1537" s="46" t="str">
        <f aca="false">IF($E1537="","",IF($P1537="","",IF($P1537&gt;=8,"Alta",IF($P1537&gt;=5,"Média","Baixa"))))</f>
        <v/>
      </c>
      <c r="O1537" s="46" t="str">
        <f aca="false">IF($E1537="","",IF(AND(Parâmetros!$C$5&gt;0,$P1537&lt;&gt;"",$P1537&gt;=Parâmetros!$C$5),"Sim","Não"))</f>
        <v/>
      </c>
      <c r="P1537" s="45" t="str">
        <f aca="false">IF($E1537="","",IF($G1537="","",IF($G1537="NOK",$F1537,0)))</f>
        <v/>
      </c>
      <c r="Q1537" s="46" t="str">
        <f aca="false">IF($E1537="","",IF($O1537&lt;&gt;"Sim","",COUNTIF($O$3:$O1537,"Sim")))</f>
        <v/>
      </c>
      <c r="R1537" s="47" t="n">
        <f aca="false">IF($P1537="",0,$P1537)</f>
        <v>0</v>
      </c>
    </row>
    <row r="1538" customFormat="false" ht="18" hidden="false" customHeight="true" outlineLevel="0" collapsed="false">
      <c r="A1538" s="39"/>
      <c r="B1538" s="41"/>
      <c r="C1538" s="40"/>
      <c r="D1538" s="40"/>
      <c r="E1538" s="40"/>
      <c r="F1538" s="42"/>
      <c r="G1538" s="39"/>
      <c r="H1538" s="40"/>
      <c r="I1538" s="40"/>
      <c r="J1538" s="40"/>
      <c r="K1538" s="41"/>
      <c r="L1538" s="39"/>
      <c r="M1538" s="48" t="str">
        <f aca="false">IF($E1538="","",IFERROR(INDEX(Parâmetros!$C$15:$C$20,MATCH($P1538,Parâmetros!$B$15:$B$20,0)),""))</f>
        <v/>
      </c>
      <c r="N1538" s="46" t="str">
        <f aca="false">IF($E1538="","",IF($P1538="","",IF($P1538&gt;=8,"Alta",IF($P1538&gt;=5,"Média","Baixa"))))</f>
        <v/>
      </c>
      <c r="O1538" s="46" t="str">
        <f aca="false">IF($E1538="","",IF(AND(Parâmetros!$C$5&gt;0,$P1538&lt;&gt;"",$P1538&gt;=Parâmetros!$C$5),"Sim","Não"))</f>
        <v/>
      </c>
      <c r="P1538" s="45" t="str">
        <f aca="false">IF($E1538="","",IF($G1538="","",IF($G1538="NOK",$F1538,0)))</f>
        <v/>
      </c>
      <c r="Q1538" s="46" t="str">
        <f aca="false">IF($E1538="","",IF($O1538&lt;&gt;"Sim","",COUNTIF($O$3:$O1538,"Sim")))</f>
        <v/>
      </c>
      <c r="R1538" s="47" t="n">
        <f aca="false">IF($P1538="",0,$P1538)</f>
        <v>0</v>
      </c>
    </row>
    <row r="1539" customFormat="false" ht="18" hidden="false" customHeight="true" outlineLevel="0" collapsed="false">
      <c r="A1539" s="39"/>
      <c r="B1539" s="41"/>
      <c r="C1539" s="40"/>
      <c r="D1539" s="40"/>
      <c r="E1539" s="40"/>
      <c r="F1539" s="42"/>
      <c r="G1539" s="39"/>
      <c r="H1539" s="40"/>
      <c r="I1539" s="40"/>
      <c r="J1539" s="40"/>
      <c r="K1539" s="41"/>
      <c r="L1539" s="39"/>
      <c r="M1539" s="48" t="str">
        <f aca="false">IF($E1539="","",IFERROR(INDEX(Parâmetros!$C$15:$C$20,MATCH($P1539,Parâmetros!$B$15:$B$20,0)),""))</f>
        <v/>
      </c>
      <c r="N1539" s="46" t="str">
        <f aca="false">IF($E1539="","",IF($P1539="","",IF($P1539&gt;=8,"Alta",IF($P1539&gt;=5,"Média","Baixa"))))</f>
        <v/>
      </c>
      <c r="O1539" s="46" t="str">
        <f aca="false">IF($E1539="","",IF(AND(Parâmetros!$C$5&gt;0,$P1539&lt;&gt;"",$P1539&gt;=Parâmetros!$C$5),"Sim","Não"))</f>
        <v/>
      </c>
      <c r="P1539" s="45" t="str">
        <f aca="false">IF($E1539="","",IF($G1539="","",IF($G1539="NOK",$F1539,0)))</f>
        <v/>
      </c>
      <c r="Q1539" s="46" t="str">
        <f aca="false">IF($E1539="","",IF($O1539&lt;&gt;"Sim","",COUNTIF($O$3:$O1539,"Sim")))</f>
        <v/>
      </c>
      <c r="R1539" s="47" t="n">
        <f aca="false">IF($P1539="",0,$P1539)</f>
        <v>0</v>
      </c>
    </row>
    <row r="1540" customFormat="false" ht="18" hidden="false" customHeight="true" outlineLevel="0" collapsed="false">
      <c r="A1540" s="39"/>
      <c r="B1540" s="41"/>
      <c r="C1540" s="40"/>
      <c r="D1540" s="40"/>
      <c r="E1540" s="40"/>
      <c r="F1540" s="42"/>
      <c r="G1540" s="39"/>
      <c r="H1540" s="40"/>
      <c r="I1540" s="40"/>
      <c r="J1540" s="40"/>
      <c r="K1540" s="41"/>
      <c r="L1540" s="39"/>
      <c r="M1540" s="48" t="str">
        <f aca="false">IF($E1540="","",IFERROR(INDEX(Parâmetros!$C$15:$C$20,MATCH($P1540,Parâmetros!$B$15:$B$20,0)),""))</f>
        <v/>
      </c>
      <c r="N1540" s="46" t="str">
        <f aca="false">IF($E1540="","",IF($P1540="","",IF($P1540&gt;=8,"Alta",IF($P1540&gt;=5,"Média","Baixa"))))</f>
        <v/>
      </c>
      <c r="O1540" s="46" t="str">
        <f aca="false">IF($E1540="","",IF(AND(Parâmetros!$C$5&gt;0,$P1540&lt;&gt;"",$P1540&gt;=Parâmetros!$C$5),"Sim","Não"))</f>
        <v/>
      </c>
      <c r="P1540" s="45" t="str">
        <f aca="false">IF($E1540="","",IF($G1540="","",IF($G1540="NOK",$F1540,0)))</f>
        <v/>
      </c>
      <c r="Q1540" s="46" t="str">
        <f aca="false">IF($E1540="","",IF($O1540&lt;&gt;"Sim","",COUNTIF($O$3:$O1540,"Sim")))</f>
        <v/>
      </c>
      <c r="R1540" s="47" t="n">
        <f aca="false">IF($P1540="",0,$P1540)</f>
        <v>0</v>
      </c>
    </row>
    <row r="1541" customFormat="false" ht="18" hidden="false" customHeight="true" outlineLevel="0" collapsed="false">
      <c r="A1541" s="39"/>
      <c r="B1541" s="41"/>
      <c r="C1541" s="40"/>
      <c r="D1541" s="40"/>
      <c r="E1541" s="40"/>
      <c r="F1541" s="42"/>
      <c r="G1541" s="39"/>
      <c r="H1541" s="40"/>
      <c r="I1541" s="40"/>
      <c r="J1541" s="40"/>
      <c r="K1541" s="41"/>
      <c r="L1541" s="39"/>
      <c r="M1541" s="48" t="str">
        <f aca="false">IF($E1541="","",IFERROR(INDEX(Parâmetros!$C$15:$C$20,MATCH($P1541,Parâmetros!$B$15:$B$20,0)),""))</f>
        <v/>
      </c>
      <c r="N1541" s="46" t="str">
        <f aca="false">IF($E1541="","",IF($P1541="","",IF($P1541&gt;=8,"Alta",IF($P1541&gt;=5,"Média","Baixa"))))</f>
        <v/>
      </c>
      <c r="O1541" s="46" t="str">
        <f aca="false">IF($E1541="","",IF(AND(Parâmetros!$C$5&gt;0,$P1541&lt;&gt;"",$P1541&gt;=Parâmetros!$C$5),"Sim","Não"))</f>
        <v/>
      </c>
      <c r="P1541" s="45" t="str">
        <f aca="false">IF($E1541="","",IF($G1541="","",IF($G1541="NOK",$F1541,0)))</f>
        <v/>
      </c>
      <c r="Q1541" s="46" t="str">
        <f aca="false">IF($E1541="","",IF($O1541&lt;&gt;"Sim","",COUNTIF($O$3:$O1541,"Sim")))</f>
        <v/>
      </c>
      <c r="R1541" s="47" t="n">
        <f aca="false">IF($P1541="",0,$P1541)</f>
        <v>0</v>
      </c>
    </row>
    <row r="1542" customFormat="false" ht="18" hidden="false" customHeight="true" outlineLevel="0" collapsed="false">
      <c r="A1542" s="39"/>
      <c r="B1542" s="41"/>
      <c r="C1542" s="40"/>
      <c r="D1542" s="40"/>
      <c r="E1542" s="40"/>
      <c r="F1542" s="42"/>
      <c r="G1542" s="39"/>
      <c r="H1542" s="40"/>
      <c r="I1542" s="40"/>
      <c r="J1542" s="40"/>
      <c r="K1542" s="41"/>
      <c r="L1542" s="39"/>
      <c r="M1542" s="48" t="str">
        <f aca="false">IF($E1542="","",IFERROR(INDEX(Parâmetros!$C$15:$C$20,MATCH($P1542,Parâmetros!$B$15:$B$20,0)),""))</f>
        <v/>
      </c>
      <c r="N1542" s="46" t="str">
        <f aca="false">IF($E1542="","",IF($P1542="","",IF($P1542&gt;=8,"Alta",IF($P1542&gt;=5,"Média","Baixa"))))</f>
        <v/>
      </c>
      <c r="O1542" s="46" t="str">
        <f aca="false">IF($E1542="","",IF(AND(Parâmetros!$C$5&gt;0,$P1542&lt;&gt;"",$P1542&gt;=Parâmetros!$C$5),"Sim","Não"))</f>
        <v/>
      </c>
      <c r="P1542" s="45" t="str">
        <f aca="false">IF($E1542="","",IF($G1542="","",IF($G1542="NOK",$F1542,0)))</f>
        <v/>
      </c>
      <c r="Q1542" s="46" t="str">
        <f aca="false">IF($E1542="","",IF($O1542&lt;&gt;"Sim","",COUNTIF($O$3:$O1542,"Sim")))</f>
        <v/>
      </c>
      <c r="R1542" s="47" t="n">
        <f aca="false">IF($P1542="",0,$P1542)</f>
        <v>0</v>
      </c>
    </row>
    <row r="1543" customFormat="false" ht="18" hidden="false" customHeight="true" outlineLevel="0" collapsed="false">
      <c r="A1543" s="39"/>
      <c r="B1543" s="41"/>
      <c r="C1543" s="40"/>
      <c r="D1543" s="40"/>
      <c r="E1543" s="40"/>
      <c r="F1543" s="42"/>
      <c r="G1543" s="39"/>
      <c r="H1543" s="40"/>
      <c r="I1543" s="40"/>
      <c r="J1543" s="40"/>
      <c r="K1543" s="41"/>
      <c r="L1543" s="39"/>
      <c r="M1543" s="48" t="str">
        <f aca="false">IF($E1543="","",IFERROR(INDEX(Parâmetros!$C$15:$C$20,MATCH($P1543,Parâmetros!$B$15:$B$20,0)),""))</f>
        <v/>
      </c>
      <c r="N1543" s="46" t="str">
        <f aca="false">IF($E1543="","",IF($P1543="","",IF($P1543&gt;=8,"Alta",IF($P1543&gt;=5,"Média","Baixa"))))</f>
        <v/>
      </c>
      <c r="O1543" s="46" t="str">
        <f aca="false">IF($E1543="","",IF(AND(Parâmetros!$C$5&gt;0,$P1543&lt;&gt;"",$P1543&gt;=Parâmetros!$C$5),"Sim","Não"))</f>
        <v/>
      </c>
      <c r="P1543" s="45" t="str">
        <f aca="false">IF($E1543="","",IF($G1543="","",IF($G1543="NOK",$F1543,0)))</f>
        <v/>
      </c>
      <c r="Q1543" s="46" t="str">
        <f aca="false">IF($E1543="","",IF($O1543&lt;&gt;"Sim","",COUNTIF($O$3:$O1543,"Sim")))</f>
        <v/>
      </c>
      <c r="R1543" s="47" t="n">
        <f aca="false">IF($P1543="",0,$P1543)</f>
        <v>0</v>
      </c>
    </row>
    <row r="1544" customFormat="false" ht="18" hidden="false" customHeight="true" outlineLevel="0" collapsed="false">
      <c r="A1544" s="39"/>
      <c r="B1544" s="41"/>
      <c r="C1544" s="40"/>
      <c r="D1544" s="40"/>
      <c r="E1544" s="40"/>
      <c r="F1544" s="42"/>
      <c r="G1544" s="39"/>
      <c r="H1544" s="40"/>
      <c r="I1544" s="40"/>
      <c r="J1544" s="40"/>
      <c r="K1544" s="41"/>
      <c r="L1544" s="39"/>
      <c r="M1544" s="48" t="str">
        <f aca="false">IF($E1544="","",IFERROR(INDEX(Parâmetros!$C$15:$C$20,MATCH($P1544,Parâmetros!$B$15:$B$20,0)),""))</f>
        <v/>
      </c>
      <c r="N1544" s="46" t="str">
        <f aca="false">IF($E1544="","",IF($P1544="","",IF($P1544&gt;=8,"Alta",IF($P1544&gt;=5,"Média","Baixa"))))</f>
        <v/>
      </c>
      <c r="O1544" s="46" t="str">
        <f aca="false">IF($E1544="","",IF(AND(Parâmetros!$C$5&gt;0,$P1544&lt;&gt;"",$P1544&gt;=Parâmetros!$C$5),"Sim","Não"))</f>
        <v/>
      </c>
      <c r="P1544" s="45" t="str">
        <f aca="false">IF($E1544="","",IF($G1544="","",IF($G1544="NOK",$F1544,0)))</f>
        <v/>
      </c>
      <c r="Q1544" s="46" t="str">
        <f aca="false">IF($E1544="","",IF($O1544&lt;&gt;"Sim","",COUNTIF($O$3:$O1544,"Sim")))</f>
        <v/>
      </c>
      <c r="R1544" s="47" t="n">
        <f aca="false">IF($P1544="",0,$P1544)</f>
        <v>0</v>
      </c>
    </row>
    <row r="1545" customFormat="false" ht="18" hidden="false" customHeight="true" outlineLevel="0" collapsed="false">
      <c r="A1545" s="39"/>
      <c r="B1545" s="41"/>
      <c r="C1545" s="40"/>
      <c r="D1545" s="40"/>
      <c r="E1545" s="40"/>
      <c r="F1545" s="42"/>
      <c r="G1545" s="39"/>
      <c r="H1545" s="40"/>
      <c r="I1545" s="40"/>
      <c r="J1545" s="40"/>
      <c r="K1545" s="41"/>
      <c r="L1545" s="39"/>
      <c r="M1545" s="48" t="str">
        <f aca="false">IF($E1545="","",IFERROR(INDEX(Parâmetros!$C$15:$C$20,MATCH($P1545,Parâmetros!$B$15:$B$20,0)),""))</f>
        <v/>
      </c>
      <c r="N1545" s="46" t="str">
        <f aca="false">IF($E1545="","",IF($P1545="","",IF($P1545&gt;=8,"Alta",IF($P1545&gt;=5,"Média","Baixa"))))</f>
        <v/>
      </c>
      <c r="O1545" s="46" t="str">
        <f aca="false">IF($E1545="","",IF(AND(Parâmetros!$C$5&gt;0,$P1545&lt;&gt;"",$P1545&gt;=Parâmetros!$C$5),"Sim","Não"))</f>
        <v/>
      </c>
      <c r="P1545" s="45" t="str">
        <f aca="false">IF($E1545="","",IF($G1545="","",IF($G1545="NOK",$F1545,0)))</f>
        <v/>
      </c>
      <c r="Q1545" s="46" t="str">
        <f aca="false">IF($E1545="","",IF($O1545&lt;&gt;"Sim","",COUNTIF($O$3:$O1545,"Sim")))</f>
        <v/>
      </c>
      <c r="R1545" s="47" t="n">
        <f aca="false">IF($P1545="",0,$P1545)</f>
        <v>0</v>
      </c>
    </row>
    <row r="1546" customFormat="false" ht="18" hidden="false" customHeight="true" outlineLevel="0" collapsed="false">
      <c r="A1546" s="39"/>
      <c r="B1546" s="41"/>
      <c r="C1546" s="40"/>
      <c r="D1546" s="40"/>
      <c r="E1546" s="40"/>
      <c r="F1546" s="42"/>
      <c r="G1546" s="39"/>
      <c r="H1546" s="40"/>
      <c r="I1546" s="40"/>
      <c r="J1546" s="40"/>
      <c r="K1546" s="41"/>
      <c r="L1546" s="39"/>
      <c r="M1546" s="48" t="str">
        <f aca="false">IF($E1546="","",IFERROR(INDEX(Parâmetros!$C$15:$C$20,MATCH($P1546,Parâmetros!$B$15:$B$20,0)),""))</f>
        <v/>
      </c>
      <c r="N1546" s="46" t="str">
        <f aca="false">IF($E1546="","",IF($P1546="","",IF($P1546&gt;=8,"Alta",IF($P1546&gt;=5,"Média","Baixa"))))</f>
        <v/>
      </c>
      <c r="O1546" s="46" t="str">
        <f aca="false">IF($E1546="","",IF(AND(Parâmetros!$C$5&gt;0,$P1546&lt;&gt;"",$P1546&gt;=Parâmetros!$C$5),"Sim","Não"))</f>
        <v/>
      </c>
      <c r="P1546" s="45" t="str">
        <f aca="false">IF($E1546="","",IF($G1546="","",IF($G1546="NOK",$F1546,0)))</f>
        <v/>
      </c>
      <c r="Q1546" s="46" t="str">
        <f aca="false">IF($E1546="","",IF($O1546&lt;&gt;"Sim","",COUNTIF($O$3:$O1546,"Sim")))</f>
        <v/>
      </c>
      <c r="R1546" s="47" t="n">
        <f aca="false">IF($P1546="",0,$P1546)</f>
        <v>0</v>
      </c>
    </row>
    <row r="1547" customFormat="false" ht="18" hidden="false" customHeight="true" outlineLevel="0" collapsed="false">
      <c r="A1547" s="39"/>
      <c r="B1547" s="41"/>
      <c r="C1547" s="40"/>
      <c r="D1547" s="40"/>
      <c r="E1547" s="40"/>
      <c r="F1547" s="42"/>
      <c r="G1547" s="39"/>
      <c r="H1547" s="40"/>
      <c r="I1547" s="40"/>
      <c r="J1547" s="40"/>
      <c r="K1547" s="41"/>
      <c r="L1547" s="39"/>
      <c r="M1547" s="48" t="str">
        <f aca="false">IF($E1547="","",IFERROR(INDEX(Parâmetros!$C$15:$C$20,MATCH($P1547,Parâmetros!$B$15:$B$20,0)),""))</f>
        <v/>
      </c>
      <c r="N1547" s="46" t="str">
        <f aca="false">IF($E1547="","",IF($P1547="","",IF($P1547&gt;=8,"Alta",IF($P1547&gt;=5,"Média","Baixa"))))</f>
        <v/>
      </c>
      <c r="O1547" s="46" t="str">
        <f aca="false">IF($E1547="","",IF(AND(Parâmetros!$C$5&gt;0,$P1547&lt;&gt;"",$P1547&gt;=Parâmetros!$C$5),"Sim","Não"))</f>
        <v/>
      </c>
      <c r="P1547" s="45" t="str">
        <f aca="false">IF($E1547="","",IF($G1547="","",IF($G1547="NOK",$F1547,0)))</f>
        <v/>
      </c>
      <c r="Q1547" s="46" t="str">
        <f aca="false">IF($E1547="","",IF($O1547&lt;&gt;"Sim","",COUNTIF($O$3:$O1547,"Sim")))</f>
        <v/>
      </c>
      <c r="R1547" s="47" t="n">
        <f aca="false">IF($P1547="",0,$P1547)</f>
        <v>0</v>
      </c>
    </row>
    <row r="1548" customFormat="false" ht="18" hidden="false" customHeight="true" outlineLevel="0" collapsed="false">
      <c r="A1548" s="39"/>
      <c r="B1548" s="41"/>
      <c r="C1548" s="40"/>
      <c r="D1548" s="40"/>
      <c r="E1548" s="40"/>
      <c r="F1548" s="42"/>
      <c r="G1548" s="39"/>
      <c r="H1548" s="40"/>
      <c r="I1548" s="40"/>
      <c r="J1548" s="40"/>
      <c r="K1548" s="41"/>
      <c r="L1548" s="39"/>
      <c r="M1548" s="48" t="str">
        <f aca="false">IF($E1548="","",IFERROR(INDEX(Parâmetros!$C$15:$C$20,MATCH($P1548,Parâmetros!$B$15:$B$20,0)),""))</f>
        <v/>
      </c>
      <c r="N1548" s="46" t="str">
        <f aca="false">IF($E1548="","",IF($P1548="","",IF($P1548&gt;=8,"Alta",IF($P1548&gt;=5,"Média","Baixa"))))</f>
        <v/>
      </c>
      <c r="O1548" s="46" t="str">
        <f aca="false">IF($E1548="","",IF(AND(Parâmetros!$C$5&gt;0,$P1548&lt;&gt;"",$P1548&gt;=Parâmetros!$C$5),"Sim","Não"))</f>
        <v/>
      </c>
      <c r="P1548" s="45" t="str">
        <f aca="false">IF($E1548="","",IF($G1548="","",IF($G1548="NOK",$F1548,0)))</f>
        <v/>
      </c>
      <c r="Q1548" s="46" t="str">
        <f aca="false">IF($E1548="","",IF($O1548&lt;&gt;"Sim","",COUNTIF($O$3:$O1548,"Sim")))</f>
        <v/>
      </c>
      <c r="R1548" s="47" t="n">
        <f aca="false">IF($P1548="",0,$P1548)</f>
        <v>0</v>
      </c>
    </row>
    <row r="1549" customFormat="false" ht="18" hidden="false" customHeight="true" outlineLevel="0" collapsed="false">
      <c r="A1549" s="39"/>
      <c r="B1549" s="41"/>
      <c r="C1549" s="40"/>
      <c r="D1549" s="40"/>
      <c r="E1549" s="40"/>
      <c r="F1549" s="42"/>
      <c r="G1549" s="39"/>
      <c r="H1549" s="40"/>
      <c r="I1549" s="40"/>
      <c r="J1549" s="40"/>
      <c r="K1549" s="41"/>
      <c r="L1549" s="39"/>
      <c r="M1549" s="48" t="str">
        <f aca="false">IF($E1549="","",IFERROR(INDEX(Parâmetros!$C$15:$C$20,MATCH($P1549,Parâmetros!$B$15:$B$20,0)),""))</f>
        <v/>
      </c>
      <c r="N1549" s="46" t="str">
        <f aca="false">IF($E1549="","",IF($P1549="","",IF($P1549&gt;=8,"Alta",IF($P1549&gt;=5,"Média","Baixa"))))</f>
        <v/>
      </c>
      <c r="O1549" s="46" t="str">
        <f aca="false">IF($E1549="","",IF(AND(Parâmetros!$C$5&gt;0,$P1549&lt;&gt;"",$P1549&gt;=Parâmetros!$C$5),"Sim","Não"))</f>
        <v/>
      </c>
      <c r="P1549" s="45" t="str">
        <f aca="false">IF($E1549="","",IF($G1549="","",IF($G1549="NOK",$F1549,0)))</f>
        <v/>
      </c>
      <c r="Q1549" s="46" t="str">
        <f aca="false">IF($E1549="","",IF($O1549&lt;&gt;"Sim","",COUNTIF($O$3:$O1549,"Sim")))</f>
        <v/>
      </c>
      <c r="R1549" s="47" t="n">
        <f aca="false">IF($P1549="",0,$P1549)</f>
        <v>0</v>
      </c>
    </row>
    <row r="1550" customFormat="false" ht="18" hidden="false" customHeight="true" outlineLevel="0" collapsed="false">
      <c r="A1550" s="39"/>
      <c r="B1550" s="41"/>
      <c r="C1550" s="40"/>
      <c r="D1550" s="40"/>
      <c r="E1550" s="40"/>
      <c r="F1550" s="42"/>
      <c r="G1550" s="39"/>
      <c r="H1550" s="40"/>
      <c r="I1550" s="40"/>
      <c r="J1550" s="40"/>
      <c r="K1550" s="41"/>
      <c r="L1550" s="39"/>
      <c r="M1550" s="48" t="str">
        <f aca="false">IF($E1550="","",IFERROR(INDEX(Parâmetros!$C$15:$C$20,MATCH($P1550,Parâmetros!$B$15:$B$20,0)),""))</f>
        <v/>
      </c>
      <c r="N1550" s="46" t="str">
        <f aca="false">IF($E1550="","",IF($P1550="","",IF($P1550&gt;=8,"Alta",IF($P1550&gt;=5,"Média","Baixa"))))</f>
        <v/>
      </c>
      <c r="O1550" s="46" t="str">
        <f aca="false">IF($E1550="","",IF(AND(Parâmetros!$C$5&gt;0,$P1550&lt;&gt;"",$P1550&gt;=Parâmetros!$C$5),"Sim","Não"))</f>
        <v/>
      </c>
      <c r="P1550" s="45" t="str">
        <f aca="false">IF($E1550="","",IF($G1550="","",IF($G1550="NOK",$F1550,0)))</f>
        <v/>
      </c>
      <c r="Q1550" s="46" t="str">
        <f aca="false">IF($E1550="","",IF($O1550&lt;&gt;"Sim","",COUNTIF($O$3:$O1550,"Sim")))</f>
        <v/>
      </c>
      <c r="R1550" s="47" t="n">
        <f aca="false">IF($P1550="",0,$P1550)</f>
        <v>0</v>
      </c>
    </row>
    <row r="1551" customFormat="false" ht="18" hidden="false" customHeight="true" outlineLevel="0" collapsed="false">
      <c r="A1551" s="39"/>
      <c r="B1551" s="41"/>
      <c r="C1551" s="40"/>
      <c r="D1551" s="40"/>
      <c r="E1551" s="40"/>
      <c r="F1551" s="42"/>
      <c r="G1551" s="39"/>
      <c r="H1551" s="40"/>
      <c r="I1551" s="40"/>
      <c r="J1551" s="40"/>
      <c r="K1551" s="41"/>
      <c r="L1551" s="39"/>
      <c r="M1551" s="48" t="str">
        <f aca="false">IF($E1551="","",IFERROR(INDEX(Parâmetros!$C$15:$C$20,MATCH($P1551,Parâmetros!$B$15:$B$20,0)),""))</f>
        <v/>
      </c>
      <c r="N1551" s="46" t="str">
        <f aca="false">IF($E1551="","",IF($P1551="","",IF($P1551&gt;=8,"Alta",IF($P1551&gt;=5,"Média","Baixa"))))</f>
        <v/>
      </c>
      <c r="O1551" s="46" t="str">
        <f aca="false">IF($E1551="","",IF(AND(Parâmetros!$C$5&gt;0,$P1551&lt;&gt;"",$P1551&gt;=Parâmetros!$C$5),"Sim","Não"))</f>
        <v/>
      </c>
      <c r="P1551" s="45" t="str">
        <f aca="false">IF($E1551="","",IF($G1551="","",IF($G1551="NOK",$F1551,0)))</f>
        <v/>
      </c>
      <c r="Q1551" s="46" t="str">
        <f aca="false">IF($E1551="","",IF($O1551&lt;&gt;"Sim","",COUNTIF($O$3:$O1551,"Sim")))</f>
        <v/>
      </c>
      <c r="R1551" s="47" t="n">
        <f aca="false">IF($P1551="",0,$P1551)</f>
        <v>0</v>
      </c>
    </row>
    <row r="1552" customFormat="false" ht="18" hidden="false" customHeight="true" outlineLevel="0" collapsed="false">
      <c r="A1552" s="39"/>
      <c r="B1552" s="41"/>
      <c r="C1552" s="40"/>
      <c r="D1552" s="40"/>
      <c r="E1552" s="40"/>
      <c r="F1552" s="42"/>
      <c r="G1552" s="39"/>
      <c r="H1552" s="40"/>
      <c r="I1552" s="40"/>
      <c r="J1552" s="40"/>
      <c r="K1552" s="41"/>
      <c r="L1552" s="39"/>
      <c r="M1552" s="48" t="str">
        <f aca="false">IF($E1552="","",IFERROR(INDEX(Parâmetros!$C$15:$C$20,MATCH($P1552,Parâmetros!$B$15:$B$20,0)),""))</f>
        <v/>
      </c>
      <c r="N1552" s="46" t="str">
        <f aca="false">IF($E1552="","",IF($P1552="","",IF($P1552&gt;=8,"Alta",IF($P1552&gt;=5,"Média","Baixa"))))</f>
        <v/>
      </c>
      <c r="O1552" s="46" t="str">
        <f aca="false">IF($E1552="","",IF(AND(Parâmetros!$C$5&gt;0,$P1552&lt;&gt;"",$P1552&gt;=Parâmetros!$C$5),"Sim","Não"))</f>
        <v/>
      </c>
      <c r="P1552" s="45" t="str">
        <f aca="false">IF($E1552="","",IF($G1552="","",IF($G1552="NOK",$F1552,0)))</f>
        <v/>
      </c>
      <c r="Q1552" s="46" t="str">
        <f aca="false">IF($E1552="","",IF($O1552&lt;&gt;"Sim","",COUNTIF($O$3:$O1552,"Sim")))</f>
        <v/>
      </c>
      <c r="R1552" s="47" t="n">
        <f aca="false">IF($P1552="",0,$P1552)</f>
        <v>0</v>
      </c>
    </row>
    <row r="1553" customFormat="false" ht="18" hidden="false" customHeight="true" outlineLevel="0" collapsed="false">
      <c r="A1553" s="39"/>
      <c r="B1553" s="41"/>
      <c r="C1553" s="40"/>
      <c r="D1553" s="40"/>
      <c r="E1553" s="40"/>
      <c r="F1553" s="42"/>
      <c r="G1553" s="39"/>
      <c r="H1553" s="40"/>
      <c r="I1553" s="40"/>
      <c r="J1553" s="40"/>
      <c r="K1553" s="41"/>
      <c r="L1553" s="39"/>
      <c r="M1553" s="48" t="str">
        <f aca="false">IF($E1553="","",IFERROR(INDEX(Parâmetros!$C$15:$C$20,MATCH($P1553,Parâmetros!$B$15:$B$20,0)),""))</f>
        <v/>
      </c>
      <c r="N1553" s="46" t="str">
        <f aca="false">IF($E1553="","",IF($P1553="","",IF($P1553&gt;=8,"Alta",IF($P1553&gt;=5,"Média","Baixa"))))</f>
        <v/>
      </c>
      <c r="O1553" s="46" t="str">
        <f aca="false">IF($E1553="","",IF(AND(Parâmetros!$C$5&gt;0,$P1553&lt;&gt;"",$P1553&gt;=Parâmetros!$C$5),"Sim","Não"))</f>
        <v/>
      </c>
      <c r="P1553" s="45" t="str">
        <f aca="false">IF($E1553="","",IF($G1553="","",IF($G1553="NOK",$F1553,0)))</f>
        <v/>
      </c>
      <c r="Q1553" s="46" t="str">
        <f aca="false">IF($E1553="","",IF($O1553&lt;&gt;"Sim","",COUNTIF($O$3:$O1553,"Sim")))</f>
        <v/>
      </c>
      <c r="R1553" s="47" t="n">
        <f aca="false">IF($P1553="",0,$P1553)</f>
        <v>0</v>
      </c>
    </row>
    <row r="1554" customFormat="false" ht="18" hidden="false" customHeight="true" outlineLevel="0" collapsed="false">
      <c r="A1554" s="39"/>
      <c r="B1554" s="41"/>
      <c r="C1554" s="40"/>
      <c r="D1554" s="40"/>
      <c r="E1554" s="40"/>
      <c r="F1554" s="42"/>
      <c r="G1554" s="39"/>
      <c r="H1554" s="40"/>
      <c r="I1554" s="40"/>
      <c r="J1554" s="40"/>
      <c r="K1554" s="41"/>
      <c r="L1554" s="39"/>
      <c r="M1554" s="48" t="str">
        <f aca="false">IF($E1554="","",IFERROR(INDEX(Parâmetros!$C$15:$C$20,MATCH($P1554,Parâmetros!$B$15:$B$20,0)),""))</f>
        <v/>
      </c>
      <c r="N1554" s="46" t="str">
        <f aca="false">IF($E1554="","",IF($P1554="","",IF($P1554&gt;=8,"Alta",IF($P1554&gt;=5,"Média","Baixa"))))</f>
        <v/>
      </c>
      <c r="O1554" s="46" t="str">
        <f aca="false">IF($E1554="","",IF(AND(Parâmetros!$C$5&gt;0,$P1554&lt;&gt;"",$P1554&gt;=Parâmetros!$C$5),"Sim","Não"))</f>
        <v/>
      </c>
      <c r="P1554" s="45" t="str">
        <f aca="false">IF($E1554="","",IF($G1554="","",IF($G1554="NOK",$F1554,0)))</f>
        <v/>
      </c>
      <c r="Q1554" s="46" t="str">
        <f aca="false">IF($E1554="","",IF($O1554&lt;&gt;"Sim","",COUNTIF($O$3:$O1554,"Sim")))</f>
        <v/>
      </c>
      <c r="R1554" s="47" t="n">
        <f aca="false">IF($P1554="",0,$P1554)</f>
        <v>0</v>
      </c>
    </row>
    <row r="1555" customFormat="false" ht="18" hidden="false" customHeight="true" outlineLevel="0" collapsed="false">
      <c r="A1555" s="39"/>
      <c r="B1555" s="41"/>
      <c r="C1555" s="40"/>
      <c r="D1555" s="40"/>
      <c r="E1555" s="40"/>
      <c r="F1555" s="42"/>
      <c r="G1555" s="39"/>
      <c r="H1555" s="40"/>
      <c r="I1555" s="40"/>
      <c r="J1555" s="40"/>
      <c r="K1555" s="41"/>
      <c r="L1555" s="39"/>
      <c r="M1555" s="48" t="str">
        <f aca="false">IF($E1555="","",IFERROR(INDEX(Parâmetros!$C$15:$C$20,MATCH($P1555,Parâmetros!$B$15:$B$20,0)),""))</f>
        <v/>
      </c>
      <c r="N1555" s="46" t="str">
        <f aca="false">IF($E1555="","",IF($P1555="","",IF($P1555&gt;=8,"Alta",IF($P1555&gt;=5,"Média","Baixa"))))</f>
        <v/>
      </c>
      <c r="O1555" s="46" t="str">
        <f aca="false">IF($E1555="","",IF(AND(Parâmetros!$C$5&gt;0,$P1555&lt;&gt;"",$P1555&gt;=Parâmetros!$C$5),"Sim","Não"))</f>
        <v/>
      </c>
      <c r="P1555" s="45" t="str">
        <f aca="false">IF($E1555="","",IF($G1555="","",IF($G1555="NOK",$F1555,0)))</f>
        <v/>
      </c>
      <c r="Q1555" s="46" t="str">
        <f aca="false">IF($E1555="","",IF($O1555&lt;&gt;"Sim","",COUNTIF($O$3:$O1555,"Sim")))</f>
        <v/>
      </c>
      <c r="R1555" s="47" t="n">
        <f aca="false">IF($P1555="",0,$P1555)</f>
        <v>0</v>
      </c>
    </row>
    <row r="1556" customFormat="false" ht="18" hidden="false" customHeight="true" outlineLevel="0" collapsed="false">
      <c r="A1556" s="39"/>
      <c r="B1556" s="41"/>
      <c r="C1556" s="40"/>
      <c r="D1556" s="40"/>
      <c r="E1556" s="40"/>
      <c r="F1556" s="42"/>
      <c r="G1556" s="39"/>
      <c r="H1556" s="40"/>
      <c r="I1556" s="40"/>
      <c r="J1556" s="40"/>
      <c r="K1556" s="41"/>
      <c r="L1556" s="39"/>
      <c r="M1556" s="48" t="str">
        <f aca="false">IF($E1556="","",IFERROR(INDEX(Parâmetros!$C$15:$C$20,MATCH($P1556,Parâmetros!$B$15:$B$20,0)),""))</f>
        <v/>
      </c>
      <c r="N1556" s="46" t="str">
        <f aca="false">IF($E1556="","",IF($P1556="","",IF($P1556&gt;=8,"Alta",IF($P1556&gt;=5,"Média","Baixa"))))</f>
        <v/>
      </c>
      <c r="O1556" s="46" t="str">
        <f aca="false">IF($E1556="","",IF(AND(Parâmetros!$C$5&gt;0,$P1556&lt;&gt;"",$P1556&gt;=Parâmetros!$C$5),"Sim","Não"))</f>
        <v/>
      </c>
      <c r="P1556" s="45" t="str">
        <f aca="false">IF($E1556="","",IF($G1556="","",IF($G1556="NOK",$F1556,0)))</f>
        <v/>
      </c>
      <c r="Q1556" s="46" t="str">
        <f aca="false">IF($E1556="","",IF($O1556&lt;&gt;"Sim","",COUNTIF($O$3:$O1556,"Sim")))</f>
        <v/>
      </c>
      <c r="R1556" s="47" t="n">
        <f aca="false">IF($P1556="",0,$P1556)</f>
        <v>0</v>
      </c>
    </row>
    <row r="1557" customFormat="false" ht="18" hidden="false" customHeight="true" outlineLevel="0" collapsed="false">
      <c r="A1557" s="39"/>
      <c r="B1557" s="41"/>
      <c r="C1557" s="40"/>
      <c r="D1557" s="40"/>
      <c r="E1557" s="40"/>
      <c r="F1557" s="42"/>
      <c r="G1557" s="39"/>
      <c r="H1557" s="40"/>
      <c r="I1557" s="40"/>
      <c r="J1557" s="40"/>
      <c r="K1557" s="41"/>
      <c r="L1557" s="39"/>
      <c r="M1557" s="48" t="str">
        <f aca="false">IF($E1557="","",IFERROR(INDEX(Parâmetros!$C$15:$C$20,MATCH($P1557,Parâmetros!$B$15:$B$20,0)),""))</f>
        <v/>
      </c>
      <c r="N1557" s="46" t="str">
        <f aca="false">IF($E1557="","",IF($P1557="","",IF($P1557&gt;=8,"Alta",IF($P1557&gt;=5,"Média","Baixa"))))</f>
        <v/>
      </c>
      <c r="O1557" s="46" t="str">
        <f aca="false">IF($E1557="","",IF(AND(Parâmetros!$C$5&gt;0,$P1557&lt;&gt;"",$P1557&gt;=Parâmetros!$C$5),"Sim","Não"))</f>
        <v/>
      </c>
      <c r="P1557" s="45" t="str">
        <f aca="false">IF($E1557="","",IF($G1557="","",IF($G1557="NOK",$F1557,0)))</f>
        <v/>
      </c>
      <c r="Q1557" s="46" t="str">
        <f aca="false">IF($E1557="","",IF($O1557&lt;&gt;"Sim","",COUNTIF($O$3:$O1557,"Sim")))</f>
        <v/>
      </c>
      <c r="R1557" s="47" t="n">
        <f aca="false">IF($P1557="",0,$P1557)</f>
        <v>0</v>
      </c>
    </row>
    <row r="1558" customFormat="false" ht="18" hidden="false" customHeight="true" outlineLevel="0" collapsed="false">
      <c r="A1558" s="39"/>
      <c r="B1558" s="41"/>
      <c r="C1558" s="40"/>
      <c r="D1558" s="40"/>
      <c r="E1558" s="40"/>
      <c r="F1558" s="42"/>
      <c r="G1558" s="39"/>
      <c r="H1558" s="40"/>
      <c r="I1558" s="40"/>
      <c r="J1558" s="40"/>
      <c r="K1558" s="41"/>
      <c r="L1558" s="39"/>
      <c r="M1558" s="48" t="str">
        <f aca="false">IF($E1558="","",IFERROR(INDEX(Parâmetros!$C$15:$C$20,MATCH($P1558,Parâmetros!$B$15:$B$20,0)),""))</f>
        <v/>
      </c>
      <c r="N1558" s="46" t="str">
        <f aca="false">IF($E1558="","",IF($P1558="","",IF($P1558&gt;=8,"Alta",IF($P1558&gt;=5,"Média","Baixa"))))</f>
        <v/>
      </c>
      <c r="O1558" s="46" t="str">
        <f aca="false">IF($E1558="","",IF(AND(Parâmetros!$C$5&gt;0,$P1558&lt;&gt;"",$P1558&gt;=Parâmetros!$C$5),"Sim","Não"))</f>
        <v/>
      </c>
      <c r="P1558" s="45" t="str">
        <f aca="false">IF($E1558="","",IF($G1558="","",IF($G1558="NOK",$F1558,0)))</f>
        <v/>
      </c>
      <c r="Q1558" s="46" t="str">
        <f aca="false">IF($E1558="","",IF($O1558&lt;&gt;"Sim","",COUNTIF($O$3:$O1558,"Sim")))</f>
        <v/>
      </c>
      <c r="R1558" s="47" t="n">
        <f aca="false">IF($P1558="",0,$P1558)</f>
        <v>0</v>
      </c>
    </row>
    <row r="1559" customFormat="false" ht="18" hidden="false" customHeight="true" outlineLevel="0" collapsed="false">
      <c r="A1559" s="39"/>
      <c r="B1559" s="41"/>
      <c r="C1559" s="40"/>
      <c r="D1559" s="40"/>
      <c r="E1559" s="40"/>
      <c r="F1559" s="42"/>
      <c r="G1559" s="39"/>
      <c r="H1559" s="40"/>
      <c r="I1559" s="40"/>
      <c r="J1559" s="40"/>
      <c r="K1559" s="41"/>
      <c r="L1559" s="39"/>
      <c r="M1559" s="48" t="str">
        <f aca="false">IF($E1559="","",IFERROR(INDEX(Parâmetros!$C$15:$C$20,MATCH($P1559,Parâmetros!$B$15:$B$20,0)),""))</f>
        <v/>
      </c>
      <c r="N1559" s="46" t="str">
        <f aca="false">IF($E1559="","",IF($P1559="","",IF($P1559&gt;=8,"Alta",IF($P1559&gt;=5,"Média","Baixa"))))</f>
        <v/>
      </c>
      <c r="O1559" s="46" t="str">
        <f aca="false">IF($E1559="","",IF(AND(Parâmetros!$C$5&gt;0,$P1559&lt;&gt;"",$P1559&gt;=Parâmetros!$C$5),"Sim","Não"))</f>
        <v/>
      </c>
      <c r="P1559" s="45" t="str">
        <f aca="false">IF($E1559="","",IF($G1559="","",IF($G1559="NOK",$F1559,0)))</f>
        <v/>
      </c>
      <c r="Q1559" s="46" t="str">
        <f aca="false">IF($E1559="","",IF($O1559&lt;&gt;"Sim","",COUNTIF($O$3:$O1559,"Sim")))</f>
        <v/>
      </c>
      <c r="R1559" s="47" t="n">
        <f aca="false">IF($P1559="",0,$P1559)</f>
        <v>0</v>
      </c>
    </row>
    <row r="1560" customFormat="false" ht="18" hidden="false" customHeight="true" outlineLevel="0" collapsed="false">
      <c r="A1560" s="39"/>
      <c r="B1560" s="41"/>
      <c r="C1560" s="40"/>
      <c r="D1560" s="40"/>
      <c r="E1560" s="40"/>
      <c r="F1560" s="42"/>
      <c r="G1560" s="39"/>
      <c r="H1560" s="40"/>
      <c r="I1560" s="40"/>
      <c r="J1560" s="40"/>
      <c r="K1560" s="41"/>
      <c r="L1560" s="39"/>
      <c r="M1560" s="48" t="str">
        <f aca="false">IF($E1560="","",IFERROR(INDEX(Parâmetros!$C$15:$C$20,MATCH($P1560,Parâmetros!$B$15:$B$20,0)),""))</f>
        <v/>
      </c>
      <c r="N1560" s="46" t="str">
        <f aca="false">IF($E1560="","",IF($P1560="","",IF($P1560&gt;=8,"Alta",IF($P1560&gt;=5,"Média","Baixa"))))</f>
        <v/>
      </c>
      <c r="O1560" s="46" t="str">
        <f aca="false">IF($E1560="","",IF(AND(Parâmetros!$C$5&gt;0,$P1560&lt;&gt;"",$P1560&gt;=Parâmetros!$C$5),"Sim","Não"))</f>
        <v/>
      </c>
      <c r="P1560" s="45" t="str">
        <f aca="false">IF($E1560="","",IF($G1560="","",IF($G1560="NOK",$F1560,0)))</f>
        <v/>
      </c>
      <c r="Q1560" s="46" t="str">
        <f aca="false">IF($E1560="","",IF($O1560&lt;&gt;"Sim","",COUNTIF($O$3:$O1560,"Sim")))</f>
        <v/>
      </c>
      <c r="R1560" s="47" t="n">
        <f aca="false">IF($P1560="",0,$P1560)</f>
        <v>0</v>
      </c>
    </row>
    <row r="1561" customFormat="false" ht="18" hidden="false" customHeight="true" outlineLevel="0" collapsed="false">
      <c r="A1561" s="39"/>
      <c r="B1561" s="41"/>
      <c r="C1561" s="40"/>
      <c r="D1561" s="40"/>
      <c r="E1561" s="40"/>
      <c r="F1561" s="42"/>
      <c r="G1561" s="39"/>
      <c r="H1561" s="40"/>
      <c r="I1561" s="40"/>
      <c r="J1561" s="40"/>
      <c r="K1561" s="41"/>
      <c r="L1561" s="39"/>
      <c r="M1561" s="48" t="str">
        <f aca="false">IF($E1561="","",IFERROR(INDEX(Parâmetros!$C$15:$C$20,MATCH($P1561,Parâmetros!$B$15:$B$20,0)),""))</f>
        <v/>
      </c>
      <c r="N1561" s="46" t="str">
        <f aca="false">IF($E1561="","",IF($P1561="","",IF($P1561&gt;=8,"Alta",IF($P1561&gt;=5,"Média","Baixa"))))</f>
        <v/>
      </c>
      <c r="O1561" s="46" t="str">
        <f aca="false">IF($E1561="","",IF(AND(Parâmetros!$C$5&gt;0,$P1561&lt;&gt;"",$P1561&gt;=Parâmetros!$C$5),"Sim","Não"))</f>
        <v/>
      </c>
      <c r="P1561" s="45" t="str">
        <f aca="false">IF($E1561="","",IF($G1561="","",IF($G1561="NOK",$F1561,0)))</f>
        <v/>
      </c>
      <c r="Q1561" s="46" t="str">
        <f aca="false">IF($E1561="","",IF($O1561&lt;&gt;"Sim","",COUNTIF($O$3:$O1561,"Sim")))</f>
        <v/>
      </c>
      <c r="R1561" s="47" t="n">
        <f aca="false">IF($P1561="",0,$P1561)</f>
        <v>0</v>
      </c>
    </row>
    <row r="1562" customFormat="false" ht="18" hidden="false" customHeight="true" outlineLevel="0" collapsed="false">
      <c r="A1562" s="39"/>
      <c r="B1562" s="41"/>
      <c r="C1562" s="40"/>
      <c r="D1562" s="40"/>
      <c r="E1562" s="40"/>
      <c r="F1562" s="42"/>
      <c r="G1562" s="39"/>
      <c r="H1562" s="40"/>
      <c r="I1562" s="40"/>
      <c r="J1562" s="40"/>
      <c r="K1562" s="41"/>
      <c r="L1562" s="39"/>
      <c r="M1562" s="48" t="str">
        <f aca="false">IF($E1562="","",IFERROR(INDEX(Parâmetros!$C$15:$C$20,MATCH($P1562,Parâmetros!$B$15:$B$20,0)),""))</f>
        <v/>
      </c>
      <c r="N1562" s="46" t="str">
        <f aca="false">IF($E1562="","",IF($P1562="","",IF($P1562&gt;=8,"Alta",IF($P1562&gt;=5,"Média","Baixa"))))</f>
        <v/>
      </c>
      <c r="O1562" s="46" t="str">
        <f aca="false">IF($E1562="","",IF(AND(Parâmetros!$C$5&gt;0,$P1562&lt;&gt;"",$P1562&gt;=Parâmetros!$C$5),"Sim","Não"))</f>
        <v/>
      </c>
      <c r="P1562" s="45" t="str">
        <f aca="false">IF($E1562="","",IF($G1562="","",IF($G1562="NOK",$F1562,0)))</f>
        <v/>
      </c>
      <c r="Q1562" s="46" t="str">
        <f aca="false">IF($E1562="","",IF($O1562&lt;&gt;"Sim","",COUNTIF($O$3:$O1562,"Sim")))</f>
        <v/>
      </c>
      <c r="R1562" s="47" t="n">
        <f aca="false">IF($P1562="",0,$P1562)</f>
        <v>0</v>
      </c>
    </row>
    <row r="1563" customFormat="false" ht="18" hidden="false" customHeight="true" outlineLevel="0" collapsed="false">
      <c r="A1563" s="39"/>
      <c r="B1563" s="41"/>
      <c r="C1563" s="40"/>
      <c r="D1563" s="40"/>
      <c r="E1563" s="40"/>
      <c r="F1563" s="42"/>
      <c r="G1563" s="39"/>
      <c r="H1563" s="40"/>
      <c r="I1563" s="40"/>
      <c r="J1563" s="40"/>
      <c r="K1563" s="41"/>
      <c r="L1563" s="39"/>
      <c r="M1563" s="48" t="str">
        <f aca="false">IF($E1563="","",IFERROR(INDEX(Parâmetros!$C$15:$C$20,MATCH($P1563,Parâmetros!$B$15:$B$20,0)),""))</f>
        <v/>
      </c>
      <c r="N1563" s="46" t="str">
        <f aca="false">IF($E1563="","",IF($P1563="","",IF($P1563&gt;=8,"Alta",IF($P1563&gt;=5,"Média","Baixa"))))</f>
        <v/>
      </c>
      <c r="O1563" s="46" t="str">
        <f aca="false">IF($E1563="","",IF(AND(Parâmetros!$C$5&gt;0,$P1563&lt;&gt;"",$P1563&gt;=Parâmetros!$C$5),"Sim","Não"))</f>
        <v/>
      </c>
      <c r="P1563" s="45" t="str">
        <f aca="false">IF($E1563="","",IF($G1563="","",IF($G1563="NOK",$F1563,0)))</f>
        <v/>
      </c>
      <c r="Q1563" s="46" t="str">
        <f aca="false">IF($E1563="","",IF($O1563&lt;&gt;"Sim","",COUNTIF($O$3:$O1563,"Sim")))</f>
        <v/>
      </c>
      <c r="R1563" s="47" t="n">
        <f aca="false">IF($P1563="",0,$P1563)</f>
        <v>0</v>
      </c>
    </row>
    <row r="1564" customFormat="false" ht="18" hidden="false" customHeight="true" outlineLevel="0" collapsed="false">
      <c r="A1564" s="39"/>
      <c r="B1564" s="41"/>
      <c r="C1564" s="40"/>
      <c r="D1564" s="40"/>
      <c r="E1564" s="40"/>
      <c r="F1564" s="42"/>
      <c r="G1564" s="39"/>
      <c r="H1564" s="40"/>
      <c r="I1564" s="40"/>
      <c r="J1564" s="40"/>
      <c r="K1564" s="41"/>
      <c r="L1564" s="39"/>
      <c r="M1564" s="48" t="str">
        <f aca="false">IF($E1564="","",IFERROR(INDEX(Parâmetros!$C$15:$C$20,MATCH($P1564,Parâmetros!$B$15:$B$20,0)),""))</f>
        <v/>
      </c>
      <c r="N1564" s="46" t="str">
        <f aca="false">IF($E1564="","",IF($P1564="","",IF($P1564&gt;=8,"Alta",IF($P1564&gt;=5,"Média","Baixa"))))</f>
        <v/>
      </c>
      <c r="O1564" s="46" t="str">
        <f aca="false">IF($E1564="","",IF(AND(Parâmetros!$C$5&gt;0,$P1564&lt;&gt;"",$P1564&gt;=Parâmetros!$C$5),"Sim","Não"))</f>
        <v/>
      </c>
      <c r="P1564" s="45" t="str">
        <f aca="false">IF($E1564="","",IF($G1564="","",IF($G1564="NOK",$F1564,0)))</f>
        <v/>
      </c>
      <c r="Q1564" s="46" t="str">
        <f aca="false">IF($E1564="","",IF($O1564&lt;&gt;"Sim","",COUNTIF($O$3:$O1564,"Sim")))</f>
        <v/>
      </c>
      <c r="R1564" s="47" t="n">
        <f aca="false">IF($P1564="",0,$P1564)</f>
        <v>0</v>
      </c>
    </row>
    <row r="1565" customFormat="false" ht="18" hidden="false" customHeight="true" outlineLevel="0" collapsed="false">
      <c r="A1565" s="39"/>
      <c r="B1565" s="41"/>
      <c r="C1565" s="40"/>
      <c r="D1565" s="40"/>
      <c r="E1565" s="40"/>
      <c r="F1565" s="42"/>
      <c r="G1565" s="39"/>
      <c r="H1565" s="40"/>
      <c r="I1565" s="40"/>
      <c r="J1565" s="40"/>
      <c r="K1565" s="41"/>
      <c r="L1565" s="39"/>
      <c r="M1565" s="48" t="str">
        <f aca="false">IF($E1565="","",IFERROR(INDEX(Parâmetros!$C$15:$C$20,MATCH($P1565,Parâmetros!$B$15:$B$20,0)),""))</f>
        <v/>
      </c>
      <c r="N1565" s="46" t="str">
        <f aca="false">IF($E1565="","",IF($P1565="","",IF($P1565&gt;=8,"Alta",IF($P1565&gt;=5,"Média","Baixa"))))</f>
        <v/>
      </c>
      <c r="O1565" s="46" t="str">
        <f aca="false">IF($E1565="","",IF(AND(Parâmetros!$C$5&gt;0,$P1565&lt;&gt;"",$P1565&gt;=Parâmetros!$C$5),"Sim","Não"))</f>
        <v/>
      </c>
      <c r="P1565" s="45" t="str">
        <f aca="false">IF($E1565="","",IF($G1565="","",IF($G1565="NOK",$F1565,0)))</f>
        <v/>
      </c>
      <c r="Q1565" s="46" t="str">
        <f aca="false">IF($E1565="","",IF($O1565&lt;&gt;"Sim","",COUNTIF($O$3:$O1565,"Sim")))</f>
        <v/>
      </c>
      <c r="R1565" s="47" t="n">
        <f aca="false">IF($P1565="",0,$P1565)</f>
        <v>0</v>
      </c>
    </row>
    <row r="1566" customFormat="false" ht="18" hidden="false" customHeight="true" outlineLevel="0" collapsed="false">
      <c r="A1566" s="39"/>
      <c r="B1566" s="41"/>
      <c r="C1566" s="40"/>
      <c r="D1566" s="40"/>
      <c r="E1566" s="40"/>
      <c r="F1566" s="42"/>
      <c r="G1566" s="39"/>
      <c r="H1566" s="40"/>
      <c r="I1566" s="40"/>
      <c r="J1566" s="40"/>
      <c r="K1566" s="41"/>
      <c r="L1566" s="39"/>
      <c r="M1566" s="48" t="str">
        <f aca="false">IF($E1566="","",IFERROR(INDEX(Parâmetros!$C$15:$C$20,MATCH($P1566,Parâmetros!$B$15:$B$20,0)),""))</f>
        <v/>
      </c>
      <c r="N1566" s="46" t="str">
        <f aca="false">IF($E1566="","",IF($P1566="","",IF($P1566&gt;=8,"Alta",IF($P1566&gt;=5,"Média","Baixa"))))</f>
        <v/>
      </c>
      <c r="O1566" s="46" t="str">
        <f aca="false">IF($E1566="","",IF(AND(Parâmetros!$C$5&gt;0,$P1566&lt;&gt;"",$P1566&gt;=Parâmetros!$C$5),"Sim","Não"))</f>
        <v/>
      </c>
      <c r="P1566" s="45" t="str">
        <f aca="false">IF($E1566="","",IF($G1566="","",IF($G1566="NOK",$F1566,0)))</f>
        <v/>
      </c>
      <c r="Q1566" s="46" t="str">
        <f aca="false">IF($E1566="","",IF($O1566&lt;&gt;"Sim","",COUNTIF($O$3:$O1566,"Sim")))</f>
        <v/>
      </c>
      <c r="R1566" s="47" t="n">
        <f aca="false">IF($P1566="",0,$P1566)</f>
        <v>0</v>
      </c>
    </row>
    <row r="1567" customFormat="false" ht="18" hidden="false" customHeight="true" outlineLevel="0" collapsed="false">
      <c r="A1567" s="39"/>
      <c r="B1567" s="41"/>
      <c r="C1567" s="40"/>
      <c r="D1567" s="40"/>
      <c r="E1567" s="40"/>
      <c r="F1567" s="42"/>
      <c r="G1567" s="39"/>
      <c r="H1567" s="40"/>
      <c r="I1567" s="40"/>
      <c r="J1567" s="40"/>
      <c r="K1567" s="41"/>
      <c r="L1567" s="39"/>
      <c r="M1567" s="48" t="str">
        <f aca="false">IF($E1567="","",IFERROR(INDEX(Parâmetros!$C$15:$C$20,MATCH($P1567,Parâmetros!$B$15:$B$20,0)),""))</f>
        <v/>
      </c>
      <c r="N1567" s="46" t="str">
        <f aca="false">IF($E1567="","",IF($P1567="","",IF($P1567&gt;=8,"Alta",IF($P1567&gt;=5,"Média","Baixa"))))</f>
        <v/>
      </c>
      <c r="O1567" s="46" t="str">
        <f aca="false">IF($E1567="","",IF(AND(Parâmetros!$C$5&gt;0,$P1567&lt;&gt;"",$P1567&gt;=Parâmetros!$C$5),"Sim","Não"))</f>
        <v/>
      </c>
      <c r="P1567" s="45" t="str">
        <f aca="false">IF($E1567="","",IF($G1567="","",IF($G1567="NOK",$F1567,0)))</f>
        <v/>
      </c>
      <c r="Q1567" s="46" t="str">
        <f aca="false">IF($E1567="","",IF($O1567&lt;&gt;"Sim","",COUNTIF($O$3:$O1567,"Sim")))</f>
        <v/>
      </c>
      <c r="R1567" s="47" t="n">
        <f aca="false">IF($P1567="",0,$P1567)</f>
        <v>0</v>
      </c>
    </row>
    <row r="1568" customFormat="false" ht="18" hidden="false" customHeight="true" outlineLevel="0" collapsed="false">
      <c r="A1568" s="39"/>
      <c r="B1568" s="41"/>
      <c r="C1568" s="40"/>
      <c r="D1568" s="40"/>
      <c r="E1568" s="40"/>
      <c r="F1568" s="42"/>
      <c r="G1568" s="39"/>
      <c r="H1568" s="40"/>
      <c r="I1568" s="40"/>
      <c r="J1568" s="40"/>
      <c r="K1568" s="41"/>
      <c r="L1568" s="39"/>
      <c r="M1568" s="48" t="str">
        <f aca="false">IF($E1568="","",IFERROR(INDEX(Parâmetros!$C$15:$C$20,MATCH($P1568,Parâmetros!$B$15:$B$20,0)),""))</f>
        <v/>
      </c>
      <c r="N1568" s="46" t="str">
        <f aca="false">IF($E1568="","",IF($P1568="","",IF($P1568&gt;=8,"Alta",IF($P1568&gt;=5,"Média","Baixa"))))</f>
        <v/>
      </c>
      <c r="O1568" s="46" t="str">
        <f aca="false">IF($E1568="","",IF(AND(Parâmetros!$C$5&gt;0,$P1568&lt;&gt;"",$P1568&gt;=Parâmetros!$C$5),"Sim","Não"))</f>
        <v/>
      </c>
      <c r="P1568" s="45" t="str">
        <f aca="false">IF($E1568="","",IF($G1568="","",IF($G1568="NOK",$F1568,0)))</f>
        <v/>
      </c>
      <c r="Q1568" s="46" t="str">
        <f aca="false">IF($E1568="","",IF($O1568&lt;&gt;"Sim","",COUNTIF($O$3:$O1568,"Sim")))</f>
        <v/>
      </c>
      <c r="R1568" s="47" t="n">
        <f aca="false">IF($P1568="",0,$P1568)</f>
        <v>0</v>
      </c>
    </row>
    <row r="1569" customFormat="false" ht="18" hidden="false" customHeight="true" outlineLevel="0" collapsed="false">
      <c r="A1569" s="39"/>
      <c r="B1569" s="41"/>
      <c r="C1569" s="40"/>
      <c r="D1569" s="40"/>
      <c r="E1569" s="40"/>
      <c r="F1569" s="42"/>
      <c r="G1569" s="39"/>
      <c r="H1569" s="40"/>
      <c r="I1569" s="40"/>
      <c r="J1569" s="40"/>
      <c r="K1569" s="41"/>
      <c r="L1569" s="39"/>
      <c r="M1569" s="48" t="str">
        <f aca="false">IF($E1569="","",IFERROR(INDEX(Parâmetros!$C$15:$C$20,MATCH($P1569,Parâmetros!$B$15:$B$20,0)),""))</f>
        <v/>
      </c>
      <c r="N1569" s="46" t="str">
        <f aca="false">IF($E1569="","",IF($P1569="","",IF($P1569&gt;=8,"Alta",IF($P1569&gt;=5,"Média","Baixa"))))</f>
        <v/>
      </c>
      <c r="O1569" s="46" t="str">
        <f aca="false">IF($E1569="","",IF(AND(Parâmetros!$C$5&gt;0,$P1569&lt;&gt;"",$P1569&gt;=Parâmetros!$C$5),"Sim","Não"))</f>
        <v/>
      </c>
      <c r="P1569" s="45" t="str">
        <f aca="false">IF($E1569="","",IF($G1569="","",IF($G1569="NOK",$F1569,0)))</f>
        <v/>
      </c>
      <c r="Q1569" s="46" t="str">
        <f aca="false">IF($E1569="","",IF($O1569&lt;&gt;"Sim","",COUNTIF($O$3:$O1569,"Sim")))</f>
        <v/>
      </c>
      <c r="R1569" s="47" t="n">
        <f aca="false">IF($P1569="",0,$P1569)</f>
        <v>0</v>
      </c>
    </row>
    <row r="1570" customFormat="false" ht="18" hidden="false" customHeight="true" outlineLevel="0" collapsed="false">
      <c r="A1570" s="39"/>
      <c r="B1570" s="41"/>
      <c r="C1570" s="40"/>
      <c r="D1570" s="40"/>
      <c r="E1570" s="40"/>
      <c r="F1570" s="42"/>
      <c r="G1570" s="39"/>
      <c r="H1570" s="40"/>
      <c r="I1570" s="40"/>
      <c r="J1570" s="40"/>
      <c r="K1570" s="41"/>
      <c r="L1570" s="39"/>
      <c r="M1570" s="48" t="str">
        <f aca="false">IF($E1570="","",IFERROR(INDEX(Parâmetros!$C$15:$C$20,MATCH($P1570,Parâmetros!$B$15:$B$20,0)),""))</f>
        <v/>
      </c>
      <c r="N1570" s="46" t="str">
        <f aca="false">IF($E1570="","",IF($P1570="","",IF($P1570&gt;=8,"Alta",IF($P1570&gt;=5,"Média","Baixa"))))</f>
        <v/>
      </c>
      <c r="O1570" s="46" t="str">
        <f aca="false">IF($E1570="","",IF(AND(Parâmetros!$C$5&gt;0,$P1570&lt;&gt;"",$P1570&gt;=Parâmetros!$C$5),"Sim","Não"))</f>
        <v/>
      </c>
      <c r="P1570" s="45" t="str">
        <f aca="false">IF($E1570="","",IF($G1570="","",IF($G1570="NOK",$F1570,0)))</f>
        <v/>
      </c>
      <c r="Q1570" s="46" t="str">
        <f aca="false">IF($E1570="","",IF($O1570&lt;&gt;"Sim","",COUNTIF($O$3:$O1570,"Sim")))</f>
        <v/>
      </c>
      <c r="R1570" s="47" t="n">
        <f aca="false">IF($P1570="",0,$P1570)</f>
        <v>0</v>
      </c>
    </row>
    <row r="1571" customFormat="false" ht="18" hidden="false" customHeight="true" outlineLevel="0" collapsed="false">
      <c r="A1571" s="39"/>
      <c r="B1571" s="41"/>
      <c r="C1571" s="40"/>
      <c r="D1571" s="40"/>
      <c r="E1571" s="40"/>
      <c r="F1571" s="42"/>
      <c r="G1571" s="39"/>
      <c r="H1571" s="40"/>
      <c r="I1571" s="40"/>
      <c r="J1571" s="40"/>
      <c r="K1571" s="41"/>
      <c r="L1571" s="39"/>
      <c r="M1571" s="48" t="str">
        <f aca="false">IF($E1571="","",IFERROR(INDEX(Parâmetros!$C$15:$C$20,MATCH($P1571,Parâmetros!$B$15:$B$20,0)),""))</f>
        <v/>
      </c>
      <c r="N1571" s="46" t="str">
        <f aca="false">IF($E1571="","",IF($P1571="","",IF($P1571&gt;=8,"Alta",IF($P1571&gt;=5,"Média","Baixa"))))</f>
        <v/>
      </c>
      <c r="O1571" s="46" t="str">
        <f aca="false">IF($E1571="","",IF(AND(Parâmetros!$C$5&gt;0,$P1571&lt;&gt;"",$P1571&gt;=Parâmetros!$C$5),"Sim","Não"))</f>
        <v/>
      </c>
      <c r="P1571" s="45" t="str">
        <f aca="false">IF($E1571="","",IF($G1571="","",IF($G1571="NOK",$F1571,0)))</f>
        <v/>
      </c>
      <c r="Q1571" s="46" t="str">
        <f aca="false">IF($E1571="","",IF($O1571&lt;&gt;"Sim","",COUNTIF($O$3:$O1571,"Sim")))</f>
        <v/>
      </c>
      <c r="R1571" s="47" t="n">
        <f aca="false">IF($P1571="",0,$P1571)</f>
        <v>0</v>
      </c>
    </row>
    <row r="1572" customFormat="false" ht="18" hidden="false" customHeight="true" outlineLevel="0" collapsed="false">
      <c r="A1572" s="39"/>
      <c r="B1572" s="41"/>
      <c r="C1572" s="40"/>
      <c r="D1572" s="40"/>
      <c r="E1572" s="40"/>
      <c r="F1572" s="42"/>
      <c r="G1572" s="39"/>
      <c r="H1572" s="40"/>
      <c r="I1572" s="40"/>
      <c r="J1572" s="40"/>
      <c r="K1572" s="41"/>
      <c r="L1572" s="39"/>
      <c r="M1572" s="48" t="str">
        <f aca="false">IF($E1572="","",IFERROR(INDEX(Parâmetros!$C$15:$C$20,MATCH($P1572,Parâmetros!$B$15:$B$20,0)),""))</f>
        <v/>
      </c>
      <c r="N1572" s="46" t="str">
        <f aca="false">IF($E1572="","",IF($P1572="","",IF($P1572&gt;=8,"Alta",IF($P1572&gt;=5,"Média","Baixa"))))</f>
        <v/>
      </c>
      <c r="O1572" s="46" t="str">
        <f aca="false">IF($E1572="","",IF(AND(Parâmetros!$C$5&gt;0,$P1572&lt;&gt;"",$P1572&gt;=Parâmetros!$C$5),"Sim","Não"))</f>
        <v/>
      </c>
      <c r="P1572" s="45" t="str">
        <f aca="false">IF($E1572="","",IF($G1572="","",IF($G1572="NOK",$F1572,0)))</f>
        <v/>
      </c>
      <c r="Q1572" s="46" t="str">
        <f aca="false">IF($E1572="","",IF($O1572&lt;&gt;"Sim","",COUNTIF($O$3:$O1572,"Sim")))</f>
        <v/>
      </c>
      <c r="R1572" s="47" t="n">
        <f aca="false">IF($P1572="",0,$P1572)</f>
        <v>0</v>
      </c>
    </row>
    <row r="1573" customFormat="false" ht="18" hidden="false" customHeight="true" outlineLevel="0" collapsed="false">
      <c r="A1573" s="39"/>
      <c r="B1573" s="41"/>
      <c r="C1573" s="40"/>
      <c r="D1573" s="40"/>
      <c r="E1573" s="40"/>
      <c r="F1573" s="42"/>
      <c r="G1573" s="39"/>
      <c r="H1573" s="40"/>
      <c r="I1573" s="40"/>
      <c r="J1573" s="40"/>
      <c r="K1573" s="41"/>
      <c r="L1573" s="39"/>
      <c r="M1573" s="48" t="str">
        <f aca="false">IF($E1573="","",IFERROR(INDEX(Parâmetros!$C$15:$C$20,MATCH($P1573,Parâmetros!$B$15:$B$20,0)),""))</f>
        <v/>
      </c>
      <c r="N1573" s="46" t="str">
        <f aca="false">IF($E1573="","",IF($P1573="","",IF($P1573&gt;=8,"Alta",IF($P1573&gt;=5,"Média","Baixa"))))</f>
        <v/>
      </c>
      <c r="O1573" s="46" t="str">
        <f aca="false">IF($E1573="","",IF(AND(Parâmetros!$C$5&gt;0,$P1573&lt;&gt;"",$P1573&gt;=Parâmetros!$C$5),"Sim","Não"))</f>
        <v/>
      </c>
      <c r="P1573" s="45" t="str">
        <f aca="false">IF($E1573="","",IF($G1573="","",IF($G1573="NOK",$F1573,0)))</f>
        <v/>
      </c>
      <c r="Q1573" s="46" t="str">
        <f aca="false">IF($E1573="","",IF($O1573&lt;&gt;"Sim","",COUNTIF($O$3:$O1573,"Sim")))</f>
        <v/>
      </c>
      <c r="R1573" s="47" t="n">
        <f aca="false">IF($P1573="",0,$P1573)</f>
        <v>0</v>
      </c>
    </row>
    <row r="1574" customFormat="false" ht="18" hidden="false" customHeight="true" outlineLevel="0" collapsed="false">
      <c r="A1574" s="39"/>
      <c r="B1574" s="41"/>
      <c r="C1574" s="40"/>
      <c r="D1574" s="40"/>
      <c r="E1574" s="40"/>
      <c r="F1574" s="42"/>
      <c r="G1574" s="39"/>
      <c r="H1574" s="40"/>
      <c r="I1574" s="40"/>
      <c r="J1574" s="40"/>
      <c r="K1574" s="41"/>
      <c r="L1574" s="39"/>
      <c r="M1574" s="48" t="str">
        <f aca="false">IF($E1574="","",IFERROR(INDEX(Parâmetros!$C$15:$C$20,MATCH($P1574,Parâmetros!$B$15:$B$20,0)),""))</f>
        <v/>
      </c>
      <c r="N1574" s="46" t="str">
        <f aca="false">IF($E1574="","",IF($P1574="","",IF($P1574&gt;=8,"Alta",IF($P1574&gt;=5,"Média","Baixa"))))</f>
        <v/>
      </c>
      <c r="O1574" s="46" t="str">
        <f aca="false">IF($E1574="","",IF(AND(Parâmetros!$C$5&gt;0,$P1574&lt;&gt;"",$P1574&gt;=Parâmetros!$C$5),"Sim","Não"))</f>
        <v/>
      </c>
      <c r="P1574" s="45" t="str">
        <f aca="false">IF($E1574="","",IF($G1574="","",IF($G1574="NOK",$F1574,0)))</f>
        <v/>
      </c>
      <c r="Q1574" s="46" t="str">
        <f aca="false">IF($E1574="","",IF($O1574&lt;&gt;"Sim","",COUNTIF($O$3:$O1574,"Sim")))</f>
        <v/>
      </c>
      <c r="R1574" s="47" t="n">
        <f aca="false">IF($P1574="",0,$P1574)</f>
        <v>0</v>
      </c>
    </row>
    <row r="1575" customFormat="false" ht="18" hidden="false" customHeight="true" outlineLevel="0" collapsed="false">
      <c r="A1575" s="39"/>
      <c r="B1575" s="41"/>
      <c r="C1575" s="40"/>
      <c r="D1575" s="40"/>
      <c r="E1575" s="40"/>
      <c r="F1575" s="42"/>
      <c r="G1575" s="39"/>
      <c r="H1575" s="40"/>
      <c r="I1575" s="40"/>
      <c r="J1575" s="40"/>
      <c r="K1575" s="41"/>
      <c r="L1575" s="39"/>
      <c r="M1575" s="48" t="str">
        <f aca="false">IF($E1575="","",IFERROR(INDEX(Parâmetros!$C$15:$C$20,MATCH($P1575,Parâmetros!$B$15:$B$20,0)),""))</f>
        <v/>
      </c>
      <c r="N1575" s="46" t="str">
        <f aca="false">IF($E1575="","",IF($P1575="","",IF($P1575&gt;=8,"Alta",IF($P1575&gt;=5,"Média","Baixa"))))</f>
        <v/>
      </c>
      <c r="O1575" s="46" t="str">
        <f aca="false">IF($E1575="","",IF(AND(Parâmetros!$C$5&gt;0,$P1575&lt;&gt;"",$P1575&gt;=Parâmetros!$C$5),"Sim","Não"))</f>
        <v/>
      </c>
      <c r="P1575" s="45" t="str">
        <f aca="false">IF($E1575="","",IF($G1575="","",IF($G1575="NOK",$F1575,0)))</f>
        <v/>
      </c>
      <c r="Q1575" s="46" t="str">
        <f aca="false">IF($E1575="","",IF($O1575&lt;&gt;"Sim","",COUNTIF($O$3:$O1575,"Sim")))</f>
        <v/>
      </c>
      <c r="R1575" s="47" t="n">
        <f aca="false">IF($P1575="",0,$P1575)</f>
        <v>0</v>
      </c>
    </row>
    <row r="1576" customFormat="false" ht="18" hidden="false" customHeight="true" outlineLevel="0" collapsed="false">
      <c r="A1576" s="39"/>
      <c r="B1576" s="41"/>
      <c r="C1576" s="40"/>
      <c r="D1576" s="40"/>
      <c r="E1576" s="40"/>
      <c r="F1576" s="42"/>
      <c r="G1576" s="39"/>
      <c r="H1576" s="40"/>
      <c r="I1576" s="40"/>
      <c r="J1576" s="40"/>
      <c r="K1576" s="41"/>
      <c r="L1576" s="39"/>
      <c r="M1576" s="48" t="str">
        <f aca="false">IF($E1576="","",IFERROR(INDEX(Parâmetros!$C$15:$C$20,MATCH($P1576,Parâmetros!$B$15:$B$20,0)),""))</f>
        <v/>
      </c>
      <c r="N1576" s="46" t="str">
        <f aca="false">IF($E1576="","",IF($P1576="","",IF($P1576&gt;=8,"Alta",IF($P1576&gt;=5,"Média","Baixa"))))</f>
        <v/>
      </c>
      <c r="O1576" s="46" t="str">
        <f aca="false">IF($E1576="","",IF(AND(Parâmetros!$C$5&gt;0,$P1576&lt;&gt;"",$P1576&gt;=Parâmetros!$C$5),"Sim","Não"))</f>
        <v/>
      </c>
      <c r="P1576" s="45" t="str">
        <f aca="false">IF($E1576="","",IF($G1576="","",IF($G1576="NOK",$F1576,0)))</f>
        <v/>
      </c>
      <c r="Q1576" s="46" t="str">
        <f aca="false">IF($E1576="","",IF($O1576&lt;&gt;"Sim","",COUNTIF($O$3:$O1576,"Sim")))</f>
        <v/>
      </c>
      <c r="R1576" s="47" t="n">
        <f aca="false">IF($P1576="",0,$P1576)</f>
        <v>0</v>
      </c>
    </row>
    <row r="1577" customFormat="false" ht="18" hidden="false" customHeight="true" outlineLevel="0" collapsed="false">
      <c r="A1577" s="39"/>
      <c r="B1577" s="41"/>
      <c r="C1577" s="40"/>
      <c r="D1577" s="40"/>
      <c r="E1577" s="40"/>
      <c r="F1577" s="42"/>
      <c r="G1577" s="39"/>
      <c r="H1577" s="40"/>
      <c r="I1577" s="40"/>
      <c r="J1577" s="40"/>
      <c r="K1577" s="41"/>
      <c r="L1577" s="39"/>
      <c r="M1577" s="48" t="str">
        <f aca="false">IF($E1577="","",IFERROR(INDEX(Parâmetros!$C$15:$C$20,MATCH($P1577,Parâmetros!$B$15:$B$20,0)),""))</f>
        <v/>
      </c>
      <c r="N1577" s="46" t="str">
        <f aca="false">IF($E1577="","",IF($P1577="","",IF($P1577&gt;=8,"Alta",IF($P1577&gt;=5,"Média","Baixa"))))</f>
        <v/>
      </c>
      <c r="O1577" s="46" t="str">
        <f aca="false">IF($E1577="","",IF(AND(Parâmetros!$C$5&gt;0,$P1577&lt;&gt;"",$P1577&gt;=Parâmetros!$C$5),"Sim","Não"))</f>
        <v/>
      </c>
      <c r="P1577" s="45" t="str">
        <f aca="false">IF($E1577="","",IF($G1577="","",IF($G1577="NOK",$F1577,0)))</f>
        <v/>
      </c>
      <c r="Q1577" s="46" t="str">
        <f aca="false">IF($E1577="","",IF($O1577&lt;&gt;"Sim","",COUNTIF($O$3:$O1577,"Sim")))</f>
        <v/>
      </c>
      <c r="R1577" s="47" t="n">
        <f aca="false">IF($P1577="",0,$P1577)</f>
        <v>0</v>
      </c>
    </row>
    <row r="1578" customFormat="false" ht="18" hidden="false" customHeight="true" outlineLevel="0" collapsed="false">
      <c r="A1578" s="39"/>
      <c r="B1578" s="41"/>
      <c r="C1578" s="40"/>
      <c r="D1578" s="40"/>
      <c r="E1578" s="40"/>
      <c r="F1578" s="42"/>
      <c r="G1578" s="39"/>
      <c r="H1578" s="40"/>
      <c r="I1578" s="40"/>
      <c r="J1578" s="40"/>
      <c r="K1578" s="41"/>
      <c r="L1578" s="39"/>
      <c r="M1578" s="48" t="str">
        <f aca="false">IF($E1578="","",IFERROR(INDEX(Parâmetros!$C$15:$C$20,MATCH($P1578,Parâmetros!$B$15:$B$20,0)),""))</f>
        <v/>
      </c>
      <c r="N1578" s="46" t="str">
        <f aca="false">IF($E1578="","",IF($P1578="","",IF($P1578&gt;=8,"Alta",IF($P1578&gt;=5,"Média","Baixa"))))</f>
        <v/>
      </c>
      <c r="O1578" s="46" t="str">
        <f aca="false">IF($E1578="","",IF(AND(Parâmetros!$C$5&gt;0,$P1578&lt;&gt;"",$P1578&gt;=Parâmetros!$C$5),"Sim","Não"))</f>
        <v/>
      </c>
      <c r="P1578" s="45" t="str">
        <f aca="false">IF($E1578="","",IF($G1578="","",IF($G1578="NOK",$F1578,0)))</f>
        <v/>
      </c>
      <c r="Q1578" s="46" t="str">
        <f aca="false">IF($E1578="","",IF($O1578&lt;&gt;"Sim","",COUNTIF($O$3:$O1578,"Sim")))</f>
        <v/>
      </c>
      <c r="R1578" s="47" t="n">
        <f aca="false">IF($P1578="",0,$P1578)</f>
        <v>0</v>
      </c>
    </row>
    <row r="1579" customFormat="false" ht="18" hidden="false" customHeight="true" outlineLevel="0" collapsed="false">
      <c r="A1579" s="39"/>
      <c r="B1579" s="41"/>
      <c r="C1579" s="40"/>
      <c r="D1579" s="40"/>
      <c r="E1579" s="40"/>
      <c r="F1579" s="42"/>
      <c r="G1579" s="39"/>
      <c r="H1579" s="40"/>
      <c r="I1579" s="40"/>
      <c r="J1579" s="40"/>
      <c r="K1579" s="41"/>
      <c r="L1579" s="39"/>
      <c r="M1579" s="48" t="str">
        <f aca="false">IF($E1579="","",IFERROR(INDEX(Parâmetros!$C$15:$C$20,MATCH($P1579,Parâmetros!$B$15:$B$20,0)),""))</f>
        <v/>
      </c>
      <c r="N1579" s="46" t="str">
        <f aca="false">IF($E1579="","",IF($P1579="","",IF($P1579&gt;=8,"Alta",IF($P1579&gt;=5,"Média","Baixa"))))</f>
        <v/>
      </c>
      <c r="O1579" s="46" t="str">
        <f aca="false">IF($E1579="","",IF(AND(Parâmetros!$C$5&gt;0,$P1579&lt;&gt;"",$P1579&gt;=Parâmetros!$C$5),"Sim","Não"))</f>
        <v/>
      </c>
      <c r="P1579" s="45" t="str">
        <f aca="false">IF($E1579="","",IF($G1579="","",IF($G1579="NOK",$F1579,0)))</f>
        <v/>
      </c>
      <c r="Q1579" s="46" t="str">
        <f aca="false">IF($E1579="","",IF($O1579&lt;&gt;"Sim","",COUNTIF($O$3:$O1579,"Sim")))</f>
        <v/>
      </c>
      <c r="R1579" s="47" t="n">
        <f aca="false">IF($P1579="",0,$P1579)</f>
        <v>0</v>
      </c>
    </row>
    <row r="1580" customFormat="false" ht="18" hidden="false" customHeight="true" outlineLevel="0" collapsed="false">
      <c r="A1580" s="39"/>
      <c r="B1580" s="41"/>
      <c r="C1580" s="40"/>
      <c r="D1580" s="40"/>
      <c r="E1580" s="40"/>
      <c r="F1580" s="42"/>
      <c r="G1580" s="39"/>
      <c r="H1580" s="40"/>
      <c r="I1580" s="40"/>
      <c r="J1580" s="40"/>
      <c r="K1580" s="41"/>
      <c r="L1580" s="39"/>
      <c r="M1580" s="48" t="str">
        <f aca="false">IF($E1580="","",IFERROR(INDEX(Parâmetros!$C$15:$C$20,MATCH($P1580,Parâmetros!$B$15:$B$20,0)),""))</f>
        <v/>
      </c>
      <c r="N1580" s="46" t="str">
        <f aca="false">IF($E1580="","",IF($P1580="","",IF($P1580&gt;=8,"Alta",IF($P1580&gt;=5,"Média","Baixa"))))</f>
        <v/>
      </c>
      <c r="O1580" s="46" t="str">
        <f aca="false">IF($E1580="","",IF(AND(Parâmetros!$C$5&gt;0,$P1580&lt;&gt;"",$P1580&gt;=Parâmetros!$C$5),"Sim","Não"))</f>
        <v/>
      </c>
      <c r="P1580" s="45" t="str">
        <f aca="false">IF($E1580="","",IF($G1580="","",IF($G1580="NOK",$F1580,0)))</f>
        <v/>
      </c>
      <c r="Q1580" s="46" t="str">
        <f aca="false">IF($E1580="","",IF($O1580&lt;&gt;"Sim","",COUNTIF($O$3:$O1580,"Sim")))</f>
        <v/>
      </c>
      <c r="R1580" s="47" t="n">
        <f aca="false">IF($P1580="",0,$P1580)</f>
        <v>0</v>
      </c>
    </row>
    <row r="1581" customFormat="false" ht="18" hidden="false" customHeight="true" outlineLevel="0" collapsed="false">
      <c r="A1581" s="39"/>
      <c r="B1581" s="41"/>
      <c r="C1581" s="40"/>
      <c r="D1581" s="40"/>
      <c r="E1581" s="40"/>
      <c r="F1581" s="42"/>
      <c r="G1581" s="39"/>
      <c r="H1581" s="40"/>
      <c r="I1581" s="40"/>
      <c r="J1581" s="40"/>
      <c r="K1581" s="41"/>
      <c r="L1581" s="39"/>
      <c r="M1581" s="48" t="str">
        <f aca="false">IF($E1581="","",IFERROR(INDEX(Parâmetros!$C$15:$C$20,MATCH($P1581,Parâmetros!$B$15:$B$20,0)),""))</f>
        <v/>
      </c>
      <c r="N1581" s="46" t="str">
        <f aca="false">IF($E1581="","",IF($P1581="","",IF($P1581&gt;=8,"Alta",IF($P1581&gt;=5,"Média","Baixa"))))</f>
        <v/>
      </c>
      <c r="O1581" s="46" t="str">
        <f aca="false">IF($E1581="","",IF(AND(Parâmetros!$C$5&gt;0,$P1581&lt;&gt;"",$P1581&gt;=Parâmetros!$C$5),"Sim","Não"))</f>
        <v/>
      </c>
      <c r="P1581" s="45" t="str">
        <f aca="false">IF($E1581="","",IF($G1581="","",IF($G1581="NOK",$F1581,0)))</f>
        <v/>
      </c>
      <c r="Q1581" s="46" t="str">
        <f aca="false">IF($E1581="","",IF($O1581&lt;&gt;"Sim","",COUNTIF($O$3:$O1581,"Sim")))</f>
        <v/>
      </c>
      <c r="R1581" s="47" t="n">
        <f aca="false">IF($P1581="",0,$P1581)</f>
        <v>0</v>
      </c>
    </row>
    <row r="1582" customFormat="false" ht="18" hidden="false" customHeight="true" outlineLevel="0" collapsed="false">
      <c r="A1582" s="39"/>
      <c r="B1582" s="41"/>
      <c r="C1582" s="40"/>
      <c r="D1582" s="40"/>
      <c r="E1582" s="40"/>
      <c r="F1582" s="42"/>
      <c r="G1582" s="39"/>
      <c r="H1582" s="40"/>
      <c r="I1582" s="40"/>
      <c r="J1582" s="40"/>
      <c r="K1582" s="41"/>
      <c r="L1582" s="39"/>
      <c r="M1582" s="48" t="str">
        <f aca="false">IF($E1582="","",IFERROR(INDEX(Parâmetros!$C$15:$C$20,MATCH($P1582,Parâmetros!$B$15:$B$20,0)),""))</f>
        <v/>
      </c>
      <c r="N1582" s="46" t="str">
        <f aca="false">IF($E1582="","",IF($P1582="","",IF($P1582&gt;=8,"Alta",IF($P1582&gt;=5,"Média","Baixa"))))</f>
        <v/>
      </c>
      <c r="O1582" s="46" t="str">
        <f aca="false">IF($E1582="","",IF(AND(Parâmetros!$C$5&gt;0,$P1582&lt;&gt;"",$P1582&gt;=Parâmetros!$C$5),"Sim","Não"))</f>
        <v/>
      </c>
      <c r="P1582" s="45" t="str">
        <f aca="false">IF($E1582="","",IF($G1582="","",IF($G1582="NOK",$F1582,0)))</f>
        <v/>
      </c>
      <c r="Q1582" s="46" t="str">
        <f aca="false">IF($E1582="","",IF($O1582&lt;&gt;"Sim","",COUNTIF($O$3:$O1582,"Sim")))</f>
        <v/>
      </c>
      <c r="R1582" s="47" t="n">
        <f aca="false">IF($P1582="",0,$P1582)</f>
        <v>0</v>
      </c>
    </row>
    <row r="1583" customFormat="false" ht="18" hidden="false" customHeight="true" outlineLevel="0" collapsed="false">
      <c r="A1583" s="39"/>
      <c r="B1583" s="41"/>
      <c r="C1583" s="40"/>
      <c r="D1583" s="40"/>
      <c r="E1583" s="40"/>
      <c r="F1583" s="42"/>
      <c r="G1583" s="39"/>
      <c r="H1583" s="40"/>
      <c r="I1583" s="40"/>
      <c r="J1583" s="40"/>
      <c r="K1583" s="41"/>
      <c r="L1583" s="39"/>
      <c r="M1583" s="48" t="str">
        <f aca="false">IF($E1583="","",IFERROR(INDEX(Parâmetros!$C$15:$C$20,MATCH($P1583,Parâmetros!$B$15:$B$20,0)),""))</f>
        <v/>
      </c>
      <c r="N1583" s="46" t="str">
        <f aca="false">IF($E1583="","",IF($P1583="","",IF($P1583&gt;=8,"Alta",IF($P1583&gt;=5,"Média","Baixa"))))</f>
        <v/>
      </c>
      <c r="O1583" s="46" t="str">
        <f aca="false">IF($E1583="","",IF(AND(Parâmetros!$C$5&gt;0,$P1583&lt;&gt;"",$P1583&gt;=Parâmetros!$C$5),"Sim","Não"))</f>
        <v/>
      </c>
      <c r="P1583" s="45" t="str">
        <f aca="false">IF($E1583="","",IF($G1583="","",IF($G1583="NOK",$F1583,0)))</f>
        <v/>
      </c>
      <c r="Q1583" s="46" t="str">
        <f aca="false">IF($E1583="","",IF($O1583&lt;&gt;"Sim","",COUNTIF($O$3:$O1583,"Sim")))</f>
        <v/>
      </c>
      <c r="R1583" s="47" t="n">
        <f aca="false">IF($P1583="",0,$P1583)</f>
        <v>0</v>
      </c>
    </row>
    <row r="1584" customFormat="false" ht="18" hidden="false" customHeight="true" outlineLevel="0" collapsed="false">
      <c r="A1584" s="39"/>
      <c r="B1584" s="41"/>
      <c r="C1584" s="40"/>
      <c r="D1584" s="40"/>
      <c r="E1584" s="40"/>
      <c r="F1584" s="42"/>
      <c r="G1584" s="39"/>
      <c r="H1584" s="40"/>
      <c r="I1584" s="40"/>
      <c r="J1584" s="40"/>
      <c r="K1584" s="41"/>
      <c r="L1584" s="39"/>
      <c r="M1584" s="48" t="str">
        <f aca="false">IF($E1584="","",IFERROR(INDEX(Parâmetros!$C$15:$C$20,MATCH($P1584,Parâmetros!$B$15:$B$20,0)),""))</f>
        <v/>
      </c>
      <c r="N1584" s="46" t="str">
        <f aca="false">IF($E1584="","",IF($P1584="","",IF($P1584&gt;=8,"Alta",IF($P1584&gt;=5,"Média","Baixa"))))</f>
        <v/>
      </c>
      <c r="O1584" s="46" t="str">
        <f aca="false">IF($E1584="","",IF(AND(Parâmetros!$C$5&gt;0,$P1584&lt;&gt;"",$P1584&gt;=Parâmetros!$C$5),"Sim","Não"))</f>
        <v/>
      </c>
      <c r="P1584" s="45" t="str">
        <f aca="false">IF($E1584="","",IF($G1584="","",IF($G1584="NOK",$F1584,0)))</f>
        <v/>
      </c>
      <c r="Q1584" s="46" t="str">
        <f aca="false">IF($E1584="","",IF($O1584&lt;&gt;"Sim","",COUNTIF($O$3:$O1584,"Sim")))</f>
        <v/>
      </c>
      <c r="R1584" s="47" t="n">
        <f aca="false">IF($P1584="",0,$P1584)</f>
        <v>0</v>
      </c>
    </row>
    <row r="1585" customFormat="false" ht="18" hidden="false" customHeight="true" outlineLevel="0" collapsed="false">
      <c r="A1585" s="39"/>
      <c r="B1585" s="41"/>
      <c r="C1585" s="40"/>
      <c r="D1585" s="40"/>
      <c r="E1585" s="40"/>
      <c r="F1585" s="42"/>
      <c r="G1585" s="39"/>
      <c r="H1585" s="40"/>
      <c r="I1585" s="40"/>
      <c r="J1585" s="40"/>
      <c r="K1585" s="41"/>
      <c r="L1585" s="39"/>
      <c r="M1585" s="48" t="str">
        <f aca="false">IF($E1585="","",IFERROR(INDEX(Parâmetros!$C$15:$C$20,MATCH($P1585,Parâmetros!$B$15:$B$20,0)),""))</f>
        <v/>
      </c>
      <c r="N1585" s="46" t="str">
        <f aca="false">IF($E1585="","",IF($P1585="","",IF($P1585&gt;=8,"Alta",IF($P1585&gt;=5,"Média","Baixa"))))</f>
        <v/>
      </c>
      <c r="O1585" s="46" t="str">
        <f aca="false">IF($E1585="","",IF(AND(Parâmetros!$C$5&gt;0,$P1585&lt;&gt;"",$P1585&gt;=Parâmetros!$C$5),"Sim","Não"))</f>
        <v/>
      </c>
      <c r="P1585" s="45" t="str">
        <f aca="false">IF($E1585="","",IF($G1585="","",IF($G1585="NOK",$F1585,0)))</f>
        <v/>
      </c>
      <c r="Q1585" s="46" t="str">
        <f aca="false">IF($E1585="","",IF($O1585&lt;&gt;"Sim","",COUNTIF($O$3:$O1585,"Sim")))</f>
        <v/>
      </c>
      <c r="R1585" s="47" t="n">
        <f aca="false">IF($P1585="",0,$P1585)</f>
        <v>0</v>
      </c>
    </row>
    <row r="1586" customFormat="false" ht="18" hidden="false" customHeight="true" outlineLevel="0" collapsed="false">
      <c r="A1586" s="39"/>
      <c r="B1586" s="41"/>
      <c r="C1586" s="40"/>
      <c r="D1586" s="40"/>
      <c r="E1586" s="40"/>
      <c r="F1586" s="42"/>
      <c r="G1586" s="39"/>
      <c r="H1586" s="40"/>
      <c r="I1586" s="40"/>
      <c r="J1586" s="40"/>
      <c r="K1586" s="41"/>
      <c r="L1586" s="39"/>
      <c r="M1586" s="48" t="str">
        <f aca="false">IF($E1586="","",IFERROR(INDEX(Parâmetros!$C$15:$C$20,MATCH($P1586,Parâmetros!$B$15:$B$20,0)),""))</f>
        <v/>
      </c>
      <c r="N1586" s="46" t="str">
        <f aca="false">IF($E1586="","",IF($P1586="","",IF($P1586&gt;=8,"Alta",IF($P1586&gt;=5,"Média","Baixa"))))</f>
        <v/>
      </c>
      <c r="O1586" s="46" t="str">
        <f aca="false">IF($E1586="","",IF(AND(Parâmetros!$C$5&gt;0,$P1586&lt;&gt;"",$P1586&gt;=Parâmetros!$C$5),"Sim","Não"))</f>
        <v/>
      </c>
      <c r="P1586" s="45" t="str">
        <f aca="false">IF($E1586="","",IF($G1586="","",IF($G1586="NOK",$F1586,0)))</f>
        <v/>
      </c>
      <c r="Q1586" s="46" t="str">
        <f aca="false">IF($E1586="","",IF($O1586&lt;&gt;"Sim","",COUNTIF($O$3:$O1586,"Sim")))</f>
        <v/>
      </c>
      <c r="R1586" s="47" t="n">
        <f aca="false">IF($P1586="",0,$P1586)</f>
        <v>0</v>
      </c>
    </row>
    <row r="1587" customFormat="false" ht="18" hidden="false" customHeight="true" outlineLevel="0" collapsed="false">
      <c r="A1587" s="39"/>
      <c r="B1587" s="41"/>
      <c r="C1587" s="40"/>
      <c r="D1587" s="40"/>
      <c r="E1587" s="40"/>
      <c r="F1587" s="42"/>
      <c r="G1587" s="39"/>
      <c r="H1587" s="40"/>
      <c r="I1587" s="40"/>
      <c r="J1587" s="40"/>
      <c r="K1587" s="41"/>
      <c r="L1587" s="39"/>
      <c r="M1587" s="48" t="str">
        <f aca="false">IF($E1587="","",IFERROR(INDEX(Parâmetros!$C$15:$C$20,MATCH($P1587,Parâmetros!$B$15:$B$20,0)),""))</f>
        <v/>
      </c>
      <c r="N1587" s="46" t="str">
        <f aca="false">IF($E1587="","",IF($P1587="","",IF($P1587&gt;=8,"Alta",IF($P1587&gt;=5,"Média","Baixa"))))</f>
        <v/>
      </c>
      <c r="O1587" s="46" t="str">
        <f aca="false">IF($E1587="","",IF(AND(Parâmetros!$C$5&gt;0,$P1587&lt;&gt;"",$P1587&gt;=Parâmetros!$C$5),"Sim","Não"))</f>
        <v/>
      </c>
      <c r="P1587" s="45" t="str">
        <f aca="false">IF($E1587="","",IF($G1587="","",IF($G1587="NOK",$F1587,0)))</f>
        <v/>
      </c>
      <c r="Q1587" s="46" t="str">
        <f aca="false">IF($E1587="","",IF($O1587&lt;&gt;"Sim","",COUNTIF($O$3:$O1587,"Sim")))</f>
        <v/>
      </c>
      <c r="R1587" s="47" t="n">
        <f aca="false">IF($P1587="",0,$P1587)</f>
        <v>0</v>
      </c>
    </row>
    <row r="1588" customFormat="false" ht="18" hidden="false" customHeight="true" outlineLevel="0" collapsed="false">
      <c r="A1588" s="39"/>
      <c r="B1588" s="41"/>
      <c r="C1588" s="40"/>
      <c r="D1588" s="40"/>
      <c r="E1588" s="40"/>
      <c r="F1588" s="42"/>
      <c r="G1588" s="39"/>
      <c r="H1588" s="40"/>
      <c r="I1588" s="40"/>
      <c r="J1588" s="40"/>
      <c r="K1588" s="41"/>
      <c r="L1588" s="39"/>
      <c r="M1588" s="48" t="str">
        <f aca="false">IF($E1588="","",IFERROR(INDEX(Parâmetros!$C$15:$C$20,MATCH($P1588,Parâmetros!$B$15:$B$20,0)),""))</f>
        <v/>
      </c>
      <c r="N1588" s="46" t="str">
        <f aca="false">IF($E1588="","",IF($P1588="","",IF($P1588&gt;=8,"Alta",IF($P1588&gt;=5,"Média","Baixa"))))</f>
        <v/>
      </c>
      <c r="O1588" s="46" t="str">
        <f aca="false">IF($E1588="","",IF(AND(Parâmetros!$C$5&gt;0,$P1588&lt;&gt;"",$P1588&gt;=Parâmetros!$C$5),"Sim","Não"))</f>
        <v/>
      </c>
      <c r="P1588" s="45" t="str">
        <f aca="false">IF($E1588="","",IF($G1588="","",IF($G1588="NOK",$F1588,0)))</f>
        <v/>
      </c>
      <c r="Q1588" s="46" t="str">
        <f aca="false">IF($E1588="","",IF($O1588&lt;&gt;"Sim","",COUNTIF($O$3:$O1588,"Sim")))</f>
        <v/>
      </c>
      <c r="R1588" s="47" t="n">
        <f aca="false">IF($P1588="",0,$P1588)</f>
        <v>0</v>
      </c>
    </row>
    <row r="1589" customFormat="false" ht="18" hidden="false" customHeight="true" outlineLevel="0" collapsed="false">
      <c r="A1589" s="39"/>
      <c r="B1589" s="41"/>
      <c r="C1589" s="40"/>
      <c r="D1589" s="40"/>
      <c r="E1589" s="40"/>
      <c r="F1589" s="42"/>
      <c r="G1589" s="39"/>
      <c r="H1589" s="40"/>
      <c r="I1589" s="40"/>
      <c r="J1589" s="40"/>
      <c r="K1589" s="41"/>
      <c r="L1589" s="39"/>
      <c r="M1589" s="48" t="str">
        <f aca="false">IF($E1589="","",IFERROR(INDEX(Parâmetros!$C$15:$C$20,MATCH($P1589,Parâmetros!$B$15:$B$20,0)),""))</f>
        <v/>
      </c>
      <c r="N1589" s="46" t="str">
        <f aca="false">IF($E1589="","",IF($P1589="","",IF($P1589&gt;=8,"Alta",IF($P1589&gt;=5,"Média","Baixa"))))</f>
        <v/>
      </c>
      <c r="O1589" s="46" t="str">
        <f aca="false">IF($E1589="","",IF(AND(Parâmetros!$C$5&gt;0,$P1589&lt;&gt;"",$P1589&gt;=Parâmetros!$C$5),"Sim","Não"))</f>
        <v/>
      </c>
      <c r="P1589" s="45" t="str">
        <f aca="false">IF($E1589="","",IF($G1589="","",IF($G1589="NOK",$F1589,0)))</f>
        <v/>
      </c>
      <c r="Q1589" s="46" t="str">
        <f aca="false">IF($E1589="","",IF($O1589&lt;&gt;"Sim","",COUNTIF($O$3:$O1589,"Sim")))</f>
        <v/>
      </c>
      <c r="R1589" s="47" t="n">
        <f aca="false">IF($P1589="",0,$P1589)</f>
        <v>0</v>
      </c>
    </row>
    <row r="1590" customFormat="false" ht="18" hidden="false" customHeight="true" outlineLevel="0" collapsed="false">
      <c r="A1590" s="39"/>
      <c r="B1590" s="41"/>
      <c r="C1590" s="40"/>
      <c r="D1590" s="40"/>
      <c r="E1590" s="40"/>
      <c r="F1590" s="42"/>
      <c r="G1590" s="39"/>
      <c r="H1590" s="40"/>
      <c r="I1590" s="40"/>
      <c r="J1590" s="40"/>
      <c r="K1590" s="41"/>
      <c r="L1590" s="39"/>
      <c r="M1590" s="48" t="str">
        <f aca="false">IF($E1590="","",IFERROR(INDEX(Parâmetros!$C$15:$C$20,MATCH($P1590,Parâmetros!$B$15:$B$20,0)),""))</f>
        <v/>
      </c>
      <c r="N1590" s="46" t="str">
        <f aca="false">IF($E1590="","",IF($P1590="","",IF($P1590&gt;=8,"Alta",IF($P1590&gt;=5,"Média","Baixa"))))</f>
        <v/>
      </c>
      <c r="O1590" s="46" t="str">
        <f aca="false">IF($E1590="","",IF(AND(Parâmetros!$C$5&gt;0,$P1590&lt;&gt;"",$P1590&gt;=Parâmetros!$C$5),"Sim","Não"))</f>
        <v/>
      </c>
      <c r="P1590" s="45" t="str">
        <f aca="false">IF($E1590="","",IF($G1590="","",IF($G1590="NOK",$F1590,0)))</f>
        <v/>
      </c>
      <c r="Q1590" s="46" t="str">
        <f aca="false">IF($E1590="","",IF($O1590&lt;&gt;"Sim","",COUNTIF($O$3:$O1590,"Sim")))</f>
        <v/>
      </c>
      <c r="R1590" s="47" t="n">
        <f aca="false">IF($P1590="",0,$P1590)</f>
        <v>0</v>
      </c>
    </row>
    <row r="1591" customFormat="false" ht="18" hidden="false" customHeight="true" outlineLevel="0" collapsed="false">
      <c r="A1591" s="39"/>
      <c r="B1591" s="41"/>
      <c r="C1591" s="40"/>
      <c r="D1591" s="40"/>
      <c r="E1591" s="40"/>
      <c r="F1591" s="42"/>
      <c r="G1591" s="39"/>
      <c r="H1591" s="40"/>
      <c r="I1591" s="40"/>
      <c r="J1591" s="40"/>
      <c r="K1591" s="41"/>
      <c r="L1591" s="39"/>
      <c r="M1591" s="48" t="str">
        <f aca="false">IF($E1591="","",IFERROR(INDEX(Parâmetros!$C$15:$C$20,MATCH($P1591,Parâmetros!$B$15:$B$20,0)),""))</f>
        <v/>
      </c>
      <c r="N1591" s="46" t="str">
        <f aca="false">IF($E1591="","",IF($P1591="","",IF($P1591&gt;=8,"Alta",IF($P1591&gt;=5,"Média","Baixa"))))</f>
        <v/>
      </c>
      <c r="O1591" s="46" t="str">
        <f aca="false">IF($E1591="","",IF(AND(Parâmetros!$C$5&gt;0,$P1591&lt;&gt;"",$P1591&gt;=Parâmetros!$C$5),"Sim","Não"))</f>
        <v/>
      </c>
      <c r="P1591" s="45" t="str">
        <f aca="false">IF($E1591="","",IF($G1591="","",IF($G1591="NOK",$F1591,0)))</f>
        <v/>
      </c>
      <c r="Q1591" s="46" t="str">
        <f aca="false">IF($E1591="","",IF($O1591&lt;&gt;"Sim","",COUNTIF($O$3:$O1591,"Sim")))</f>
        <v/>
      </c>
      <c r="R1591" s="47" t="n">
        <f aca="false">IF($P1591="",0,$P1591)</f>
        <v>0</v>
      </c>
    </row>
    <row r="1592" customFormat="false" ht="18" hidden="false" customHeight="true" outlineLevel="0" collapsed="false">
      <c r="A1592" s="39"/>
      <c r="B1592" s="41"/>
      <c r="C1592" s="40"/>
      <c r="D1592" s="40"/>
      <c r="E1592" s="40"/>
      <c r="F1592" s="42"/>
      <c r="G1592" s="39"/>
      <c r="H1592" s="40"/>
      <c r="I1592" s="40"/>
      <c r="J1592" s="40"/>
      <c r="K1592" s="41"/>
      <c r="L1592" s="39"/>
      <c r="M1592" s="48" t="str">
        <f aca="false">IF($E1592="","",IFERROR(INDEX(Parâmetros!$C$15:$C$20,MATCH($P1592,Parâmetros!$B$15:$B$20,0)),""))</f>
        <v/>
      </c>
      <c r="N1592" s="46" t="str">
        <f aca="false">IF($E1592="","",IF($P1592="","",IF($P1592&gt;=8,"Alta",IF($P1592&gt;=5,"Média","Baixa"))))</f>
        <v/>
      </c>
      <c r="O1592" s="46" t="str">
        <f aca="false">IF($E1592="","",IF(AND(Parâmetros!$C$5&gt;0,$P1592&lt;&gt;"",$P1592&gt;=Parâmetros!$C$5),"Sim","Não"))</f>
        <v/>
      </c>
      <c r="P1592" s="45" t="str">
        <f aca="false">IF($E1592="","",IF($G1592="","",IF($G1592="NOK",$F1592,0)))</f>
        <v/>
      </c>
      <c r="Q1592" s="46" t="str">
        <f aca="false">IF($E1592="","",IF($O1592&lt;&gt;"Sim","",COUNTIF($O$3:$O1592,"Sim")))</f>
        <v/>
      </c>
      <c r="R1592" s="47" t="n">
        <f aca="false">IF($P1592="",0,$P1592)</f>
        <v>0</v>
      </c>
    </row>
    <row r="1593" customFormat="false" ht="18" hidden="false" customHeight="true" outlineLevel="0" collapsed="false">
      <c r="A1593" s="39"/>
      <c r="B1593" s="41"/>
      <c r="C1593" s="40"/>
      <c r="D1593" s="40"/>
      <c r="E1593" s="40"/>
      <c r="F1593" s="42"/>
      <c r="G1593" s="39"/>
      <c r="H1593" s="40"/>
      <c r="I1593" s="40"/>
      <c r="J1593" s="40"/>
      <c r="K1593" s="41"/>
      <c r="L1593" s="39"/>
      <c r="M1593" s="48" t="str">
        <f aca="false">IF($E1593="","",IFERROR(INDEX(Parâmetros!$C$15:$C$20,MATCH($P1593,Parâmetros!$B$15:$B$20,0)),""))</f>
        <v/>
      </c>
      <c r="N1593" s="46" t="str">
        <f aca="false">IF($E1593="","",IF($P1593="","",IF($P1593&gt;=8,"Alta",IF($P1593&gt;=5,"Média","Baixa"))))</f>
        <v/>
      </c>
      <c r="O1593" s="46" t="str">
        <f aca="false">IF($E1593="","",IF(AND(Parâmetros!$C$5&gt;0,$P1593&lt;&gt;"",$P1593&gt;=Parâmetros!$C$5),"Sim","Não"))</f>
        <v/>
      </c>
      <c r="P1593" s="45" t="str">
        <f aca="false">IF($E1593="","",IF($G1593="","",IF($G1593="NOK",$F1593,0)))</f>
        <v/>
      </c>
      <c r="Q1593" s="46" t="str">
        <f aca="false">IF($E1593="","",IF($O1593&lt;&gt;"Sim","",COUNTIF($O$3:$O1593,"Sim")))</f>
        <v/>
      </c>
      <c r="R1593" s="47" t="n">
        <f aca="false">IF($P1593="",0,$P1593)</f>
        <v>0</v>
      </c>
    </row>
    <row r="1594" customFormat="false" ht="18" hidden="false" customHeight="true" outlineLevel="0" collapsed="false">
      <c r="A1594" s="39"/>
      <c r="B1594" s="41"/>
      <c r="C1594" s="40"/>
      <c r="D1594" s="40"/>
      <c r="E1594" s="40"/>
      <c r="F1594" s="42"/>
      <c r="G1594" s="39"/>
      <c r="H1594" s="40"/>
      <c r="I1594" s="40"/>
      <c r="J1594" s="40"/>
      <c r="K1594" s="41"/>
      <c r="L1594" s="39"/>
      <c r="M1594" s="48" t="str">
        <f aca="false">IF($E1594="","",IFERROR(INDEX(Parâmetros!$C$15:$C$20,MATCH($P1594,Parâmetros!$B$15:$B$20,0)),""))</f>
        <v/>
      </c>
      <c r="N1594" s="46" t="str">
        <f aca="false">IF($E1594="","",IF($P1594="","",IF($P1594&gt;=8,"Alta",IF($P1594&gt;=5,"Média","Baixa"))))</f>
        <v/>
      </c>
      <c r="O1594" s="46" t="str">
        <f aca="false">IF($E1594="","",IF(AND(Parâmetros!$C$5&gt;0,$P1594&lt;&gt;"",$P1594&gt;=Parâmetros!$C$5),"Sim","Não"))</f>
        <v/>
      </c>
      <c r="P1594" s="45" t="str">
        <f aca="false">IF($E1594="","",IF($G1594="","",IF($G1594="NOK",$F1594,0)))</f>
        <v/>
      </c>
      <c r="Q1594" s="46" t="str">
        <f aca="false">IF($E1594="","",IF($O1594&lt;&gt;"Sim","",COUNTIF($O$3:$O1594,"Sim")))</f>
        <v/>
      </c>
      <c r="R1594" s="47" t="n">
        <f aca="false">IF($P1594="",0,$P1594)</f>
        <v>0</v>
      </c>
    </row>
    <row r="1595" customFormat="false" ht="18" hidden="false" customHeight="true" outlineLevel="0" collapsed="false">
      <c r="A1595" s="39"/>
      <c r="B1595" s="41"/>
      <c r="C1595" s="40"/>
      <c r="D1595" s="40"/>
      <c r="E1595" s="40"/>
      <c r="F1595" s="42"/>
      <c r="G1595" s="39"/>
      <c r="H1595" s="40"/>
      <c r="I1595" s="40"/>
      <c r="J1595" s="40"/>
      <c r="K1595" s="41"/>
      <c r="L1595" s="39"/>
      <c r="M1595" s="48" t="str">
        <f aca="false">IF($E1595="","",IFERROR(INDEX(Parâmetros!$C$15:$C$20,MATCH($P1595,Parâmetros!$B$15:$B$20,0)),""))</f>
        <v/>
      </c>
      <c r="N1595" s="46" t="str">
        <f aca="false">IF($E1595="","",IF($P1595="","",IF($P1595&gt;=8,"Alta",IF($P1595&gt;=5,"Média","Baixa"))))</f>
        <v/>
      </c>
      <c r="O1595" s="46" t="str">
        <f aca="false">IF($E1595="","",IF(AND(Parâmetros!$C$5&gt;0,$P1595&lt;&gt;"",$P1595&gt;=Parâmetros!$C$5),"Sim","Não"))</f>
        <v/>
      </c>
      <c r="P1595" s="45" t="str">
        <f aca="false">IF($E1595="","",IF($G1595="","",IF($G1595="NOK",$F1595,0)))</f>
        <v/>
      </c>
      <c r="Q1595" s="46" t="str">
        <f aca="false">IF($E1595="","",IF($O1595&lt;&gt;"Sim","",COUNTIF($O$3:$O1595,"Sim")))</f>
        <v/>
      </c>
      <c r="R1595" s="47" t="n">
        <f aca="false">IF($P1595="",0,$P1595)</f>
        <v>0</v>
      </c>
    </row>
    <row r="1596" customFormat="false" ht="18" hidden="false" customHeight="true" outlineLevel="0" collapsed="false">
      <c r="A1596" s="39"/>
      <c r="B1596" s="41"/>
      <c r="C1596" s="40"/>
      <c r="D1596" s="40"/>
      <c r="E1596" s="40"/>
      <c r="F1596" s="42"/>
      <c r="G1596" s="39"/>
      <c r="H1596" s="40"/>
      <c r="I1596" s="40"/>
      <c r="J1596" s="40"/>
      <c r="K1596" s="41"/>
      <c r="L1596" s="39"/>
      <c r="M1596" s="48" t="str">
        <f aca="false">IF($E1596="","",IFERROR(INDEX(Parâmetros!$C$15:$C$20,MATCH($P1596,Parâmetros!$B$15:$B$20,0)),""))</f>
        <v/>
      </c>
      <c r="N1596" s="46" t="str">
        <f aca="false">IF($E1596="","",IF($P1596="","",IF($P1596&gt;=8,"Alta",IF($P1596&gt;=5,"Média","Baixa"))))</f>
        <v/>
      </c>
      <c r="O1596" s="46" t="str">
        <f aca="false">IF($E1596="","",IF(AND(Parâmetros!$C$5&gt;0,$P1596&lt;&gt;"",$P1596&gt;=Parâmetros!$C$5),"Sim","Não"))</f>
        <v/>
      </c>
      <c r="P1596" s="45" t="str">
        <f aca="false">IF($E1596="","",IF($G1596="","",IF($G1596="NOK",$F1596,0)))</f>
        <v/>
      </c>
      <c r="Q1596" s="46" t="str">
        <f aca="false">IF($E1596="","",IF($O1596&lt;&gt;"Sim","",COUNTIF($O$3:$O1596,"Sim")))</f>
        <v/>
      </c>
      <c r="R1596" s="47" t="n">
        <f aca="false">IF($P1596="",0,$P1596)</f>
        <v>0</v>
      </c>
    </row>
    <row r="1597" customFormat="false" ht="18" hidden="false" customHeight="true" outlineLevel="0" collapsed="false">
      <c r="A1597" s="39"/>
      <c r="B1597" s="41"/>
      <c r="C1597" s="40"/>
      <c r="D1597" s="40"/>
      <c r="E1597" s="40"/>
      <c r="F1597" s="42"/>
      <c r="G1597" s="39"/>
      <c r="H1597" s="40"/>
      <c r="I1597" s="40"/>
      <c r="J1597" s="40"/>
      <c r="K1597" s="41"/>
      <c r="L1597" s="39"/>
      <c r="M1597" s="48" t="str">
        <f aca="false">IF($E1597="","",IFERROR(INDEX(Parâmetros!$C$15:$C$20,MATCH($P1597,Parâmetros!$B$15:$B$20,0)),""))</f>
        <v/>
      </c>
      <c r="N1597" s="46" t="str">
        <f aca="false">IF($E1597="","",IF($P1597="","",IF($P1597&gt;=8,"Alta",IF($P1597&gt;=5,"Média","Baixa"))))</f>
        <v/>
      </c>
      <c r="O1597" s="46" t="str">
        <f aca="false">IF($E1597="","",IF(AND(Parâmetros!$C$5&gt;0,$P1597&lt;&gt;"",$P1597&gt;=Parâmetros!$C$5),"Sim","Não"))</f>
        <v/>
      </c>
      <c r="P1597" s="45" t="str">
        <f aca="false">IF($E1597="","",IF($G1597="","",IF($G1597="NOK",$F1597,0)))</f>
        <v/>
      </c>
      <c r="Q1597" s="46" t="str">
        <f aca="false">IF($E1597="","",IF($O1597&lt;&gt;"Sim","",COUNTIF($O$3:$O1597,"Sim")))</f>
        <v/>
      </c>
      <c r="R1597" s="47" t="n">
        <f aca="false">IF($P1597="",0,$P1597)</f>
        <v>0</v>
      </c>
    </row>
    <row r="1598" customFormat="false" ht="18" hidden="false" customHeight="true" outlineLevel="0" collapsed="false">
      <c r="A1598" s="39"/>
      <c r="B1598" s="41"/>
      <c r="C1598" s="40"/>
      <c r="D1598" s="40"/>
      <c r="E1598" s="40"/>
      <c r="F1598" s="42"/>
      <c r="G1598" s="39"/>
      <c r="H1598" s="40"/>
      <c r="I1598" s="40"/>
      <c r="J1598" s="40"/>
      <c r="K1598" s="41"/>
      <c r="L1598" s="39"/>
      <c r="M1598" s="48" t="str">
        <f aca="false">IF($E1598="","",IFERROR(INDEX(Parâmetros!$C$15:$C$20,MATCH($P1598,Parâmetros!$B$15:$B$20,0)),""))</f>
        <v/>
      </c>
      <c r="N1598" s="46" t="str">
        <f aca="false">IF($E1598="","",IF($P1598="","",IF($P1598&gt;=8,"Alta",IF($P1598&gt;=5,"Média","Baixa"))))</f>
        <v/>
      </c>
      <c r="O1598" s="46" t="str">
        <f aca="false">IF($E1598="","",IF(AND(Parâmetros!$C$5&gt;0,$P1598&lt;&gt;"",$P1598&gt;=Parâmetros!$C$5),"Sim","Não"))</f>
        <v/>
      </c>
      <c r="P1598" s="45" t="str">
        <f aca="false">IF($E1598="","",IF($G1598="","",IF($G1598="NOK",$F1598,0)))</f>
        <v/>
      </c>
      <c r="Q1598" s="46" t="str">
        <f aca="false">IF($E1598="","",IF($O1598&lt;&gt;"Sim","",COUNTIF($O$3:$O1598,"Sim")))</f>
        <v/>
      </c>
      <c r="R1598" s="47" t="n">
        <f aca="false">IF($P1598="",0,$P1598)</f>
        <v>0</v>
      </c>
    </row>
    <row r="1599" customFormat="false" ht="18" hidden="false" customHeight="true" outlineLevel="0" collapsed="false">
      <c r="A1599" s="39"/>
      <c r="B1599" s="41"/>
      <c r="C1599" s="40"/>
      <c r="D1599" s="40"/>
      <c r="E1599" s="40"/>
      <c r="F1599" s="42"/>
      <c r="G1599" s="39"/>
      <c r="H1599" s="40"/>
      <c r="I1599" s="40"/>
      <c r="J1599" s="40"/>
      <c r="K1599" s="41"/>
      <c r="L1599" s="39"/>
      <c r="M1599" s="48" t="str">
        <f aca="false">IF($E1599="","",IFERROR(INDEX(Parâmetros!$C$15:$C$20,MATCH($P1599,Parâmetros!$B$15:$B$20,0)),""))</f>
        <v/>
      </c>
      <c r="N1599" s="46" t="str">
        <f aca="false">IF($E1599="","",IF($P1599="","",IF($P1599&gt;=8,"Alta",IF($P1599&gt;=5,"Média","Baixa"))))</f>
        <v/>
      </c>
      <c r="O1599" s="46" t="str">
        <f aca="false">IF($E1599="","",IF(AND(Parâmetros!$C$5&gt;0,$P1599&lt;&gt;"",$P1599&gt;=Parâmetros!$C$5),"Sim","Não"))</f>
        <v/>
      </c>
      <c r="P1599" s="45" t="str">
        <f aca="false">IF($E1599="","",IF($G1599="","",IF($G1599="NOK",$F1599,0)))</f>
        <v/>
      </c>
      <c r="Q1599" s="46" t="str">
        <f aca="false">IF($E1599="","",IF($O1599&lt;&gt;"Sim","",COUNTIF($O$3:$O1599,"Sim")))</f>
        <v/>
      </c>
      <c r="R1599" s="47" t="n">
        <f aca="false">IF($P1599="",0,$P1599)</f>
        <v>0</v>
      </c>
    </row>
    <row r="1600" customFormat="false" ht="18" hidden="false" customHeight="true" outlineLevel="0" collapsed="false">
      <c r="A1600" s="39"/>
      <c r="B1600" s="41"/>
      <c r="C1600" s="40"/>
      <c r="D1600" s="40"/>
      <c r="E1600" s="40"/>
      <c r="F1600" s="42"/>
      <c r="G1600" s="39"/>
      <c r="H1600" s="40"/>
      <c r="I1600" s="40"/>
      <c r="J1600" s="40"/>
      <c r="K1600" s="41"/>
      <c r="L1600" s="39"/>
      <c r="M1600" s="48" t="str">
        <f aca="false">IF($E1600="","",IFERROR(INDEX(Parâmetros!$C$15:$C$20,MATCH($P1600,Parâmetros!$B$15:$B$20,0)),""))</f>
        <v/>
      </c>
      <c r="N1600" s="46" t="str">
        <f aca="false">IF($E1600="","",IF($P1600="","",IF($P1600&gt;=8,"Alta",IF($P1600&gt;=5,"Média","Baixa"))))</f>
        <v/>
      </c>
      <c r="O1600" s="46" t="str">
        <f aca="false">IF($E1600="","",IF(AND(Parâmetros!$C$5&gt;0,$P1600&lt;&gt;"",$P1600&gt;=Parâmetros!$C$5),"Sim","Não"))</f>
        <v/>
      </c>
      <c r="P1600" s="45" t="str">
        <f aca="false">IF($E1600="","",IF($G1600="","",IF($G1600="NOK",$F1600,0)))</f>
        <v/>
      </c>
      <c r="Q1600" s="46" t="str">
        <f aca="false">IF($E1600="","",IF($O1600&lt;&gt;"Sim","",COUNTIF($O$3:$O1600,"Sim")))</f>
        <v/>
      </c>
      <c r="R1600" s="47" t="n">
        <f aca="false">IF($P1600="",0,$P1600)</f>
        <v>0</v>
      </c>
    </row>
    <row r="1601" customFormat="false" ht="18" hidden="false" customHeight="true" outlineLevel="0" collapsed="false">
      <c r="A1601" s="39"/>
      <c r="B1601" s="41"/>
      <c r="C1601" s="40"/>
      <c r="D1601" s="40"/>
      <c r="E1601" s="40"/>
      <c r="F1601" s="42"/>
      <c r="G1601" s="39"/>
      <c r="H1601" s="40"/>
      <c r="I1601" s="40"/>
      <c r="J1601" s="40"/>
      <c r="K1601" s="41"/>
      <c r="L1601" s="39"/>
      <c r="M1601" s="48" t="str">
        <f aca="false">IF($E1601="","",IFERROR(INDEX(Parâmetros!$C$15:$C$20,MATCH($P1601,Parâmetros!$B$15:$B$20,0)),""))</f>
        <v/>
      </c>
      <c r="N1601" s="46" t="str">
        <f aca="false">IF($E1601="","",IF($P1601="","",IF($P1601&gt;=8,"Alta",IF($P1601&gt;=5,"Média","Baixa"))))</f>
        <v/>
      </c>
      <c r="O1601" s="46" t="str">
        <f aca="false">IF($E1601="","",IF(AND(Parâmetros!$C$5&gt;0,$P1601&lt;&gt;"",$P1601&gt;=Parâmetros!$C$5),"Sim","Não"))</f>
        <v/>
      </c>
      <c r="P1601" s="45" t="str">
        <f aca="false">IF($E1601="","",IF($G1601="","",IF($G1601="NOK",$F1601,0)))</f>
        <v/>
      </c>
      <c r="Q1601" s="46" t="str">
        <f aca="false">IF($E1601="","",IF($O1601&lt;&gt;"Sim","",COUNTIF($O$3:$O1601,"Sim")))</f>
        <v/>
      </c>
      <c r="R1601" s="47" t="n">
        <f aca="false">IF($P1601="",0,$P1601)</f>
        <v>0</v>
      </c>
    </row>
    <row r="1602" customFormat="false" ht="18" hidden="false" customHeight="true" outlineLevel="0" collapsed="false">
      <c r="A1602" s="39"/>
      <c r="B1602" s="41"/>
      <c r="C1602" s="40"/>
      <c r="D1602" s="40"/>
      <c r="E1602" s="40"/>
      <c r="F1602" s="42"/>
      <c r="G1602" s="39"/>
      <c r="H1602" s="40"/>
      <c r="I1602" s="40"/>
      <c r="J1602" s="40"/>
      <c r="K1602" s="41"/>
      <c r="L1602" s="39"/>
      <c r="M1602" s="48" t="str">
        <f aca="false">IF($E1602="","",IFERROR(INDEX(Parâmetros!$C$15:$C$20,MATCH($P1602,Parâmetros!$B$15:$B$20,0)),""))</f>
        <v/>
      </c>
      <c r="N1602" s="46" t="str">
        <f aca="false">IF($E1602="","",IF($P1602="","",IF($P1602&gt;=8,"Alta",IF($P1602&gt;=5,"Média","Baixa"))))</f>
        <v/>
      </c>
      <c r="O1602" s="46" t="str">
        <f aca="false">IF($E1602="","",IF(AND(Parâmetros!$C$5&gt;0,$P1602&lt;&gt;"",$P1602&gt;=Parâmetros!$C$5),"Sim","Não"))</f>
        <v/>
      </c>
      <c r="P1602" s="45" t="str">
        <f aca="false">IF($E1602="","",IF($G1602="","",IF($G1602="NOK",$F1602,0)))</f>
        <v/>
      </c>
      <c r="Q1602" s="46" t="str">
        <f aca="false">IF($E1602="","",IF($O1602&lt;&gt;"Sim","",COUNTIF($O$3:$O1602,"Sim")))</f>
        <v/>
      </c>
      <c r="R1602" s="47" t="n">
        <f aca="false">IF($P1602="",0,$P1602)</f>
        <v>0</v>
      </c>
    </row>
    <row r="1603" customFormat="false" ht="18" hidden="false" customHeight="true" outlineLevel="0" collapsed="false">
      <c r="A1603" s="39"/>
      <c r="B1603" s="41"/>
      <c r="C1603" s="40"/>
      <c r="D1603" s="40"/>
      <c r="E1603" s="40"/>
      <c r="F1603" s="42"/>
      <c r="G1603" s="39"/>
      <c r="H1603" s="40"/>
      <c r="I1603" s="40"/>
      <c r="J1603" s="40"/>
      <c r="K1603" s="41"/>
      <c r="L1603" s="39"/>
      <c r="M1603" s="48" t="str">
        <f aca="false">IF($E1603="","",IFERROR(INDEX(Parâmetros!$C$15:$C$20,MATCH($P1603,Parâmetros!$B$15:$B$20,0)),""))</f>
        <v/>
      </c>
      <c r="N1603" s="46" t="str">
        <f aca="false">IF($E1603="","",IF($P1603="","",IF($P1603&gt;=8,"Alta",IF($P1603&gt;=5,"Média","Baixa"))))</f>
        <v/>
      </c>
      <c r="O1603" s="46" t="str">
        <f aca="false">IF($E1603="","",IF(AND(Parâmetros!$C$5&gt;0,$P1603&lt;&gt;"",$P1603&gt;=Parâmetros!$C$5),"Sim","Não"))</f>
        <v/>
      </c>
      <c r="P1603" s="45" t="str">
        <f aca="false">IF($E1603="","",IF($G1603="","",IF($G1603="NOK",$F1603,0)))</f>
        <v/>
      </c>
      <c r="Q1603" s="46" t="str">
        <f aca="false">IF($E1603="","",IF($O1603&lt;&gt;"Sim","",COUNTIF($O$3:$O1603,"Sim")))</f>
        <v/>
      </c>
      <c r="R1603" s="47" t="n">
        <f aca="false">IF($P1603="",0,$P1603)</f>
        <v>0</v>
      </c>
    </row>
    <row r="1604" customFormat="false" ht="18" hidden="false" customHeight="true" outlineLevel="0" collapsed="false">
      <c r="A1604" s="39"/>
      <c r="B1604" s="41"/>
      <c r="C1604" s="40"/>
      <c r="D1604" s="40"/>
      <c r="E1604" s="40"/>
      <c r="F1604" s="42"/>
      <c r="G1604" s="39"/>
      <c r="H1604" s="40"/>
      <c r="I1604" s="40"/>
      <c r="J1604" s="40"/>
      <c r="K1604" s="41"/>
      <c r="L1604" s="39"/>
      <c r="M1604" s="48" t="str">
        <f aca="false">IF($E1604="","",IFERROR(INDEX(Parâmetros!$C$15:$C$20,MATCH($P1604,Parâmetros!$B$15:$B$20,0)),""))</f>
        <v/>
      </c>
      <c r="N1604" s="46" t="str">
        <f aca="false">IF($E1604="","",IF($P1604="","",IF($P1604&gt;=8,"Alta",IF($P1604&gt;=5,"Média","Baixa"))))</f>
        <v/>
      </c>
      <c r="O1604" s="46" t="str">
        <f aca="false">IF($E1604="","",IF(AND(Parâmetros!$C$5&gt;0,$P1604&lt;&gt;"",$P1604&gt;=Parâmetros!$C$5),"Sim","Não"))</f>
        <v/>
      </c>
      <c r="P1604" s="45" t="str">
        <f aca="false">IF($E1604="","",IF($G1604="","",IF($G1604="NOK",$F1604,0)))</f>
        <v/>
      </c>
      <c r="Q1604" s="46" t="str">
        <f aca="false">IF($E1604="","",IF($O1604&lt;&gt;"Sim","",COUNTIF($O$3:$O1604,"Sim")))</f>
        <v/>
      </c>
      <c r="R1604" s="47" t="n">
        <f aca="false">IF($P1604="",0,$P1604)</f>
        <v>0</v>
      </c>
    </row>
    <row r="1605" customFormat="false" ht="18" hidden="false" customHeight="true" outlineLevel="0" collapsed="false">
      <c r="A1605" s="39"/>
      <c r="B1605" s="41"/>
      <c r="C1605" s="40"/>
      <c r="D1605" s="40"/>
      <c r="E1605" s="40"/>
      <c r="F1605" s="42"/>
      <c r="G1605" s="39"/>
      <c r="H1605" s="40"/>
      <c r="I1605" s="40"/>
      <c r="J1605" s="40"/>
      <c r="K1605" s="41"/>
      <c r="L1605" s="39"/>
      <c r="M1605" s="48" t="str">
        <f aca="false">IF($E1605="","",IFERROR(INDEX(Parâmetros!$C$15:$C$20,MATCH($P1605,Parâmetros!$B$15:$B$20,0)),""))</f>
        <v/>
      </c>
      <c r="N1605" s="46" t="str">
        <f aca="false">IF($E1605="","",IF($P1605="","",IF($P1605&gt;=8,"Alta",IF($P1605&gt;=5,"Média","Baixa"))))</f>
        <v/>
      </c>
      <c r="O1605" s="46" t="str">
        <f aca="false">IF($E1605="","",IF(AND(Parâmetros!$C$5&gt;0,$P1605&lt;&gt;"",$P1605&gt;=Parâmetros!$C$5),"Sim","Não"))</f>
        <v/>
      </c>
      <c r="P1605" s="45" t="str">
        <f aca="false">IF($E1605="","",IF($G1605="","",IF($G1605="NOK",$F1605,0)))</f>
        <v/>
      </c>
      <c r="Q1605" s="46" t="str">
        <f aca="false">IF($E1605="","",IF($O1605&lt;&gt;"Sim","",COUNTIF($O$3:$O1605,"Sim")))</f>
        <v/>
      </c>
      <c r="R1605" s="47" t="n">
        <f aca="false">IF($P1605="",0,$P1605)</f>
        <v>0</v>
      </c>
    </row>
    <row r="1606" customFormat="false" ht="18" hidden="false" customHeight="true" outlineLevel="0" collapsed="false">
      <c r="A1606" s="39"/>
      <c r="B1606" s="41"/>
      <c r="C1606" s="40"/>
      <c r="D1606" s="40"/>
      <c r="E1606" s="40"/>
      <c r="F1606" s="42"/>
      <c r="G1606" s="39"/>
      <c r="H1606" s="40"/>
      <c r="I1606" s="40"/>
      <c r="J1606" s="40"/>
      <c r="K1606" s="41"/>
      <c r="L1606" s="39"/>
      <c r="M1606" s="48" t="str">
        <f aca="false">IF($E1606="","",IFERROR(INDEX(Parâmetros!$C$15:$C$20,MATCH($P1606,Parâmetros!$B$15:$B$20,0)),""))</f>
        <v/>
      </c>
      <c r="N1606" s="46" t="str">
        <f aca="false">IF($E1606="","",IF($P1606="","",IF($P1606&gt;=8,"Alta",IF($P1606&gt;=5,"Média","Baixa"))))</f>
        <v/>
      </c>
      <c r="O1606" s="46" t="str">
        <f aca="false">IF($E1606="","",IF(AND(Parâmetros!$C$5&gt;0,$P1606&lt;&gt;"",$P1606&gt;=Parâmetros!$C$5),"Sim","Não"))</f>
        <v/>
      </c>
      <c r="P1606" s="45" t="str">
        <f aca="false">IF($E1606="","",IF($G1606="","",IF($G1606="NOK",$F1606,0)))</f>
        <v/>
      </c>
      <c r="Q1606" s="46" t="str">
        <f aca="false">IF($E1606="","",IF($O1606&lt;&gt;"Sim","",COUNTIF($O$3:$O1606,"Sim")))</f>
        <v/>
      </c>
      <c r="R1606" s="47" t="n">
        <f aca="false">IF($P1606="",0,$P1606)</f>
        <v>0</v>
      </c>
    </row>
    <row r="1607" customFormat="false" ht="18" hidden="false" customHeight="true" outlineLevel="0" collapsed="false">
      <c r="A1607" s="39"/>
      <c r="B1607" s="41"/>
      <c r="C1607" s="40"/>
      <c r="D1607" s="40"/>
      <c r="E1607" s="40"/>
      <c r="F1607" s="42"/>
      <c r="G1607" s="39"/>
      <c r="H1607" s="40"/>
      <c r="I1607" s="40"/>
      <c r="J1607" s="40"/>
      <c r="K1607" s="41"/>
      <c r="L1607" s="39"/>
      <c r="M1607" s="48" t="str">
        <f aca="false">IF($E1607="","",IFERROR(INDEX(Parâmetros!$C$15:$C$20,MATCH($P1607,Parâmetros!$B$15:$B$20,0)),""))</f>
        <v/>
      </c>
      <c r="N1607" s="46" t="str">
        <f aca="false">IF($E1607="","",IF($P1607="","",IF($P1607&gt;=8,"Alta",IF($P1607&gt;=5,"Média","Baixa"))))</f>
        <v/>
      </c>
      <c r="O1607" s="46" t="str">
        <f aca="false">IF($E1607="","",IF(AND(Parâmetros!$C$5&gt;0,$P1607&lt;&gt;"",$P1607&gt;=Parâmetros!$C$5),"Sim","Não"))</f>
        <v/>
      </c>
      <c r="P1607" s="45" t="str">
        <f aca="false">IF($E1607="","",IF($G1607="","",IF($G1607="NOK",$F1607,0)))</f>
        <v/>
      </c>
      <c r="Q1607" s="46" t="str">
        <f aca="false">IF($E1607="","",IF($O1607&lt;&gt;"Sim","",COUNTIF($O$3:$O1607,"Sim")))</f>
        <v/>
      </c>
      <c r="R1607" s="47" t="n">
        <f aca="false">IF($P1607="",0,$P1607)</f>
        <v>0</v>
      </c>
    </row>
    <row r="1608" customFormat="false" ht="18" hidden="false" customHeight="true" outlineLevel="0" collapsed="false">
      <c r="A1608" s="39"/>
      <c r="B1608" s="41"/>
      <c r="C1608" s="40"/>
      <c r="D1608" s="40"/>
      <c r="E1608" s="40"/>
      <c r="F1608" s="42"/>
      <c r="G1608" s="39"/>
      <c r="H1608" s="40"/>
      <c r="I1608" s="40"/>
      <c r="J1608" s="40"/>
      <c r="K1608" s="41"/>
      <c r="L1608" s="39"/>
      <c r="M1608" s="48" t="str">
        <f aca="false">IF($E1608="","",IFERROR(INDEX(Parâmetros!$C$15:$C$20,MATCH($P1608,Parâmetros!$B$15:$B$20,0)),""))</f>
        <v/>
      </c>
      <c r="N1608" s="46" t="str">
        <f aca="false">IF($E1608="","",IF($P1608="","",IF($P1608&gt;=8,"Alta",IF($P1608&gt;=5,"Média","Baixa"))))</f>
        <v/>
      </c>
      <c r="O1608" s="46" t="str">
        <f aca="false">IF($E1608="","",IF(AND(Parâmetros!$C$5&gt;0,$P1608&lt;&gt;"",$P1608&gt;=Parâmetros!$C$5),"Sim","Não"))</f>
        <v/>
      </c>
      <c r="P1608" s="45" t="str">
        <f aca="false">IF($E1608="","",IF($G1608="","",IF($G1608="NOK",$F1608,0)))</f>
        <v/>
      </c>
      <c r="Q1608" s="46" t="str">
        <f aca="false">IF($E1608="","",IF($O1608&lt;&gt;"Sim","",COUNTIF($O$3:$O1608,"Sim")))</f>
        <v/>
      </c>
      <c r="R1608" s="47" t="n">
        <f aca="false">IF($P1608="",0,$P1608)</f>
        <v>0</v>
      </c>
    </row>
    <row r="1609" customFormat="false" ht="18" hidden="false" customHeight="true" outlineLevel="0" collapsed="false">
      <c r="A1609" s="39"/>
      <c r="B1609" s="41"/>
      <c r="C1609" s="40"/>
      <c r="D1609" s="40"/>
      <c r="E1609" s="40"/>
      <c r="F1609" s="42"/>
      <c r="G1609" s="39"/>
      <c r="H1609" s="40"/>
      <c r="I1609" s="40"/>
      <c r="J1609" s="40"/>
      <c r="K1609" s="41"/>
      <c r="L1609" s="39"/>
      <c r="M1609" s="48" t="str">
        <f aca="false">IF($E1609="","",IFERROR(INDEX(Parâmetros!$C$15:$C$20,MATCH($P1609,Parâmetros!$B$15:$B$20,0)),""))</f>
        <v/>
      </c>
      <c r="N1609" s="46" t="str">
        <f aca="false">IF($E1609="","",IF($P1609="","",IF($P1609&gt;=8,"Alta",IF($P1609&gt;=5,"Média","Baixa"))))</f>
        <v/>
      </c>
      <c r="O1609" s="46" t="str">
        <f aca="false">IF($E1609="","",IF(AND(Parâmetros!$C$5&gt;0,$P1609&lt;&gt;"",$P1609&gt;=Parâmetros!$C$5),"Sim","Não"))</f>
        <v/>
      </c>
      <c r="P1609" s="45" t="str">
        <f aca="false">IF($E1609="","",IF($G1609="","",IF($G1609="NOK",$F1609,0)))</f>
        <v/>
      </c>
      <c r="Q1609" s="46" t="str">
        <f aca="false">IF($E1609="","",IF($O1609&lt;&gt;"Sim","",COUNTIF($O$3:$O1609,"Sim")))</f>
        <v/>
      </c>
      <c r="R1609" s="47" t="n">
        <f aca="false">IF($P1609="",0,$P1609)</f>
        <v>0</v>
      </c>
    </row>
    <row r="1610" customFormat="false" ht="18" hidden="false" customHeight="true" outlineLevel="0" collapsed="false">
      <c r="A1610" s="39"/>
      <c r="B1610" s="41"/>
      <c r="C1610" s="40"/>
      <c r="D1610" s="40"/>
      <c r="E1610" s="40"/>
      <c r="F1610" s="42"/>
      <c r="G1610" s="39"/>
      <c r="H1610" s="40"/>
      <c r="I1610" s="40"/>
      <c r="J1610" s="40"/>
      <c r="K1610" s="41"/>
      <c r="L1610" s="39"/>
      <c r="M1610" s="48" t="str">
        <f aca="false">IF($E1610="","",IFERROR(INDEX(Parâmetros!$C$15:$C$20,MATCH($P1610,Parâmetros!$B$15:$B$20,0)),""))</f>
        <v/>
      </c>
      <c r="N1610" s="46" t="str">
        <f aca="false">IF($E1610="","",IF($P1610="","",IF($P1610&gt;=8,"Alta",IF($P1610&gt;=5,"Média","Baixa"))))</f>
        <v/>
      </c>
      <c r="O1610" s="46" t="str">
        <f aca="false">IF($E1610="","",IF(AND(Parâmetros!$C$5&gt;0,$P1610&lt;&gt;"",$P1610&gt;=Parâmetros!$C$5),"Sim","Não"))</f>
        <v/>
      </c>
      <c r="P1610" s="45" t="str">
        <f aca="false">IF($E1610="","",IF($G1610="","",IF($G1610="NOK",$F1610,0)))</f>
        <v/>
      </c>
      <c r="Q1610" s="46" t="str">
        <f aca="false">IF($E1610="","",IF($O1610&lt;&gt;"Sim","",COUNTIF($O$3:$O1610,"Sim")))</f>
        <v/>
      </c>
      <c r="R1610" s="47" t="n">
        <f aca="false">IF($P1610="",0,$P1610)</f>
        <v>0</v>
      </c>
    </row>
    <row r="1611" customFormat="false" ht="18" hidden="false" customHeight="true" outlineLevel="0" collapsed="false">
      <c r="A1611" s="39"/>
      <c r="B1611" s="41"/>
      <c r="C1611" s="40"/>
      <c r="D1611" s="40"/>
      <c r="E1611" s="40"/>
      <c r="F1611" s="42"/>
      <c r="G1611" s="39"/>
      <c r="H1611" s="40"/>
      <c r="I1611" s="40"/>
      <c r="J1611" s="40"/>
      <c r="K1611" s="41"/>
      <c r="L1611" s="39"/>
      <c r="M1611" s="48" t="str">
        <f aca="false">IF($E1611="","",IFERROR(INDEX(Parâmetros!$C$15:$C$20,MATCH($P1611,Parâmetros!$B$15:$B$20,0)),""))</f>
        <v/>
      </c>
      <c r="N1611" s="46" t="str">
        <f aca="false">IF($E1611="","",IF($P1611="","",IF($P1611&gt;=8,"Alta",IF($P1611&gt;=5,"Média","Baixa"))))</f>
        <v/>
      </c>
      <c r="O1611" s="46" t="str">
        <f aca="false">IF($E1611="","",IF(AND(Parâmetros!$C$5&gt;0,$P1611&lt;&gt;"",$P1611&gt;=Parâmetros!$C$5),"Sim","Não"))</f>
        <v/>
      </c>
      <c r="P1611" s="45" t="str">
        <f aca="false">IF($E1611="","",IF($G1611="","",IF($G1611="NOK",$F1611,0)))</f>
        <v/>
      </c>
      <c r="Q1611" s="46" t="str">
        <f aca="false">IF($E1611="","",IF($O1611&lt;&gt;"Sim","",COUNTIF($O$3:$O1611,"Sim")))</f>
        <v/>
      </c>
      <c r="R1611" s="47" t="n">
        <f aca="false">IF($P1611="",0,$P1611)</f>
        <v>0</v>
      </c>
    </row>
    <row r="1612" customFormat="false" ht="18" hidden="false" customHeight="true" outlineLevel="0" collapsed="false">
      <c r="A1612" s="39"/>
      <c r="B1612" s="41"/>
      <c r="C1612" s="40"/>
      <c r="D1612" s="40"/>
      <c r="E1612" s="40"/>
      <c r="F1612" s="42"/>
      <c r="G1612" s="39"/>
      <c r="H1612" s="40"/>
      <c r="I1612" s="40"/>
      <c r="J1612" s="40"/>
      <c r="K1612" s="41"/>
      <c r="L1612" s="39"/>
      <c r="M1612" s="48" t="str">
        <f aca="false">IF($E1612="","",IFERROR(INDEX(Parâmetros!$C$15:$C$20,MATCH($P1612,Parâmetros!$B$15:$B$20,0)),""))</f>
        <v/>
      </c>
      <c r="N1612" s="46" t="str">
        <f aca="false">IF($E1612="","",IF($P1612="","",IF($P1612&gt;=8,"Alta",IF($P1612&gt;=5,"Média","Baixa"))))</f>
        <v/>
      </c>
      <c r="O1612" s="46" t="str">
        <f aca="false">IF($E1612="","",IF(AND(Parâmetros!$C$5&gt;0,$P1612&lt;&gt;"",$P1612&gt;=Parâmetros!$C$5),"Sim","Não"))</f>
        <v/>
      </c>
      <c r="P1612" s="45" t="str">
        <f aca="false">IF($E1612="","",IF($G1612="","",IF($G1612="NOK",$F1612,0)))</f>
        <v/>
      </c>
      <c r="Q1612" s="46" t="str">
        <f aca="false">IF($E1612="","",IF($O1612&lt;&gt;"Sim","",COUNTIF($O$3:$O1612,"Sim")))</f>
        <v/>
      </c>
      <c r="R1612" s="47" t="n">
        <f aca="false">IF($P1612="",0,$P1612)</f>
        <v>0</v>
      </c>
    </row>
    <row r="1613" customFormat="false" ht="18" hidden="false" customHeight="true" outlineLevel="0" collapsed="false">
      <c r="A1613" s="39"/>
      <c r="B1613" s="41"/>
      <c r="C1613" s="40"/>
      <c r="D1613" s="40"/>
      <c r="E1613" s="40"/>
      <c r="F1613" s="42"/>
      <c r="G1613" s="39"/>
      <c r="H1613" s="40"/>
      <c r="I1613" s="40"/>
      <c r="J1613" s="40"/>
      <c r="K1613" s="41"/>
      <c r="L1613" s="39"/>
      <c r="M1613" s="48" t="str">
        <f aca="false">IF($E1613="","",IFERROR(INDEX(Parâmetros!$C$15:$C$20,MATCH($P1613,Parâmetros!$B$15:$B$20,0)),""))</f>
        <v/>
      </c>
      <c r="N1613" s="46" t="str">
        <f aca="false">IF($E1613="","",IF($P1613="","",IF($P1613&gt;=8,"Alta",IF($P1613&gt;=5,"Média","Baixa"))))</f>
        <v/>
      </c>
      <c r="O1613" s="46" t="str">
        <f aca="false">IF($E1613="","",IF(AND(Parâmetros!$C$5&gt;0,$P1613&lt;&gt;"",$P1613&gt;=Parâmetros!$C$5),"Sim","Não"))</f>
        <v/>
      </c>
      <c r="P1613" s="45" t="str">
        <f aca="false">IF($E1613="","",IF($G1613="","",IF($G1613="NOK",$F1613,0)))</f>
        <v/>
      </c>
      <c r="Q1613" s="46" t="str">
        <f aca="false">IF($E1613="","",IF($O1613&lt;&gt;"Sim","",COUNTIF($O$3:$O1613,"Sim")))</f>
        <v/>
      </c>
      <c r="R1613" s="47" t="n">
        <f aca="false">IF($P1613="",0,$P1613)</f>
        <v>0</v>
      </c>
    </row>
    <row r="1614" customFormat="false" ht="18" hidden="false" customHeight="true" outlineLevel="0" collapsed="false">
      <c r="A1614" s="39"/>
      <c r="B1614" s="41"/>
      <c r="C1614" s="40"/>
      <c r="D1614" s="40"/>
      <c r="E1614" s="40"/>
      <c r="F1614" s="42"/>
      <c r="G1614" s="39"/>
      <c r="H1614" s="40"/>
      <c r="I1614" s="40"/>
      <c r="J1614" s="40"/>
      <c r="K1614" s="41"/>
      <c r="L1614" s="39"/>
      <c r="M1614" s="48" t="str">
        <f aca="false">IF($E1614="","",IFERROR(INDEX(Parâmetros!$C$15:$C$20,MATCH($P1614,Parâmetros!$B$15:$B$20,0)),""))</f>
        <v/>
      </c>
      <c r="N1614" s="46" t="str">
        <f aca="false">IF($E1614="","",IF($P1614="","",IF($P1614&gt;=8,"Alta",IF($P1614&gt;=5,"Média","Baixa"))))</f>
        <v/>
      </c>
      <c r="O1614" s="46" t="str">
        <f aca="false">IF($E1614="","",IF(AND(Parâmetros!$C$5&gt;0,$P1614&lt;&gt;"",$P1614&gt;=Parâmetros!$C$5),"Sim","Não"))</f>
        <v/>
      </c>
      <c r="P1614" s="45" t="str">
        <f aca="false">IF($E1614="","",IF($G1614="","",IF($G1614="NOK",$F1614,0)))</f>
        <v/>
      </c>
      <c r="Q1614" s="46" t="str">
        <f aca="false">IF($E1614="","",IF($O1614&lt;&gt;"Sim","",COUNTIF($O$3:$O1614,"Sim")))</f>
        <v/>
      </c>
      <c r="R1614" s="47" t="n">
        <f aca="false">IF($P1614="",0,$P1614)</f>
        <v>0</v>
      </c>
    </row>
    <row r="1615" customFormat="false" ht="18" hidden="false" customHeight="true" outlineLevel="0" collapsed="false">
      <c r="A1615" s="39"/>
      <c r="B1615" s="41"/>
      <c r="C1615" s="40"/>
      <c r="D1615" s="40"/>
      <c r="E1615" s="40"/>
      <c r="F1615" s="42"/>
      <c r="G1615" s="39"/>
      <c r="H1615" s="40"/>
      <c r="I1615" s="40"/>
      <c r="J1615" s="40"/>
      <c r="K1615" s="41"/>
      <c r="L1615" s="39"/>
      <c r="M1615" s="48" t="str">
        <f aca="false">IF($E1615="","",IFERROR(INDEX(Parâmetros!$C$15:$C$20,MATCH($P1615,Parâmetros!$B$15:$B$20,0)),""))</f>
        <v/>
      </c>
      <c r="N1615" s="46" t="str">
        <f aca="false">IF($E1615="","",IF($P1615="","",IF($P1615&gt;=8,"Alta",IF($P1615&gt;=5,"Média","Baixa"))))</f>
        <v/>
      </c>
      <c r="O1615" s="46" t="str">
        <f aca="false">IF($E1615="","",IF(AND(Parâmetros!$C$5&gt;0,$P1615&lt;&gt;"",$P1615&gt;=Parâmetros!$C$5),"Sim","Não"))</f>
        <v/>
      </c>
      <c r="P1615" s="45" t="str">
        <f aca="false">IF($E1615="","",IF($G1615="","",IF($G1615="NOK",$F1615,0)))</f>
        <v/>
      </c>
      <c r="Q1615" s="46" t="str">
        <f aca="false">IF($E1615="","",IF($O1615&lt;&gt;"Sim","",COUNTIF($O$3:$O1615,"Sim")))</f>
        <v/>
      </c>
      <c r="R1615" s="47" t="n">
        <f aca="false">IF($P1615="",0,$P1615)</f>
        <v>0</v>
      </c>
    </row>
    <row r="1616" customFormat="false" ht="18" hidden="false" customHeight="true" outlineLevel="0" collapsed="false">
      <c r="A1616" s="39"/>
      <c r="B1616" s="41"/>
      <c r="C1616" s="40"/>
      <c r="D1616" s="40"/>
      <c r="E1616" s="40"/>
      <c r="F1616" s="42"/>
      <c r="G1616" s="39"/>
      <c r="H1616" s="40"/>
      <c r="I1616" s="40"/>
      <c r="J1616" s="40"/>
      <c r="K1616" s="41"/>
      <c r="L1616" s="39"/>
      <c r="M1616" s="48" t="str">
        <f aca="false">IF($E1616="","",IFERROR(INDEX(Parâmetros!$C$15:$C$20,MATCH($P1616,Parâmetros!$B$15:$B$20,0)),""))</f>
        <v/>
      </c>
      <c r="N1616" s="46" t="str">
        <f aca="false">IF($E1616="","",IF($P1616="","",IF($P1616&gt;=8,"Alta",IF($P1616&gt;=5,"Média","Baixa"))))</f>
        <v/>
      </c>
      <c r="O1616" s="46" t="str">
        <f aca="false">IF($E1616="","",IF(AND(Parâmetros!$C$5&gt;0,$P1616&lt;&gt;"",$P1616&gt;=Parâmetros!$C$5),"Sim","Não"))</f>
        <v/>
      </c>
      <c r="P1616" s="45" t="str">
        <f aca="false">IF($E1616="","",IF($G1616="","",IF($G1616="NOK",$F1616,0)))</f>
        <v/>
      </c>
      <c r="Q1616" s="46" t="str">
        <f aca="false">IF($E1616="","",IF($O1616&lt;&gt;"Sim","",COUNTIF($O$3:$O1616,"Sim")))</f>
        <v/>
      </c>
      <c r="R1616" s="47" t="n">
        <f aca="false">IF($P1616="",0,$P1616)</f>
        <v>0</v>
      </c>
    </row>
    <row r="1617" customFormat="false" ht="18" hidden="false" customHeight="true" outlineLevel="0" collapsed="false">
      <c r="A1617" s="39"/>
      <c r="B1617" s="41"/>
      <c r="C1617" s="40"/>
      <c r="D1617" s="40"/>
      <c r="E1617" s="40"/>
      <c r="F1617" s="42"/>
      <c r="G1617" s="39"/>
      <c r="H1617" s="40"/>
      <c r="I1617" s="40"/>
      <c r="J1617" s="40"/>
      <c r="K1617" s="41"/>
      <c r="L1617" s="39"/>
      <c r="M1617" s="48" t="str">
        <f aca="false">IF($E1617="","",IFERROR(INDEX(Parâmetros!$C$15:$C$20,MATCH($P1617,Parâmetros!$B$15:$B$20,0)),""))</f>
        <v/>
      </c>
      <c r="N1617" s="46" t="str">
        <f aca="false">IF($E1617="","",IF($P1617="","",IF($P1617&gt;=8,"Alta",IF($P1617&gt;=5,"Média","Baixa"))))</f>
        <v/>
      </c>
      <c r="O1617" s="46" t="str">
        <f aca="false">IF($E1617="","",IF(AND(Parâmetros!$C$5&gt;0,$P1617&lt;&gt;"",$P1617&gt;=Parâmetros!$C$5),"Sim","Não"))</f>
        <v/>
      </c>
      <c r="P1617" s="45" t="str">
        <f aca="false">IF($E1617="","",IF($G1617="","",IF($G1617="NOK",$F1617,0)))</f>
        <v/>
      </c>
      <c r="Q1617" s="46" t="str">
        <f aca="false">IF($E1617="","",IF($O1617&lt;&gt;"Sim","",COUNTIF($O$3:$O1617,"Sim")))</f>
        <v/>
      </c>
      <c r="R1617" s="47" t="n">
        <f aca="false">IF($P1617="",0,$P1617)</f>
        <v>0</v>
      </c>
    </row>
    <row r="1618" customFormat="false" ht="18" hidden="false" customHeight="true" outlineLevel="0" collapsed="false">
      <c r="A1618" s="39"/>
      <c r="B1618" s="41"/>
      <c r="C1618" s="40"/>
      <c r="D1618" s="40"/>
      <c r="E1618" s="40"/>
      <c r="F1618" s="42"/>
      <c r="G1618" s="39"/>
      <c r="H1618" s="40"/>
      <c r="I1618" s="40"/>
      <c r="J1618" s="40"/>
      <c r="K1618" s="41"/>
      <c r="L1618" s="39"/>
      <c r="M1618" s="48" t="str">
        <f aca="false">IF($E1618="","",IFERROR(INDEX(Parâmetros!$C$15:$C$20,MATCH($P1618,Parâmetros!$B$15:$B$20,0)),""))</f>
        <v/>
      </c>
      <c r="N1618" s="46" t="str">
        <f aca="false">IF($E1618="","",IF($P1618="","",IF($P1618&gt;=8,"Alta",IF($P1618&gt;=5,"Média","Baixa"))))</f>
        <v/>
      </c>
      <c r="O1618" s="46" t="str">
        <f aca="false">IF($E1618="","",IF(AND(Parâmetros!$C$5&gt;0,$P1618&lt;&gt;"",$P1618&gt;=Parâmetros!$C$5),"Sim","Não"))</f>
        <v/>
      </c>
      <c r="P1618" s="45" t="str">
        <f aca="false">IF($E1618="","",IF($G1618="","",IF($G1618="NOK",$F1618,0)))</f>
        <v/>
      </c>
      <c r="Q1618" s="46" t="str">
        <f aca="false">IF($E1618="","",IF($O1618&lt;&gt;"Sim","",COUNTIF($O$3:$O1618,"Sim")))</f>
        <v/>
      </c>
      <c r="R1618" s="47" t="n">
        <f aca="false">IF($P1618="",0,$P1618)</f>
        <v>0</v>
      </c>
    </row>
    <row r="1619" customFormat="false" ht="18" hidden="false" customHeight="true" outlineLevel="0" collapsed="false">
      <c r="A1619" s="39"/>
      <c r="B1619" s="41"/>
      <c r="C1619" s="40"/>
      <c r="D1619" s="40"/>
      <c r="E1619" s="40"/>
      <c r="F1619" s="42"/>
      <c r="G1619" s="39"/>
      <c r="H1619" s="40"/>
      <c r="I1619" s="40"/>
      <c r="J1619" s="40"/>
      <c r="K1619" s="41"/>
      <c r="L1619" s="39"/>
      <c r="M1619" s="48" t="str">
        <f aca="false">IF($E1619="","",IFERROR(INDEX(Parâmetros!$C$15:$C$20,MATCH($P1619,Parâmetros!$B$15:$B$20,0)),""))</f>
        <v/>
      </c>
      <c r="N1619" s="46" t="str">
        <f aca="false">IF($E1619="","",IF($P1619="","",IF($P1619&gt;=8,"Alta",IF($P1619&gt;=5,"Média","Baixa"))))</f>
        <v/>
      </c>
      <c r="O1619" s="46" t="str">
        <f aca="false">IF($E1619="","",IF(AND(Parâmetros!$C$5&gt;0,$P1619&lt;&gt;"",$P1619&gt;=Parâmetros!$C$5),"Sim","Não"))</f>
        <v/>
      </c>
      <c r="P1619" s="45" t="str">
        <f aca="false">IF($E1619="","",IF($G1619="","",IF($G1619="NOK",$F1619,0)))</f>
        <v/>
      </c>
      <c r="Q1619" s="46" t="str">
        <f aca="false">IF($E1619="","",IF($O1619&lt;&gt;"Sim","",COUNTIF($O$3:$O1619,"Sim")))</f>
        <v/>
      </c>
      <c r="R1619" s="47" t="n">
        <f aca="false">IF($P1619="",0,$P1619)</f>
        <v>0</v>
      </c>
    </row>
    <row r="1620" customFormat="false" ht="18" hidden="false" customHeight="true" outlineLevel="0" collapsed="false">
      <c r="A1620" s="39"/>
      <c r="B1620" s="41"/>
      <c r="C1620" s="40"/>
      <c r="D1620" s="40"/>
      <c r="E1620" s="40"/>
      <c r="F1620" s="42"/>
      <c r="G1620" s="39"/>
      <c r="H1620" s="40"/>
      <c r="I1620" s="40"/>
      <c r="J1620" s="40"/>
      <c r="K1620" s="41"/>
      <c r="L1620" s="39"/>
      <c r="M1620" s="48" t="str">
        <f aca="false">IF($E1620="","",IFERROR(INDEX(Parâmetros!$C$15:$C$20,MATCH($P1620,Parâmetros!$B$15:$B$20,0)),""))</f>
        <v/>
      </c>
      <c r="N1620" s="46" t="str">
        <f aca="false">IF($E1620="","",IF($P1620="","",IF($P1620&gt;=8,"Alta",IF($P1620&gt;=5,"Média","Baixa"))))</f>
        <v/>
      </c>
      <c r="O1620" s="46" t="str">
        <f aca="false">IF($E1620="","",IF(AND(Parâmetros!$C$5&gt;0,$P1620&lt;&gt;"",$P1620&gt;=Parâmetros!$C$5),"Sim","Não"))</f>
        <v/>
      </c>
      <c r="P1620" s="45" t="str">
        <f aca="false">IF($E1620="","",IF($G1620="","",IF($G1620="NOK",$F1620,0)))</f>
        <v/>
      </c>
      <c r="Q1620" s="46" t="str">
        <f aca="false">IF($E1620="","",IF($O1620&lt;&gt;"Sim","",COUNTIF($O$3:$O1620,"Sim")))</f>
        <v/>
      </c>
      <c r="R1620" s="47" t="n">
        <f aca="false">IF($P1620="",0,$P1620)</f>
        <v>0</v>
      </c>
    </row>
    <row r="1621" customFormat="false" ht="18" hidden="false" customHeight="true" outlineLevel="0" collapsed="false">
      <c r="A1621" s="39"/>
      <c r="B1621" s="41"/>
      <c r="C1621" s="40"/>
      <c r="D1621" s="40"/>
      <c r="E1621" s="40"/>
      <c r="F1621" s="42"/>
      <c r="G1621" s="39"/>
      <c r="H1621" s="40"/>
      <c r="I1621" s="40"/>
      <c r="J1621" s="40"/>
      <c r="K1621" s="41"/>
      <c r="L1621" s="39"/>
      <c r="M1621" s="48" t="str">
        <f aca="false">IF($E1621="","",IFERROR(INDEX(Parâmetros!$C$15:$C$20,MATCH($P1621,Parâmetros!$B$15:$B$20,0)),""))</f>
        <v/>
      </c>
      <c r="N1621" s="46" t="str">
        <f aca="false">IF($E1621="","",IF($P1621="","",IF($P1621&gt;=8,"Alta",IF($P1621&gt;=5,"Média","Baixa"))))</f>
        <v/>
      </c>
      <c r="O1621" s="46" t="str">
        <f aca="false">IF($E1621="","",IF(AND(Parâmetros!$C$5&gt;0,$P1621&lt;&gt;"",$P1621&gt;=Parâmetros!$C$5),"Sim","Não"))</f>
        <v/>
      </c>
      <c r="P1621" s="45" t="str">
        <f aca="false">IF($E1621="","",IF($G1621="","",IF($G1621="NOK",$F1621,0)))</f>
        <v/>
      </c>
      <c r="Q1621" s="46" t="str">
        <f aca="false">IF($E1621="","",IF($O1621&lt;&gt;"Sim","",COUNTIF($O$3:$O1621,"Sim")))</f>
        <v/>
      </c>
      <c r="R1621" s="47" t="n">
        <f aca="false">IF($P1621="",0,$P1621)</f>
        <v>0</v>
      </c>
    </row>
    <row r="1622" customFormat="false" ht="18" hidden="false" customHeight="true" outlineLevel="0" collapsed="false">
      <c r="A1622" s="39"/>
      <c r="B1622" s="41"/>
      <c r="C1622" s="40"/>
      <c r="D1622" s="40"/>
      <c r="E1622" s="40"/>
      <c r="F1622" s="42"/>
      <c r="G1622" s="39"/>
      <c r="H1622" s="40"/>
      <c r="I1622" s="40"/>
      <c r="J1622" s="40"/>
      <c r="K1622" s="41"/>
      <c r="L1622" s="39"/>
      <c r="M1622" s="48" t="str">
        <f aca="false">IF($E1622="","",IFERROR(INDEX(Parâmetros!$C$15:$C$20,MATCH($P1622,Parâmetros!$B$15:$B$20,0)),""))</f>
        <v/>
      </c>
      <c r="N1622" s="46" t="str">
        <f aca="false">IF($E1622="","",IF($P1622="","",IF($P1622&gt;=8,"Alta",IF($P1622&gt;=5,"Média","Baixa"))))</f>
        <v/>
      </c>
      <c r="O1622" s="46" t="str">
        <f aca="false">IF($E1622="","",IF(AND(Parâmetros!$C$5&gt;0,$P1622&lt;&gt;"",$P1622&gt;=Parâmetros!$C$5),"Sim","Não"))</f>
        <v/>
      </c>
      <c r="P1622" s="45" t="str">
        <f aca="false">IF($E1622="","",IF($G1622="","",IF($G1622="NOK",$F1622,0)))</f>
        <v/>
      </c>
      <c r="Q1622" s="46" t="str">
        <f aca="false">IF($E1622="","",IF($O1622&lt;&gt;"Sim","",COUNTIF($O$3:$O1622,"Sim")))</f>
        <v/>
      </c>
      <c r="R1622" s="47" t="n">
        <f aca="false">IF($P1622="",0,$P1622)</f>
        <v>0</v>
      </c>
    </row>
    <row r="1623" customFormat="false" ht="18" hidden="false" customHeight="true" outlineLevel="0" collapsed="false">
      <c r="A1623" s="39"/>
      <c r="B1623" s="41"/>
      <c r="C1623" s="40"/>
      <c r="D1623" s="40"/>
      <c r="E1623" s="40"/>
      <c r="F1623" s="42"/>
      <c r="G1623" s="39"/>
      <c r="H1623" s="40"/>
      <c r="I1623" s="40"/>
      <c r="J1623" s="40"/>
      <c r="K1623" s="41"/>
      <c r="L1623" s="39"/>
      <c r="M1623" s="48" t="str">
        <f aca="false">IF($E1623="","",IFERROR(INDEX(Parâmetros!$C$15:$C$20,MATCH($P1623,Parâmetros!$B$15:$B$20,0)),""))</f>
        <v/>
      </c>
      <c r="N1623" s="46" t="str">
        <f aca="false">IF($E1623="","",IF($P1623="","",IF($P1623&gt;=8,"Alta",IF($P1623&gt;=5,"Média","Baixa"))))</f>
        <v/>
      </c>
      <c r="O1623" s="46" t="str">
        <f aca="false">IF($E1623="","",IF(AND(Parâmetros!$C$5&gt;0,$P1623&lt;&gt;"",$P1623&gt;=Parâmetros!$C$5),"Sim","Não"))</f>
        <v/>
      </c>
      <c r="P1623" s="45" t="str">
        <f aca="false">IF($E1623="","",IF($G1623="","",IF($G1623="NOK",$F1623,0)))</f>
        <v/>
      </c>
      <c r="Q1623" s="46" t="str">
        <f aca="false">IF($E1623="","",IF($O1623&lt;&gt;"Sim","",COUNTIF($O$3:$O1623,"Sim")))</f>
        <v/>
      </c>
      <c r="R1623" s="47" t="n">
        <f aca="false">IF($P1623="",0,$P1623)</f>
        <v>0</v>
      </c>
    </row>
    <row r="1624" customFormat="false" ht="18" hidden="false" customHeight="true" outlineLevel="0" collapsed="false">
      <c r="A1624" s="39"/>
      <c r="B1624" s="41"/>
      <c r="C1624" s="40"/>
      <c r="D1624" s="40"/>
      <c r="E1624" s="40"/>
      <c r="F1624" s="42"/>
      <c r="G1624" s="39"/>
      <c r="H1624" s="40"/>
      <c r="I1624" s="40"/>
      <c r="J1624" s="40"/>
      <c r="K1624" s="41"/>
      <c r="L1624" s="39"/>
      <c r="M1624" s="48" t="str">
        <f aca="false">IF($E1624="","",IFERROR(INDEX(Parâmetros!$C$15:$C$20,MATCH($P1624,Parâmetros!$B$15:$B$20,0)),""))</f>
        <v/>
      </c>
      <c r="N1624" s="46" t="str">
        <f aca="false">IF($E1624="","",IF($P1624="","",IF($P1624&gt;=8,"Alta",IF($P1624&gt;=5,"Média","Baixa"))))</f>
        <v/>
      </c>
      <c r="O1624" s="46" t="str">
        <f aca="false">IF($E1624="","",IF(AND(Parâmetros!$C$5&gt;0,$P1624&lt;&gt;"",$P1624&gt;=Parâmetros!$C$5),"Sim","Não"))</f>
        <v/>
      </c>
      <c r="P1624" s="45" t="str">
        <f aca="false">IF($E1624="","",IF($G1624="","",IF($G1624="NOK",$F1624,0)))</f>
        <v/>
      </c>
      <c r="Q1624" s="46" t="str">
        <f aca="false">IF($E1624="","",IF($O1624&lt;&gt;"Sim","",COUNTIF($O$3:$O1624,"Sim")))</f>
        <v/>
      </c>
      <c r="R1624" s="47" t="n">
        <f aca="false">IF($P1624="",0,$P1624)</f>
        <v>0</v>
      </c>
    </row>
    <row r="1625" customFormat="false" ht="18" hidden="false" customHeight="true" outlineLevel="0" collapsed="false">
      <c r="A1625" s="39"/>
      <c r="B1625" s="41"/>
      <c r="C1625" s="40"/>
      <c r="D1625" s="40"/>
      <c r="E1625" s="40"/>
      <c r="F1625" s="42"/>
      <c r="G1625" s="39"/>
      <c r="H1625" s="40"/>
      <c r="I1625" s="40"/>
      <c r="J1625" s="40"/>
      <c r="K1625" s="41"/>
      <c r="L1625" s="39"/>
      <c r="M1625" s="48" t="str">
        <f aca="false">IF($E1625="","",IFERROR(INDEX(Parâmetros!$C$15:$C$20,MATCH($P1625,Parâmetros!$B$15:$B$20,0)),""))</f>
        <v/>
      </c>
      <c r="N1625" s="46" t="str">
        <f aca="false">IF($E1625="","",IF($P1625="","",IF($P1625&gt;=8,"Alta",IF($P1625&gt;=5,"Média","Baixa"))))</f>
        <v/>
      </c>
      <c r="O1625" s="46" t="str">
        <f aca="false">IF($E1625="","",IF(AND(Parâmetros!$C$5&gt;0,$P1625&lt;&gt;"",$P1625&gt;=Parâmetros!$C$5),"Sim","Não"))</f>
        <v/>
      </c>
      <c r="P1625" s="45" t="str">
        <f aca="false">IF($E1625="","",IF($G1625="","",IF($G1625="NOK",$F1625,0)))</f>
        <v/>
      </c>
      <c r="Q1625" s="46" t="str">
        <f aca="false">IF($E1625="","",IF($O1625&lt;&gt;"Sim","",COUNTIF($O$3:$O1625,"Sim")))</f>
        <v/>
      </c>
      <c r="R1625" s="47" t="n">
        <f aca="false">IF($P1625="",0,$P1625)</f>
        <v>0</v>
      </c>
    </row>
    <row r="1626" customFormat="false" ht="18" hidden="false" customHeight="true" outlineLevel="0" collapsed="false">
      <c r="A1626" s="39"/>
      <c r="B1626" s="41"/>
      <c r="C1626" s="40"/>
      <c r="D1626" s="40"/>
      <c r="E1626" s="40"/>
      <c r="F1626" s="42"/>
      <c r="G1626" s="39"/>
      <c r="H1626" s="40"/>
      <c r="I1626" s="40"/>
      <c r="J1626" s="40"/>
      <c r="K1626" s="41"/>
      <c r="L1626" s="39"/>
      <c r="M1626" s="48" t="str">
        <f aca="false">IF($E1626="","",IFERROR(INDEX(Parâmetros!$C$15:$C$20,MATCH($P1626,Parâmetros!$B$15:$B$20,0)),""))</f>
        <v/>
      </c>
      <c r="N1626" s="46" t="str">
        <f aca="false">IF($E1626="","",IF($P1626="","",IF($P1626&gt;=8,"Alta",IF($P1626&gt;=5,"Média","Baixa"))))</f>
        <v/>
      </c>
      <c r="O1626" s="46" t="str">
        <f aca="false">IF($E1626="","",IF(AND(Parâmetros!$C$5&gt;0,$P1626&lt;&gt;"",$P1626&gt;=Parâmetros!$C$5),"Sim","Não"))</f>
        <v/>
      </c>
      <c r="P1626" s="45" t="str">
        <f aca="false">IF($E1626="","",IF($G1626="","",IF($G1626="NOK",$F1626,0)))</f>
        <v/>
      </c>
      <c r="Q1626" s="46" t="str">
        <f aca="false">IF($E1626="","",IF($O1626&lt;&gt;"Sim","",COUNTIF($O$3:$O1626,"Sim")))</f>
        <v/>
      </c>
      <c r="R1626" s="47" t="n">
        <f aca="false">IF($P1626="",0,$P1626)</f>
        <v>0</v>
      </c>
    </row>
    <row r="1627" customFormat="false" ht="18" hidden="false" customHeight="true" outlineLevel="0" collapsed="false">
      <c r="A1627" s="39"/>
      <c r="B1627" s="41"/>
      <c r="C1627" s="40"/>
      <c r="D1627" s="40"/>
      <c r="E1627" s="40"/>
      <c r="F1627" s="42"/>
      <c r="G1627" s="39"/>
      <c r="H1627" s="40"/>
      <c r="I1627" s="40"/>
      <c r="J1627" s="40"/>
      <c r="K1627" s="41"/>
      <c r="L1627" s="39"/>
      <c r="M1627" s="48" t="str">
        <f aca="false">IF($E1627="","",IFERROR(INDEX(Parâmetros!$C$15:$C$20,MATCH($P1627,Parâmetros!$B$15:$B$20,0)),""))</f>
        <v/>
      </c>
      <c r="N1627" s="46" t="str">
        <f aca="false">IF($E1627="","",IF($P1627="","",IF($P1627&gt;=8,"Alta",IF($P1627&gt;=5,"Média","Baixa"))))</f>
        <v/>
      </c>
      <c r="O1627" s="46" t="str">
        <f aca="false">IF($E1627="","",IF(AND(Parâmetros!$C$5&gt;0,$P1627&lt;&gt;"",$P1627&gt;=Parâmetros!$C$5),"Sim","Não"))</f>
        <v/>
      </c>
      <c r="P1627" s="45" t="str">
        <f aca="false">IF($E1627="","",IF($G1627="","",IF($G1627="NOK",$F1627,0)))</f>
        <v/>
      </c>
      <c r="Q1627" s="46" t="str">
        <f aca="false">IF($E1627="","",IF($O1627&lt;&gt;"Sim","",COUNTIF($O$3:$O1627,"Sim")))</f>
        <v/>
      </c>
      <c r="R1627" s="47" t="n">
        <f aca="false">IF($P1627="",0,$P1627)</f>
        <v>0</v>
      </c>
    </row>
    <row r="1628" customFormat="false" ht="18" hidden="false" customHeight="true" outlineLevel="0" collapsed="false">
      <c r="A1628" s="39"/>
      <c r="B1628" s="41"/>
      <c r="C1628" s="40"/>
      <c r="D1628" s="40"/>
      <c r="E1628" s="40"/>
      <c r="F1628" s="42"/>
      <c r="G1628" s="39"/>
      <c r="H1628" s="40"/>
      <c r="I1628" s="40"/>
      <c r="J1628" s="40"/>
      <c r="K1628" s="41"/>
      <c r="L1628" s="39"/>
      <c r="M1628" s="48" t="str">
        <f aca="false">IF($E1628="","",IFERROR(INDEX(Parâmetros!$C$15:$C$20,MATCH($P1628,Parâmetros!$B$15:$B$20,0)),""))</f>
        <v/>
      </c>
      <c r="N1628" s="46" t="str">
        <f aca="false">IF($E1628="","",IF($P1628="","",IF($P1628&gt;=8,"Alta",IF($P1628&gt;=5,"Média","Baixa"))))</f>
        <v/>
      </c>
      <c r="O1628" s="46" t="str">
        <f aca="false">IF($E1628="","",IF(AND(Parâmetros!$C$5&gt;0,$P1628&lt;&gt;"",$P1628&gt;=Parâmetros!$C$5),"Sim","Não"))</f>
        <v/>
      </c>
      <c r="P1628" s="45" t="str">
        <f aca="false">IF($E1628="","",IF($G1628="","",IF($G1628="NOK",$F1628,0)))</f>
        <v/>
      </c>
      <c r="Q1628" s="46" t="str">
        <f aca="false">IF($E1628="","",IF($O1628&lt;&gt;"Sim","",COUNTIF($O$3:$O1628,"Sim")))</f>
        <v/>
      </c>
      <c r="R1628" s="47" t="n">
        <f aca="false">IF($P1628="",0,$P1628)</f>
        <v>0</v>
      </c>
    </row>
    <row r="1629" customFormat="false" ht="18" hidden="false" customHeight="true" outlineLevel="0" collapsed="false">
      <c r="A1629" s="39"/>
      <c r="B1629" s="41"/>
      <c r="C1629" s="40"/>
      <c r="D1629" s="40"/>
      <c r="E1629" s="40"/>
      <c r="F1629" s="42"/>
      <c r="G1629" s="39"/>
      <c r="H1629" s="40"/>
      <c r="I1629" s="40"/>
      <c r="J1629" s="40"/>
      <c r="K1629" s="41"/>
      <c r="L1629" s="39"/>
      <c r="M1629" s="48" t="str">
        <f aca="false">IF($E1629="","",IFERROR(INDEX(Parâmetros!$C$15:$C$20,MATCH($P1629,Parâmetros!$B$15:$B$20,0)),""))</f>
        <v/>
      </c>
      <c r="N1629" s="46" t="str">
        <f aca="false">IF($E1629="","",IF($P1629="","",IF($P1629&gt;=8,"Alta",IF($P1629&gt;=5,"Média","Baixa"))))</f>
        <v/>
      </c>
      <c r="O1629" s="46" t="str">
        <f aca="false">IF($E1629="","",IF(AND(Parâmetros!$C$5&gt;0,$P1629&lt;&gt;"",$P1629&gt;=Parâmetros!$C$5),"Sim","Não"))</f>
        <v/>
      </c>
      <c r="P1629" s="45" t="str">
        <f aca="false">IF($E1629="","",IF($G1629="","",IF($G1629="NOK",$F1629,0)))</f>
        <v/>
      </c>
      <c r="Q1629" s="46" t="str">
        <f aca="false">IF($E1629="","",IF($O1629&lt;&gt;"Sim","",COUNTIF($O$3:$O1629,"Sim")))</f>
        <v/>
      </c>
      <c r="R1629" s="47" t="n">
        <f aca="false">IF($P1629="",0,$P1629)</f>
        <v>0</v>
      </c>
    </row>
    <row r="1630" customFormat="false" ht="18" hidden="false" customHeight="true" outlineLevel="0" collapsed="false">
      <c r="A1630" s="39"/>
      <c r="B1630" s="41"/>
      <c r="C1630" s="40"/>
      <c r="D1630" s="40"/>
      <c r="E1630" s="40"/>
      <c r="F1630" s="42"/>
      <c r="G1630" s="39"/>
      <c r="H1630" s="40"/>
      <c r="I1630" s="40"/>
      <c r="J1630" s="40"/>
      <c r="K1630" s="41"/>
      <c r="L1630" s="39"/>
      <c r="M1630" s="48" t="str">
        <f aca="false">IF($E1630="","",IFERROR(INDEX(Parâmetros!$C$15:$C$20,MATCH($P1630,Parâmetros!$B$15:$B$20,0)),""))</f>
        <v/>
      </c>
      <c r="N1630" s="46" t="str">
        <f aca="false">IF($E1630="","",IF($P1630="","",IF($P1630&gt;=8,"Alta",IF($P1630&gt;=5,"Média","Baixa"))))</f>
        <v/>
      </c>
      <c r="O1630" s="46" t="str">
        <f aca="false">IF($E1630="","",IF(AND(Parâmetros!$C$5&gt;0,$P1630&lt;&gt;"",$P1630&gt;=Parâmetros!$C$5),"Sim","Não"))</f>
        <v/>
      </c>
      <c r="P1630" s="45" t="str">
        <f aca="false">IF($E1630="","",IF($G1630="","",IF($G1630="NOK",$F1630,0)))</f>
        <v/>
      </c>
      <c r="Q1630" s="46" t="str">
        <f aca="false">IF($E1630="","",IF($O1630&lt;&gt;"Sim","",COUNTIF($O$3:$O1630,"Sim")))</f>
        <v/>
      </c>
      <c r="R1630" s="47" t="n">
        <f aca="false">IF($P1630="",0,$P1630)</f>
        <v>0</v>
      </c>
    </row>
    <row r="1631" customFormat="false" ht="18" hidden="false" customHeight="true" outlineLevel="0" collapsed="false">
      <c r="A1631" s="39"/>
      <c r="B1631" s="41"/>
      <c r="C1631" s="40"/>
      <c r="D1631" s="40"/>
      <c r="E1631" s="40"/>
      <c r="F1631" s="42"/>
      <c r="G1631" s="39"/>
      <c r="H1631" s="40"/>
      <c r="I1631" s="40"/>
      <c r="J1631" s="40"/>
      <c r="K1631" s="41"/>
      <c r="L1631" s="39"/>
      <c r="M1631" s="48" t="str">
        <f aca="false">IF($E1631="","",IFERROR(INDEX(Parâmetros!$C$15:$C$20,MATCH($P1631,Parâmetros!$B$15:$B$20,0)),""))</f>
        <v/>
      </c>
      <c r="N1631" s="46" t="str">
        <f aca="false">IF($E1631="","",IF($P1631="","",IF($P1631&gt;=8,"Alta",IF($P1631&gt;=5,"Média","Baixa"))))</f>
        <v/>
      </c>
      <c r="O1631" s="46" t="str">
        <f aca="false">IF($E1631="","",IF(AND(Parâmetros!$C$5&gt;0,$P1631&lt;&gt;"",$P1631&gt;=Parâmetros!$C$5),"Sim","Não"))</f>
        <v/>
      </c>
      <c r="P1631" s="45" t="str">
        <f aca="false">IF($E1631="","",IF($G1631="","",IF($G1631="NOK",$F1631,0)))</f>
        <v/>
      </c>
      <c r="Q1631" s="46" t="str">
        <f aca="false">IF($E1631="","",IF($O1631&lt;&gt;"Sim","",COUNTIF($O$3:$O1631,"Sim")))</f>
        <v/>
      </c>
      <c r="R1631" s="47" t="n">
        <f aca="false">IF($P1631="",0,$P1631)</f>
        <v>0</v>
      </c>
    </row>
    <row r="1632" customFormat="false" ht="18" hidden="false" customHeight="true" outlineLevel="0" collapsed="false">
      <c r="A1632" s="39"/>
      <c r="B1632" s="41"/>
      <c r="C1632" s="40"/>
      <c r="D1632" s="40"/>
      <c r="E1632" s="40"/>
      <c r="F1632" s="42"/>
      <c r="G1632" s="39"/>
      <c r="H1632" s="40"/>
      <c r="I1632" s="40"/>
      <c r="J1632" s="40"/>
      <c r="K1632" s="41"/>
      <c r="L1632" s="39"/>
      <c r="M1632" s="48" t="str">
        <f aca="false">IF($E1632="","",IFERROR(INDEX(Parâmetros!$C$15:$C$20,MATCH($P1632,Parâmetros!$B$15:$B$20,0)),""))</f>
        <v/>
      </c>
      <c r="N1632" s="46" t="str">
        <f aca="false">IF($E1632="","",IF($P1632="","",IF($P1632&gt;=8,"Alta",IF($P1632&gt;=5,"Média","Baixa"))))</f>
        <v/>
      </c>
      <c r="O1632" s="46" t="str">
        <f aca="false">IF($E1632="","",IF(AND(Parâmetros!$C$5&gt;0,$P1632&lt;&gt;"",$P1632&gt;=Parâmetros!$C$5),"Sim","Não"))</f>
        <v/>
      </c>
      <c r="P1632" s="45" t="str">
        <f aca="false">IF($E1632="","",IF($G1632="","",IF($G1632="NOK",$F1632,0)))</f>
        <v/>
      </c>
      <c r="Q1632" s="46" t="str">
        <f aca="false">IF($E1632="","",IF($O1632&lt;&gt;"Sim","",COUNTIF($O$3:$O1632,"Sim")))</f>
        <v/>
      </c>
      <c r="R1632" s="47" t="n">
        <f aca="false">IF($P1632="",0,$P1632)</f>
        <v>0</v>
      </c>
    </row>
    <row r="1633" customFormat="false" ht="18" hidden="false" customHeight="true" outlineLevel="0" collapsed="false">
      <c r="A1633" s="39"/>
      <c r="B1633" s="41"/>
      <c r="C1633" s="40"/>
      <c r="D1633" s="40"/>
      <c r="E1633" s="40"/>
      <c r="F1633" s="42"/>
      <c r="G1633" s="39"/>
      <c r="H1633" s="40"/>
      <c r="I1633" s="40"/>
      <c r="J1633" s="40"/>
      <c r="K1633" s="41"/>
      <c r="L1633" s="39"/>
      <c r="M1633" s="48" t="str">
        <f aca="false">IF($E1633="","",IFERROR(INDEX(Parâmetros!$C$15:$C$20,MATCH($P1633,Parâmetros!$B$15:$B$20,0)),""))</f>
        <v/>
      </c>
      <c r="N1633" s="46" t="str">
        <f aca="false">IF($E1633="","",IF($P1633="","",IF($P1633&gt;=8,"Alta",IF($P1633&gt;=5,"Média","Baixa"))))</f>
        <v/>
      </c>
      <c r="O1633" s="46" t="str">
        <f aca="false">IF($E1633="","",IF(AND(Parâmetros!$C$5&gt;0,$P1633&lt;&gt;"",$P1633&gt;=Parâmetros!$C$5),"Sim","Não"))</f>
        <v/>
      </c>
      <c r="P1633" s="45" t="str">
        <f aca="false">IF($E1633="","",IF($G1633="","",IF($G1633="NOK",$F1633,0)))</f>
        <v/>
      </c>
      <c r="Q1633" s="46" t="str">
        <f aca="false">IF($E1633="","",IF($O1633&lt;&gt;"Sim","",COUNTIF($O$3:$O1633,"Sim")))</f>
        <v/>
      </c>
      <c r="R1633" s="47" t="n">
        <f aca="false">IF($P1633="",0,$P1633)</f>
        <v>0</v>
      </c>
    </row>
    <row r="1634" customFormat="false" ht="18" hidden="false" customHeight="true" outlineLevel="0" collapsed="false">
      <c r="A1634" s="39"/>
      <c r="B1634" s="41"/>
      <c r="C1634" s="40"/>
      <c r="D1634" s="40"/>
      <c r="E1634" s="40"/>
      <c r="F1634" s="42"/>
      <c r="G1634" s="39"/>
      <c r="H1634" s="40"/>
      <c r="I1634" s="40"/>
      <c r="J1634" s="40"/>
      <c r="K1634" s="41"/>
      <c r="L1634" s="39"/>
      <c r="M1634" s="48" t="str">
        <f aca="false">IF($E1634="","",IFERROR(INDEX(Parâmetros!$C$15:$C$20,MATCH($P1634,Parâmetros!$B$15:$B$20,0)),""))</f>
        <v/>
      </c>
      <c r="N1634" s="46" t="str">
        <f aca="false">IF($E1634="","",IF($P1634="","",IF($P1634&gt;=8,"Alta",IF($P1634&gt;=5,"Média","Baixa"))))</f>
        <v/>
      </c>
      <c r="O1634" s="46" t="str">
        <f aca="false">IF($E1634="","",IF(AND(Parâmetros!$C$5&gt;0,$P1634&lt;&gt;"",$P1634&gt;=Parâmetros!$C$5),"Sim","Não"))</f>
        <v/>
      </c>
      <c r="P1634" s="45" t="str">
        <f aca="false">IF($E1634="","",IF($G1634="","",IF($G1634="NOK",$F1634,0)))</f>
        <v/>
      </c>
      <c r="Q1634" s="46" t="str">
        <f aca="false">IF($E1634="","",IF($O1634&lt;&gt;"Sim","",COUNTIF($O$3:$O1634,"Sim")))</f>
        <v/>
      </c>
      <c r="R1634" s="47" t="n">
        <f aca="false">IF($P1634="",0,$P1634)</f>
        <v>0</v>
      </c>
    </row>
    <row r="1635" customFormat="false" ht="18" hidden="false" customHeight="true" outlineLevel="0" collapsed="false">
      <c r="A1635" s="39"/>
      <c r="B1635" s="41"/>
      <c r="C1635" s="40"/>
      <c r="D1635" s="40"/>
      <c r="E1635" s="40"/>
      <c r="F1635" s="42"/>
      <c r="G1635" s="39"/>
      <c r="H1635" s="40"/>
      <c r="I1635" s="40"/>
      <c r="J1635" s="40"/>
      <c r="K1635" s="41"/>
      <c r="L1635" s="39"/>
      <c r="M1635" s="48" t="str">
        <f aca="false">IF($E1635="","",IFERROR(INDEX(Parâmetros!$C$15:$C$20,MATCH($P1635,Parâmetros!$B$15:$B$20,0)),""))</f>
        <v/>
      </c>
      <c r="N1635" s="46" t="str">
        <f aca="false">IF($E1635="","",IF($P1635="","",IF($P1635&gt;=8,"Alta",IF($P1635&gt;=5,"Média","Baixa"))))</f>
        <v/>
      </c>
      <c r="O1635" s="46" t="str">
        <f aca="false">IF($E1635="","",IF(AND(Parâmetros!$C$5&gt;0,$P1635&lt;&gt;"",$P1635&gt;=Parâmetros!$C$5),"Sim","Não"))</f>
        <v/>
      </c>
      <c r="P1635" s="45" t="str">
        <f aca="false">IF($E1635="","",IF($G1635="","",IF($G1635="NOK",$F1635,0)))</f>
        <v/>
      </c>
      <c r="Q1635" s="46" t="str">
        <f aca="false">IF($E1635="","",IF($O1635&lt;&gt;"Sim","",COUNTIF($O$3:$O1635,"Sim")))</f>
        <v/>
      </c>
      <c r="R1635" s="47" t="n">
        <f aca="false">IF($P1635="",0,$P1635)</f>
        <v>0</v>
      </c>
    </row>
    <row r="1636" customFormat="false" ht="18" hidden="false" customHeight="true" outlineLevel="0" collapsed="false">
      <c r="A1636" s="39"/>
      <c r="B1636" s="41"/>
      <c r="C1636" s="40"/>
      <c r="D1636" s="40"/>
      <c r="E1636" s="40"/>
      <c r="F1636" s="42"/>
      <c r="G1636" s="39"/>
      <c r="H1636" s="40"/>
      <c r="I1636" s="40"/>
      <c r="J1636" s="40"/>
      <c r="K1636" s="41"/>
      <c r="L1636" s="39"/>
      <c r="M1636" s="48" t="str">
        <f aca="false">IF($E1636="","",IFERROR(INDEX(Parâmetros!$C$15:$C$20,MATCH($P1636,Parâmetros!$B$15:$B$20,0)),""))</f>
        <v/>
      </c>
      <c r="N1636" s="46" t="str">
        <f aca="false">IF($E1636="","",IF($P1636="","",IF($P1636&gt;=8,"Alta",IF($P1636&gt;=5,"Média","Baixa"))))</f>
        <v/>
      </c>
      <c r="O1636" s="46" t="str">
        <f aca="false">IF($E1636="","",IF(AND(Parâmetros!$C$5&gt;0,$P1636&lt;&gt;"",$P1636&gt;=Parâmetros!$C$5),"Sim","Não"))</f>
        <v/>
      </c>
      <c r="P1636" s="45" t="str">
        <f aca="false">IF($E1636="","",IF($G1636="","",IF($G1636="NOK",$F1636,0)))</f>
        <v/>
      </c>
      <c r="Q1636" s="46" t="str">
        <f aca="false">IF($E1636="","",IF($O1636&lt;&gt;"Sim","",COUNTIF($O$3:$O1636,"Sim")))</f>
        <v/>
      </c>
      <c r="R1636" s="47" t="n">
        <f aca="false">IF($P1636="",0,$P1636)</f>
        <v>0</v>
      </c>
    </row>
    <row r="1637" customFormat="false" ht="18" hidden="false" customHeight="true" outlineLevel="0" collapsed="false">
      <c r="A1637" s="39"/>
      <c r="B1637" s="41"/>
      <c r="C1637" s="40"/>
      <c r="D1637" s="40"/>
      <c r="E1637" s="40"/>
      <c r="F1637" s="42"/>
      <c r="G1637" s="39"/>
      <c r="H1637" s="40"/>
      <c r="I1637" s="40"/>
      <c r="J1637" s="40"/>
      <c r="K1637" s="41"/>
      <c r="L1637" s="39"/>
      <c r="M1637" s="48" t="str">
        <f aca="false">IF($E1637="","",IFERROR(INDEX(Parâmetros!$C$15:$C$20,MATCH($P1637,Parâmetros!$B$15:$B$20,0)),""))</f>
        <v/>
      </c>
      <c r="N1637" s="46" t="str">
        <f aca="false">IF($E1637="","",IF($P1637="","",IF($P1637&gt;=8,"Alta",IF($P1637&gt;=5,"Média","Baixa"))))</f>
        <v/>
      </c>
      <c r="O1637" s="46" t="str">
        <f aca="false">IF($E1637="","",IF(AND(Parâmetros!$C$5&gt;0,$P1637&lt;&gt;"",$P1637&gt;=Parâmetros!$C$5),"Sim","Não"))</f>
        <v/>
      </c>
      <c r="P1637" s="45" t="str">
        <f aca="false">IF($E1637="","",IF($G1637="","",IF($G1637="NOK",$F1637,0)))</f>
        <v/>
      </c>
      <c r="Q1637" s="46" t="str">
        <f aca="false">IF($E1637="","",IF($O1637&lt;&gt;"Sim","",COUNTIF($O$3:$O1637,"Sim")))</f>
        <v/>
      </c>
      <c r="R1637" s="47" t="n">
        <f aca="false">IF($P1637="",0,$P1637)</f>
        <v>0</v>
      </c>
    </row>
    <row r="1638" customFormat="false" ht="18" hidden="false" customHeight="true" outlineLevel="0" collapsed="false">
      <c r="A1638" s="39"/>
      <c r="B1638" s="41"/>
      <c r="C1638" s="40"/>
      <c r="D1638" s="40"/>
      <c r="E1638" s="40"/>
      <c r="F1638" s="42"/>
      <c r="G1638" s="39"/>
      <c r="H1638" s="40"/>
      <c r="I1638" s="40"/>
      <c r="J1638" s="40"/>
      <c r="K1638" s="41"/>
      <c r="L1638" s="39"/>
      <c r="M1638" s="48" t="str">
        <f aca="false">IF($E1638="","",IFERROR(INDEX(Parâmetros!$C$15:$C$20,MATCH($P1638,Parâmetros!$B$15:$B$20,0)),""))</f>
        <v/>
      </c>
      <c r="N1638" s="46" t="str">
        <f aca="false">IF($E1638="","",IF($P1638="","",IF($P1638&gt;=8,"Alta",IF($P1638&gt;=5,"Média","Baixa"))))</f>
        <v/>
      </c>
      <c r="O1638" s="46" t="str">
        <f aca="false">IF($E1638="","",IF(AND(Parâmetros!$C$5&gt;0,$P1638&lt;&gt;"",$P1638&gt;=Parâmetros!$C$5),"Sim","Não"))</f>
        <v/>
      </c>
      <c r="P1638" s="45" t="str">
        <f aca="false">IF($E1638="","",IF($G1638="","",IF($G1638="NOK",$F1638,0)))</f>
        <v/>
      </c>
      <c r="Q1638" s="46" t="str">
        <f aca="false">IF($E1638="","",IF($O1638&lt;&gt;"Sim","",COUNTIF($O$3:$O1638,"Sim")))</f>
        <v/>
      </c>
      <c r="R1638" s="47" t="n">
        <f aca="false">IF($P1638="",0,$P1638)</f>
        <v>0</v>
      </c>
    </row>
    <row r="1639" customFormat="false" ht="18" hidden="false" customHeight="true" outlineLevel="0" collapsed="false">
      <c r="A1639" s="39"/>
      <c r="B1639" s="41"/>
      <c r="C1639" s="40"/>
      <c r="D1639" s="40"/>
      <c r="E1639" s="40"/>
      <c r="F1639" s="42"/>
      <c r="G1639" s="39"/>
      <c r="H1639" s="40"/>
      <c r="I1639" s="40"/>
      <c r="J1639" s="40"/>
      <c r="K1639" s="41"/>
      <c r="L1639" s="39"/>
      <c r="M1639" s="48" t="str">
        <f aca="false">IF($E1639="","",IFERROR(INDEX(Parâmetros!$C$15:$C$20,MATCH($P1639,Parâmetros!$B$15:$B$20,0)),""))</f>
        <v/>
      </c>
      <c r="N1639" s="46" t="str">
        <f aca="false">IF($E1639="","",IF($P1639="","",IF($P1639&gt;=8,"Alta",IF($P1639&gt;=5,"Média","Baixa"))))</f>
        <v/>
      </c>
      <c r="O1639" s="46" t="str">
        <f aca="false">IF($E1639="","",IF(AND(Parâmetros!$C$5&gt;0,$P1639&lt;&gt;"",$P1639&gt;=Parâmetros!$C$5),"Sim","Não"))</f>
        <v/>
      </c>
      <c r="P1639" s="45" t="str">
        <f aca="false">IF($E1639="","",IF($G1639="","",IF($G1639="NOK",$F1639,0)))</f>
        <v/>
      </c>
      <c r="Q1639" s="46" t="str">
        <f aca="false">IF($E1639="","",IF($O1639&lt;&gt;"Sim","",COUNTIF($O$3:$O1639,"Sim")))</f>
        <v/>
      </c>
      <c r="R1639" s="47" t="n">
        <f aca="false">IF($P1639="",0,$P1639)</f>
        <v>0</v>
      </c>
    </row>
    <row r="1640" customFormat="false" ht="18" hidden="false" customHeight="true" outlineLevel="0" collapsed="false">
      <c r="A1640" s="39"/>
      <c r="B1640" s="41"/>
      <c r="C1640" s="40"/>
      <c r="D1640" s="40"/>
      <c r="E1640" s="40"/>
      <c r="F1640" s="42"/>
      <c r="G1640" s="39"/>
      <c r="H1640" s="40"/>
      <c r="I1640" s="40"/>
      <c r="J1640" s="40"/>
      <c r="K1640" s="41"/>
      <c r="L1640" s="39"/>
      <c r="M1640" s="48" t="str">
        <f aca="false">IF($E1640="","",IFERROR(INDEX(Parâmetros!$C$15:$C$20,MATCH($P1640,Parâmetros!$B$15:$B$20,0)),""))</f>
        <v/>
      </c>
      <c r="N1640" s="46" t="str">
        <f aca="false">IF($E1640="","",IF($P1640="","",IF($P1640&gt;=8,"Alta",IF($P1640&gt;=5,"Média","Baixa"))))</f>
        <v/>
      </c>
      <c r="O1640" s="46" t="str">
        <f aca="false">IF($E1640="","",IF(AND(Parâmetros!$C$5&gt;0,$P1640&lt;&gt;"",$P1640&gt;=Parâmetros!$C$5),"Sim","Não"))</f>
        <v/>
      </c>
      <c r="P1640" s="45" t="str">
        <f aca="false">IF($E1640="","",IF($G1640="","",IF($G1640="NOK",$F1640,0)))</f>
        <v/>
      </c>
      <c r="Q1640" s="46" t="str">
        <f aca="false">IF($E1640="","",IF($O1640&lt;&gt;"Sim","",COUNTIF($O$3:$O1640,"Sim")))</f>
        <v/>
      </c>
      <c r="R1640" s="47" t="n">
        <f aca="false">IF($P1640="",0,$P1640)</f>
        <v>0</v>
      </c>
    </row>
    <row r="1641" customFormat="false" ht="18" hidden="false" customHeight="true" outlineLevel="0" collapsed="false">
      <c r="A1641" s="39"/>
      <c r="B1641" s="41"/>
      <c r="C1641" s="40"/>
      <c r="D1641" s="40"/>
      <c r="E1641" s="40"/>
      <c r="F1641" s="42"/>
      <c r="G1641" s="39"/>
      <c r="H1641" s="40"/>
      <c r="I1641" s="40"/>
      <c r="J1641" s="40"/>
      <c r="K1641" s="41"/>
      <c r="L1641" s="39"/>
      <c r="M1641" s="48" t="str">
        <f aca="false">IF($E1641="","",IFERROR(INDEX(Parâmetros!$C$15:$C$20,MATCH($P1641,Parâmetros!$B$15:$B$20,0)),""))</f>
        <v/>
      </c>
      <c r="N1641" s="46" t="str">
        <f aca="false">IF($E1641="","",IF($P1641="","",IF($P1641&gt;=8,"Alta",IF($P1641&gt;=5,"Média","Baixa"))))</f>
        <v/>
      </c>
      <c r="O1641" s="46" t="str">
        <f aca="false">IF($E1641="","",IF(AND(Parâmetros!$C$5&gt;0,$P1641&lt;&gt;"",$P1641&gt;=Parâmetros!$C$5),"Sim","Não"))</f>
        <v/>
      </c>
      <c r="P1641" s="45" t="str">
        <f aca="false">IF($E1641="","",IF($G1641="","",IF($G1641="NOK",$F1641,0)))</f>
        <v/>
      </c>
      <c r="Q1641" s="46" t="str">
        <f aca="false">IF($E1641="","",IF($O1641&lt;&gt;"Sim","",COUNTIF($O$3:$O1641,"Sim")))</f>
        <v/>
      </c>
      <c r="R1641" s="47" t="n">
        <f aca="false">IF($P1641="",0,$P1641)</f>
        <v>0</v>
      </c>
    </row>
    <row r="1642" customFormat="false" ht="18" hidden="false" customHeight="true" outlineLevel="0" collapsed="false">
      <c r="A1642" s="39"/>
      <c r="B1642" s="41"/>
      <c r="C1642" s="40"/>
      <c r="D1642" s="40"/>
      <c r="E1642" s="40"/>
      <c r="F1642" s="42"/>
      <c r="G1642" s="39"/>
      <c r="H1642" s="40"/>
      <c r="I1642" s="40"/>
      <c r="J1642" s="40"/>
      <c r="K1642" s="41"/>
      <c r="L1642" s="39"/>
      <c r="M1642" s="48" t="str">
        <f aca="false">IF($E1642="","",IFERROR(INDEX(Parâmetros!$C$15:$C$20,MATCH($P1642,Parâmetros!$B$15:$B$20,0)),""))</f>
        <v/>
      </c>
      <c r="N1642" s="46" t="str">
        <f aca="false">IF($E1642="","",IF($P1642="","",IF($P1642&gt;=8,"Alta",IF($P1642&gt;=5,"Média","Baixa"))))</f>
        <v/>
      </c>
      <c r="O1642" s="46" t="str">
        <f aca="false">IF($E1642="","",IF(AND(Parâmetros!$C$5&gt;0,$P1642&lt;&gt;"",$P1642&gt;=Parâmetros!$C$5),"Sim","Não"))</f>
        <v/>
      </c>
      <c r="P1642" s="45" t="str">
        <f aca="false">IF($E1642="","",IF($G1642="","",IF($G1642="NOK",$F1642,0)))</f>
        <v/>
      </c>
      <c r="Q1642" s="46" t="str">
        <f aca="false">IF($E1642="","",IF($O1642&lt;&gt;"Sim","",COUNTIF($O$3:$O1642,"Sim")))</f>
        <v/>
      </c>
      <c r="R1642" s="47" t="n">
        <f aca="false">IF($P1642="",0,$P1642)</f>
        <v>0</v>
      </c>
    </row>
    <row r="1643" customFormat="false" ht="18" hidden="false" customHeight="true" outlineLevel="0" collapsed="false">
      <c r="A1643" s="39"/>
      <c r="B1643" s="41"/>
      <c r="C1643" s="40"/>
      <c r="D1643" s="40"/>
      <c r="E1643" s="40"/>
      <c r="F1643" s="42"/>
      <c r="G1643" s="39"/>
      <c r="H1643" s="40"/>
      <c r="I1643" s="40"/>
      <c r="J1643" s="40"/>
      <c r="K1643" s="41"/>
      <c r="L1643" s="39"/>
      <c r="M1643" s="48" t="str">
        <f aca="false">IF($E1643="","",IFERROR(INDEX(Parâmetros!$C$15:$C$20,MATCH($P1643,Parâmetros!$B$15:$B$20,0)),""))</f>
        <v/>
      </c>
      <c r="N1643" s="46" t="str">
        <f aca="false">IF($E1643="","",IF($P1643="","",IF($P1643&gt;=8,"Alta",IF($P1643&gt;=5,"Média","Baixa"))))</f>
        <v/>
      </c>
      <c r="O1643" s="46" t="str">
        <f aca="false">IF($E1643="","",IF(AND(Parâmetros!$C$5&gt;0,$P1643&lt;&gt;"",$P1643&gt;=Parâmetros!$C$5),"Sim","Não"))</f>
        <v/>
      </c>
      <c r="P1643" s="45" t="str">
        <f aca="false">IF($E1643="","",IF($G1643="","",IF($G1643="NOK",$F1643,0)))</f>
        <v/>
      </c>
      <c r="Q1643" s="46" t="str">
        <f aca="false">IF($E1643="","",IF($O1643&lt;&gt;"Sim","",COUNTIF($O$3:$O1643,"Sim")))</f>
        <v/>
      </c>
      <c r="R1643" s="47" t="n">
        <f aca="false">IF($P1643="",0,$P1643)</f>
        <v>0</v>
      </c>
    </row>
    <row r="1644" customFormat="false" ht="18" hidden="false" customHeight="true" outlineLevel="0" collapsed="false">
      <c r="A1644" s="39"/>
      <c r="B1644" s="41"/>
      <c r="C1644" s="40"/>
      <c r="D1644" s="40"/>
      <c r="E1644" s="40"/>
      <c r="F1644" s="42"/>
      <c r="G1644" s="39"/>
      <c r="H1644" s="40"/>
      <c r="I1644" s="40"/>
      <c r="J1644" s="40"/>
      <c r="K1644" s="41"/>
      <c r="L1644" s="39"/>
      <c r="M1644" s="48" t="str">
        <f aca="false">IF($E1644="","",IFERROR(INDEX(Parâmetros!$C$15:$C$20,MATCH($P1644,Parâmetros!$B$15:$B$20,0)),""))</f>
        <v/>
      </c>
      <c r="N1644" s="46" t="str">
        <f aca="false">IF($E1644="","",IF($P1644="","",IF($P1644&gt;=8,"Alta",IF($P1644&gt;=5,"Média","Baixa"))))</f>
        <v/>
      </c>
      <c r="O1644" s="46" t="str">
        <f aca="false">IF($E1644="","",IF(AND(Parâmetros!$C$5&gt;0,$P1644&lt;&gt;"",$P1644&gt;=Parâmetros!$C$5),"Sim","Não"))</f>
        <v/>
      </c>
      <c r="P1644" s="45" t="str">
        <f aca="false">IF($E1644="","",IF($G1644="","",IF($G1644="NOK",$F1644,0)))</f>
        <v/>
      </c>
      <c r="Q1644" s="46" t="str">
        <f aca="false">IF($E1644="","",IF($O1644&lt;&gt;"Sim","",COUNTIF($O$3:$O1644,"Sim")))</f>
        <v/>
      </c>
      <c r="R1644" s="47" t="n">
        <f aca="false">IF($P1644="",0,$P1644)</f>
        <v>0</v>
      </c>
    </row>
    <row r="1645" customFormat="false" ht="18" hidden="false" customHeight="true" outlineLevel="0" collapsed="false">
      <c r="A1645" s="39"/>
      <c r="B1645" s="41"/>
      <c r="C1645" s="40"/>
      <c r="D1645" s="40"/>
      <c r="E1645" s="40"/>
      <c r="F1645" s="42"/>
      <c r="G1645" s="39"/>
      <c r="H1645" s="40"/>
      <c r="I1645" s="40"/>
      <c r="J1645" s="40"/>
      <c r="K1645" s="41"/>
      <c r="L1645" s="39"/>
      <c r="M1645" s="48" t="str">
        <f aca="false">IF($E1645="","",IFERROR(INDEX(Parâmetros!$C$15:$C$20,MATCH($P1645,Parâmetros!$B$15:$B$20,0)),""))</f>
        <v/>
      </c>
      <c r="N1645" s="46" t="str">
        <f aca="false">IF($E1645="","",IF($P1645="","",IF($P1645&gt;=8,"Alta",IF($P1645&gt;=5,"Média","Baixa"))))</f>
        <v/>
      </c>
      <c r="O1645" s="46" t="str">
        <f aca="false">IF($E1645="","",IF(AND(Parâmetros!$C$5&gt;0,$P1645&lt;&gt;"",$P1645&gt;=Parâmetros!$C$5),"Sim","Não"))</f>
        <v/>
      </c>
      <c r="P1645" s="45" t="str">
        <f aca="false">IF($E1645="","",IF($G1645="","",IF($G1645="NOK",$F1645,0)))</f>
        <v/>
      </c>
      <c r="Q1645" s="46" t="str">
        <f aca="false">IF($E1645="","",IF($O1645&lt;&gt;"Sim","",COUNTIF($O$3:$O1645,"Sim")))</f>
        <v/>
      </c>
      <c r="R1645" s="47" t="n">
        <f aca="false">IF($P1645="",0,$P1645)</f>
        <v>0</v>
      </c>
    </row>
    <row r="1646" customFormat="false" ht="18" hidden="false" customHeight="true" outlineLevel="0" collapsed="false">
      <c r="A1646" s="39"/>
      <c r="B1646" s="41"/>
      <c r="C1646" s="40"/>
      <c r="D1646" s="40"/>
      <c r="E1646" s="40"/>
      <c r="F1646" s="42"/>
      <c r="G1646" s="39"/>
      <c r="H1646" s="40"/>
      <c r="I1646" s="40"/>
      <c r="J1646" s="40"/>
      <c r="K1646" s="41"/>
      <c r="L1646" s="39"/>
      <c r="M1646" s="48" t="str">
        <f aca="false">IF($E1646="","",IFERROR(INDEX(Parâmetros!$C$15:$C$20,MATCH($P1646,Parâmetros!$B$15:$B$20,0)),""))</f>
        <v/>
      </c>
      <c r="N1646" s="46" t="str">
        <f aca="false">IF($E1646="","",IF($P1646="","",IF($P1646&gt;=8,"Alta",IF($P1646&gt;=5,"Média","Baixa"))))</f>
        <v/>
      </c>
      <c r="O1646" s="46" t="str">
        <f aca="false">IF($E1646="","",IF(AND(Parâmetros!$C$5&gt;0,$P1646&lt;&gt;"",$P1646&gt;=Parâmetros!$C$5),"Sim","Não"))</f>
        <v/>
      </c>
      <c r="P1646" s="45" t="str">
        <f aca="false">IF($E1646="","",IF($G1646="","",IF($G1646="NOK",$F1646,0)))</f>
        <v/>
      </c>
      <c r="Q1646" s="46" t="str">
        <f aca="false">IF($E1646="","",IF($O1646&lt;&gt;"Sim","",COUNTIF($O$3:$O1646,"Sim")))</f>
        <v/>
      </c>
      <c r="R1646" s="47" t="n">
        <f aca="false">IF($P1646="",0,$P1646)</f>
        <v>0</v>
      </c>
    </row>
    <row r="1647" customFormat="false" ht="18" hidden="false" customHeight="true" outlineLevel="0" collapsed="false">
      <c r="A1647" s="39"/>
      <c r="B1647" s="41"/>
      <c r="C1647" s="40"/>
      <c r="D1647" s="40"/>
      <c r="E1647" s="40"/>
      <c r="F1647" s="42"/>
      <c r="G1647" s="39"/>
      <c r="H1647" s="40"/>
      <c r="I1647" s="40"/>
      <c r="J1647" s="40"/>
      <c r="K1647" s="41"/>
      <c r="L1647" s="39"/>
      <c r="M1647" s="48" t="str">
        <f aca="false">IF($E1647="","",IFERROR(INDEX(Parâmetros!$C$15:$C$20,MATCH($P1647,Parâmetros!$B$15:$B$20,0)),""))</f>
        <v/>
      </c>
      <c r="N1647" s="46" t="str">
        <f aca="false">IF($E1647="","",IF($P1647="","",IF($P1647&gt;=8,"Alta",IF($P1647&gt;=5,"Média","Baixa"))))</f>
        <v/>
      </c>
      <c r="O1647" s="46" t="str">
        <f aca="false">IF($E1647="","",IF(AND(Parâmetros!$C$5&gt;0,$P1647&lt;&gt;"",$P1647&gt;=Parâmetros!$C$5),"Sim","Não"))</f>
        <v/>
      </c>
      <c r="P1647" s="45" t="str">
        <f aca="false">IF($E1647="","",IF($G1647="","",IF($G1647="NOK",$F1647,0)))</f>
        <v/>
      </c>
      <c r="Q1647" s="46" t="str">
        <f aca="false">IF($E1647="","",IF($O1647&lt;&gt;"Sim","",COUNTIF($O$3:$O1647,"Sim")))</f>
        <v/>
      </c>
      <c r="R1647" s="47" t="n">
        <f aca="false">IF($P1647="",0,$P1647)</f>
        <v>0</v>
      </c>
    </row>
    <row r="1648" customFormat="false" ht="18" hidden="false" customHeight="true" outlineLevel="0" collapsed="false">
      <c r="A1648" s="39"/>
      <c r="B1648" s="41"/>
      <c r="C1648" s="40"/>
      <c r="D1648" s="40"/>
      <c r="E1648" s="40"/>
      <c r="F1648" s="42"/>
      <c r="G1648" s="39"/>
      <c r="H1648" s="40"/>
      <c r="I1648" s="40"/>
      <c r="J1648" s="40"/>
      <c r="K1648" s="41"/>
      <c r="L1648" s="39"/>
      <c r="M1648" s="48" t="str">
        <f aca="false">IF($E1648="","",IFERROR(INDEX(Parâmetros!$C$15:$C$20,MATCH($P1648,Parâmetros!$B$15:$B$20,0)),""))</f>
        <v/>
      </c>
      <c r="N1648" s="46" t="str">
        <f aca="false">IF($E1648="","",IF($P1648="","",IF($P1648&gt;=8,"Alta",IF($P1648&gt;=5,"Média","Baixa"))))</f>
        <v/>
      </c>
      <c r="O1648" s="46" t="str">
        <f aca="false">IF($E1648="","",IF(AND(Parâmetros!$C$5&gt;0,$P1648&lt;&gt;"",$P1648&gt;=Parâmetros!$C$5),"Sim","Não"))</f>
        <v/>
      </c>
      <c r="P1648" s="45" t="str">
        <f aca="false">IF($E1648="","",IF($G1648="","",IF($G1648="NOK",$F1648,0)))</f>
        <v/>
      </c>
      <c r="Q1648" s="46" t="str">
        <f aca="false">IF($E1648="","",IF($O1648&lt;&gt;"Sim","",COUNTIF($O$3:$O1648,"Sim")))</f>
        <v/>
      </c>
      <c r="R1648" s="47" t="n">
        <f aca="false">IF($P1648="",0,$P1648)</f>
        <v>0</v>
      </c>
    </row>
    <row r="1649" customFormat="false" ht="18" hidden="false" customHeight="true" outlineLevel="0" collapsed="false">
      <c r="A1649" s="39"/>
      <c r="B1649" s="41"/>
      <c r="C1649" s="40"/>
      <c r="D1649" s="40"/>
      <c r="E1649" s="40"/>
      <c r="F1649" s="42"/>
      <c r="G1649" s="39"/>
      <c r="H1649" s="40"/>
      <c r="I1649" s="40"/>
      <c r="J1649" s="40"/>
      <c r="K1649" s="41"/>
      <c r="L1649" s="39"/>
      <c r="M1649" s="48" t="str">
        <f aca="false">IF($E1649="","",IFERROR(INDEX(Parâmetros!$C$15:$C$20,MATCH($P1649,Parâmetros!$B$15:$B$20,0)),""))</f>
        <v/>
      </c>
      <c r="N1649" s="46" t="str">
        <f aca="false">IF($E1649="","",IF($P1649="","",IF($P1649&gt;=8,"Alta",IF($P1649&gt;=5,"Média","Baixa"))))</f>
        <v/>
      </c>
      <c r="O1649" s="46" t="str">
        <f aca="false">IF($E1649="","",IF(AND(Parâmetros!$C$5&gt;0,$P1649&lt;&gt;"",$P1649&gt;=Parâmetros!$C$5),"Sim","Não"))</f>
        <v/>
      </c>
      <c r="P1649" s="45" t="str">
        <f aca="false">IF($E1649="","",IF($G1649="","",IF($G1649="NOK",$F1649,0)))</f>
        <v/>
      </c>
      <c r="Q1649" s="46" t="str">
        <f aca="false">IF($E1649="","",IF($O1649&lt;&gt;"Sim","",COUNTIF($O$3:$O1649,"Sim")))</f>
        <v/>
      </c>
      <c r="R1649" s="47" t="n">
        <f aca="false">IF($P1649="",0,$P1649)</f>
        <v>0</v>
      </c>
    </row>
    <row r="1650" customFormat="false" ht="18" hidden="false" customHeight="true" outlineLevel="0" collapsed="false">
      <c r="A1650" s="39"/>
      <c r="B1650" s="41"/>
      <c r="C1650" s="40"/>
      <c r="D1650" s="40"/>
      <c r="E1650" s="40"/>
      <c r="F1650" s="42"/>
      <c r="G1650" s="39"/>
      <c r="H1650" s="40"/>
      <c r="I1650" s="40"/>
      <c r="J1650" s="40"/>
      <c r="K1650" s="41"/>
      <c r="L1650" s="39"/>
      <c r="M1650" s="48" t="str">
        <f aca="false">IF($E1650="","",IFERROR(INDEX(Parâmetros!$C$15:$C$20,MATCH($P1650,Parâmetros!$B$15:$B$20,0)),""))</f>
        <v/>
      </c>
      <c r="N1650" s="46" t="str">
        <f aca="false">IF($E1650="","",IF($P1650="","",IF($P1650&gt;=8,"Alta",IF($P1650&gt;=5,"Média","Baixa"))))</f>
        <v/>
      </c>
      <c r="O1650" s="46" t="str">
        <f aca="false">IF($E1650="","",IF(AND(Parâmetros!$C$5&gt;0,$P1650&lt;&gt;"",$P1650&gt;=Parâmetros!$C$5),"Sim","Não"))</f>
        <v/>
      </c>
      <c r="P1650" s="45" t="str">
        <f aca="false">IF($E1650="","",IF($G1650="","",IF($G1650="NOK",$F1650,0)))</f>
        <v/>
      </c>
      <c r="Q1650" s="46" t="str">
        <f aca="false">IF($E1650="","",IF($O1650&lt;&gt;"Sim","",COUNTIF($O$3:$O1650,"Sim")))</f>
        <v/>
      </c>
      <c r="R1650" s="47" t="n">
        <f aca="false">IF($P1650="",0,$P1650)</f>
        <v>0</v>
      </c>
    </row>
    <row r="1651" customFormat="false" ht="18" hidden="false" customHeight="true" outlineLevel="0" collapsed="false">
      <c r="A1651" s="39"/>
      <c r="B1651" s="41"/>
      <c r="C1651" s="40"/>
      <c r="D1651" s="40"/>
      <c r="E1651" s="40"/>
      <c r="F1651" s="42"/>
      <c r="G1651" s="39"/>
      <c r="H1651" s="40"/>
      <c r="I1651" s="40"/>
      <c r="J1651" s="40"/>
      <c r="K1651" s="41"/>
      <c r="L1651" s="39"/>
      <c r="M1651" s="48" t="str">
        <f aca="false">IF($E1651="","",IFERROR(INDEX(Parâmetros!$C$15:$C$20,MATCH($P1651,Parâmetros!$B$15:$B$20,0)),""))</f>
        <v/>
      </c>
      <c r="N1651" s="46" t="str">
        <f aca="false">IF($E1651="","",IF($P1651="","",IF($P1651&gt;=8,"Alta",IF($P1651&gt;=5,"Média","Baixa"))))</f>
        <v/>
      </c>
      <c r="O1651" s="46" t="str">
        <f aca="false">IF($E1651="","",IF(AND(Parâmetros!$C$5&gt;0,$P1651&lt;&gt;"",$P1651&gt;=Parâmetros!$C$5),"Sim","Não"))</f>
        <v/>
      </c>
      <c r="P1651" s="45" t="str">
        <f aca="false">IF($E1651="","",IF($G1651="","",IF($G1651="NOK",$F1651,0)))</f>
        <v/>
      </c>
      <c r="Q1651" s="46" t="str">
        <f aca="false">IF($E1651="","",IF($O1651&lt;&gt;"Sim","",COUNTIF($O$3:$O1651,"Sim")))</f>
        <v/>
      </c>
      <c r="R1651" s="47" t="n">
        <f aca="false">IF($P1651="",0,$P1651)</f>
        <v>0</v>
      </c>
    </row>
    <row r="1652" customFormat="false" ht="18" hidden="false" customHeight="true" outlineLevel="0" collapsed="false">
      <c r="A1652" s="39"/>
      <c r="B1652" s="41"/>
      <c r="C1652" s="40"/>
      <c r="D1652" s="40"/>
      <c r="E1652" s="40"/>
      <c r="F1652" s="42"/>
      <c r="G1652" s="39"/>
      <c r="H1652" s="40"/>
      <c r="I1652" s="40"/>
      <c r="J1652" s="40"/>
      <c r="K1652" s="41"/>
      <c r="L1652" s="39"/>
      <c r="M1652" s="48" t="str">
        <f aca="false">IF($E1652="","",IFERROR(INDEX(Parâmetros!$C$15:$C$20,MATCH($P1652,Parâmetros!$B$15:$B$20,0)),""))</f>
        <v/>
      </c>
      <c r="N1652" s="46" t="str">
        <f aca="false">IF($E1652="","",IF($P1652="","",IF($P1652&gt;=8,"Alta",IF($P1652&gt;=5,"Média","Baixa"))))</f>
        <v/>
      </c>
      <c r="O1652" s="46" t="str">
        <f aca="false">IF($E1652="","",IF(AND(Parâmetros!$C$5&gt;0,$P1652&lt;&gt;"",$P1652&gt;=Parâmetros!$C$5),"Sim","Não"))</f>
        <v/>
      </c>
      <c r="P1652" s="45" t="str">
        <f aca="false">IF($E1652="","",IF($G1652="","",IF($G1652="NOK",$F1652,0)))</f>
        <v/>
      </c>
      <c r="Q1652" s="46" t="str">
        <f aca="false">IF($E1652="","",IF($O1652&lt;&gt;"Sim","",COUNTIF($O$3:$O1652,"Sim")))</f>
        <v/>
      </c>
      <c r="R1652" s="47" t="n">
        <f aca="false">IF($P1652="",0,$P1652)</f>
        <v>0</v>
      </c>
    </row>
    <row r="1653" customFormat="false" ht="18" hidden="false" customHeight="true" outlineLevel="0" collapsed="false">
      <c r="A1653" s="39"/>
      <c r="B1653" s="41"/>
      <c r="C1653" s="40"/>
      <c r="D1653" s="40"/>
      <c r="E1653" s="40"/>
      <c r="F1653" s="42"/>
      <c r="G1653" s="39"/>
      <c r="H1653" s="40"/>
      <c r="I1653" s="40"/>
      <c r="J1653" s="40"/>
      <c r="K1653" s="41"/>
      <c r="L1653" s="39"/>
      <c r="M1653" s="48" t="str">
        <f aca="false">IF($E1653="","",IFERROR(INDEX(Parâmetros!$C$15:$C$20,MATCH($P1653,Parâmetros!$B$15:$B$20,0)),""))</f>
        <v/>
      </c>
      <c r="N1653" s="46" t="str">
        <f aca="false">IF($E1653="","",IF($P1653="","",IF($P1653&gt;=8,"Alta",IF($P1653&gt;=5,"Média","Baixa"))))</f>
        <v/>
      </c>
      <c r="O1653" s="46" t="str">
        <f aca="false">IF($E1653="","",IF(AND(Parâmetros!$C$5&gt;0,$P1653&lt;&gt;"",$P1653&gt;=Parâmetros!$C$5),"Sim","Não"))</f>
        <v/>
      </c>
      <c r="P1653" s="45" t="str">
        <f aca="false">IF($E1653="","",IF($G1653="","",IF($G1653="NOK",$F1653,0)))</f>
        <v/>
      </c>
      <c r="Q1653" s="46" t="str">
        <f aca="false">IF($E1653="","",IF($O1653&lt;&gt;"Sim","",COUNTIF($O$3:$O1653,"Sim")))</f>
        <v/>
      </c>
      <c r="R1653" s="47" t="n">
        <f aca="false">IF($P1653="",0,$P1653)</f>
        <v>0</v>
      </c>
    </row>
    <row r="1654" customFormat="false" ht="18" hidden="false" customHeight="true" outlineLevel="0" collapsed="false">
      <c r="A1654" s="39"/>
      <c r="B1654" s="41"/>
      <c r="C1654" s="40"/>
      <c r="D1654" s="40"/>
      <c r="E1654" s="40"/>
      <c r="F1654" s="42"/>
      <c r="G1654" s="39"/>
      <c r="H1654" s="40"/>
      <c r="I1654" s="40"/>
      <c r="J1654" s="40"/>
      <c r="K1654" s="41"/>
      <c r="L1654" s="39"/>
      <c r="M1654" s="48" t="str">
        <f aca="false">IF($E1654="","",IFERROR(INDEX(Parâmetros!$C$15:$C$20,MATCH($P1654,Parâmetros!$B$15:$B$20,0)),""))</f>
        <v/>
      </c>
      <c r="N1654" s="46" t="str">
        <f aca="false">IF($E1654="","",IF($P1654="","",IF($P1654&gt;=8,"Alta",IF($P1654&gt;=5,"Média","Baixa"))))</f>
        <v/>
      </c>
      <c r="O1654" s="46" t="str">
        <f aca="false">IF($E1654="","",IF(AND(Parâmetros!$C$5&gt;0,$P1654&lt;&gt;"",$P1654&gt;=Parâmetros!$C$5),"Sim","Não"))</f>
        <v/>
      </c>
      <c r="P1654" s="45" t="str">
        <f aca="false">IF($E1654="","",IF($G1654="","",IF($G1654="NOK",$F1654,0)))</f>
        <v/>
      </c>
      <c r="Q1654" s="46" t="str">
        <f aca="false">IF($E1654="","",IF($O1654&lt;&gt;"Sim","",COUNTIF($O$3:$O1654,"Sim")))</f>
        <v/>
      </c>
      <c r="R1654" s="47" t="n">
        <f aca="false">IF($P1654="",0,$P1654)</f>
        <v>0</v>
      </c>
    </row>
    <row r="1655" customFormat="false" ht="18" hidden="false" customHeight="true" outlineLevel="0" collapsed="false">
      <c r="A1655" s="39"/>
      <c r="B1655" s="41"/>
      <c r="C1655" s="40"/>
      <c r="D1655" s="40"/>
      <c r="E1655" s="40"/>
      <c r="F1655" s="42"/>
      <c r="G1655" s="39"/>
      <c r="H1655" s="40"/>
      <c r="I1655" s="40"/>
      <c r="J1655" s="40"/>
      <c r="K1655" s="41"/>
      <c r="L1655" s="39"/>
      <c r="M1655" s="48" t="str">
        <f aca="false">IF($E1655="","",IFERROR(INDEX(Parâmetros!$C$15:$C$20,MATCH($P1655,Parâmetros!$B$15:$B$20,0)),""))</f>
        <v/>
      </c>
      <c r="N1655" s="46" t="str">
        <f aca="false">IF($E1655="","",IF($P1655="","",IF($P1655&gt;=8,"Alta",IF($P1655&gt;=5,"Média","Baixa"))))</f>
        <v/>
      </c>
      <c r="O1655" s="46" t="str">
        <f aca="false">IF($E1655="","",IF(AND(Parâmetros!$C$5&gt;0,$P1655&lt;&gt;"",$P1655&gt;=Parâmetros!$C$5),"Sim","Não"))</f>
        <v/>
      </c>
      <c r="P1655" s="45" t="str">
        <f aca="false">IF($E1655="","",IF($G1655="","",IF($G1655="NOK",$F1655,0)))</f>
        <v/>
      </c>
      <c r="Q1655" s="46" t="str">
        <f aca="false">IF($E1655="","",IF($O1655&lt;&gt;"Sim","",COUNTIF($O$3:$O1655,"Sim")))</f>
        <v/>
      </c>
      <c r="R1655" s="47" t="n">
        <f aca="false">IF($P1655="",0,$P1655)</f>
        <v>0</v>
      </c>
    </row>
    <row r="1656" customFormat="false" ht="18" hidden="false" customHeight="true" outlineLevel="0" collapsed="false">
      <c r="A1656" s="39"/>
      <c r="B1656" s="41"/>
      <c r="C1656" s="40"/>
      <c r="D1656" s="40"/>
      <c r="E1656" s="40"/>
      <c r="F1656" s="42"/>
      <c r="G1656" s="39"/>
      <c r="H1656" s="40"/>
      <c r="I1656" s="40"/>
      <c r="J1656" s="40"/>
      <c r="K1656" s="41"/>
      <c r="L1656" s="39"/>
      <c r="M1656" s="48" t="str">
        <f aca="false">IF($E1656="","",IFERROR(INDEX(Parâmetros!$C$15:$C$20,MATCH($P1656,Parâmetros!$B$15:$B$20,0)),""))</f>
        <v/>
      </c>
      <c r="N1656" s="46" t="str">
        <f aca="false">IF($E1656="","",IF($P1656="","",IF($P1656&gt;=8,"Alta",IF($P1656&gt;=5,"Média","Baixa"))))</f>
        <v/>
      </c>
      <c r="O1656" s="46" t="str">
        <f aca="false">IF($E1656="","",IF(AND(Parâmetros!$C$5&gt;0,$P1656&lt;&gt;"",$P1656&gt;=Parâmetros!$C$5),"Sim","Não"))</f>
        <v/>
      </c>
      <c r="P1656" s="45" t="str">
        <f aca="false">IF($E1656="","",IF($G1656="","",IF($G1656="NOK",$F1656,0)))</f>
        <v/>
      </c>
      <c r="Q1656" s="46" t="str">
        <f aca="false">IF($E1656="","",IF($O1656&lt;&gt;"Sim","",COUNTIF($O$3:$O1656,"Sim")))</f>
        <v/>
      </c>
      <c r="R1656" s="47" t="n">
        <f aca="false">IF($P1656="",0,$P1656)</f>
        <v>0</v>
      </c>
    </row>
    <row r="1657" customFormat="false" ht="18" hidden="false" customHeight="true" outlineLevel="0" collapsed="false">
      <c r="A1657" s="39"/>
      <c r="B1657" s="41"/>
      <c r="C1657" s="40"/>
      <c r="D1657" s="40"/>
      <c r="E1657" s="40"/>
      <c r="F1657" s="42"/>
      <c r="G1657" s="39"/>
      <c r="H1657" s="40"/>
      <c r="I1657" s="40"/>
      <c r="J1657" s="40"/>
      <c r="K1657" s="41"/>
      <c r="L1657" s="39"/>
      <c r="M1657" s="48" t="str">
        <f aca="false">IF($E1657="","",IFERROR(INDEX(Parâmetros!$C$15:$C$20,MATCH($P1657,Parâmetros!$B$15:$B$20,0)),""))</f>
        <v/>
      </c>
      <c r="N1657" s="46" t="str">
        <f aca="false">IF($E1657="","",IF($P1657="","",IF($P1657&gt;=8,"Alta",IF($P1657&gt;=5,"Média","Baixa"))))</f>
        <v/>
      </c>
      <c r="O1657" s="46" t="str">
        <f aca="false">IF($E1657="","",IF(AND(Parâmetros!$C$5&gt;0,$P1657&lt;&gt;"",$P1657&gt;=Parâmetros!$C$5),"Sim","Não"))</f>
        <v/>
      </c>
      <c r="P1657" s="45" t="str">
        <f aca="false">IF($E1657="","",IF($G1657="","",IF($G1657="NOK",$F1657,0)))</f>
        <v/>
      </c>
      <c r="Q1657" s="46" t="str">
        <f aca="false">IF($E1657="","",IF($O1657&lt;&gt;"Sim","",COUNTIF($O$3:$O1657,"Sim")))</f>
        <v/>
      </c>
      <c r="R1657" s="47" t="n">
        <f aca="false">IF($P1657="",0,$P1657)</f>
        <v>0</v>
      </c>
    </row>
    <row r="1658" customFormat="false" ht="18" hidden="false" customHeight="true" outlineLevel="0" collapsed="false">
      <c r="A1658" s="39"/>
      <c r="B1658" s="41"/>
      <c r="C1658" s="40"/>
      <c r="D1658" s="40"/>
      <c r="E1658" s="40"/>
      <c r="F1658" s="42"/>
      <c r="G1658" s="39"/>
      <c r="H1658" s="40"/>
      <c r="I1658" s="40"/>
      <c r="J1658" s="40"/>
      <c r="K1658" s="41"/>
      <c r="L1658" s="39"/>
      <c r="M1658" s="48" t="str">
        <f aca="false">IF($E1658="","",IFERROR(INDEX(Parâmetros!$C$15:$C$20,MATCH($P1658,Parâmetros!$B$15:$B$20,0)),""))</f>
        <v/>
      </c>
      <c r="N1658" s="46" t="str">
        <f aca="false">IF($E1658="","",IF($P1658="","",IF($P1658&gt;=8,"Alta",IF($P1658&gt;=5,"Média","Baixa"))))</f>
        <v/>
      </c>
      <c r="O1658" s="46" t="str">
        <f aca="false">IF($E1658="","",IF(AND(Parâmetros!$C$5&gt;0,$P1658&lt;&gt;"",$P1658&gt;=Parâmetros!$C$5),"Sim","Não"))</f>
        <v/>
      </c>
      <c r="P1658" s="45" t="str">
        <f aca="false">IF($E1658="","",IF($G1658="","",IF($G1658="NOK",$F1658,0)))</f>
        <v/>
      </c>
      <c r="Q1658" s="46" t="str">
        <f aca="false">IF($E1658="","",IF($O1658&lt;&gt;"Sim","",COUNTIF($O$3:$O1658,"Sim")))</f>
        <v/>
      </c>
      <c r="R1658" s="47" t="n">
        <f aca="false">IF($P1658="",0,$P1658)</f>
        <v>0</v>
      </c>
    </row>
    <row r="1659" customFormat="false" ht="18" hidden="false" customHeight="true" outlineLevel="0" collapsed="false">
      <c r="A1659" s="39"/>
      <c r="B1659" s="41"/>
      <c r="C1659" s="40"/>
      <c r="D1659" s="40"/>
      <c r="E1659" s="40"/>
      <c r="F1659" s="42"/>
      <c r="G1659" s="39"/>
      <c r="H1659" s="40"/>
      <c r="I1659" s="40"/>
      <c r="J1659" s="40"/>
      <c r="K1659" s="41"/>
      <c r="L1659" s="39"/>
      <c r="M1659" s="48" t="str">
        <f aca="false">IF($E1659="","",IFERROR(INDEX(Parâmetros!$C$15:$C$20,MATCH($P1659,Parâmetros!$B$15:$B$20,0)),""))</f>
        <v/>
      </c>
      <c r="N1659" s="46" t="str">
        <f aca="false">IF($E1659="","",IF($P1659="","",IF($P1659&gt;=8,"Alta",IF($P1659&gt;=5,"Média","Baixa"))))</f>
        <v/>
      </c>
      <c r="O1659" s="46" t="str">
        <f aca="false">IF($E1659="","",IF(AND(Parâmetros!$C$5&gt;0,$P1659&lt;&gt;"",$P1659&gt;=Parâmetros!$C$5),"Sim","Não"))</f>
        <v/>
      </c>
      <c r="P1659" s="45" t="str">
        <f aca="false">IF($E1659="","",IF($G1659="","",IF($G1659="NOK",$F1659,0)))</f>
        <v/>
      </c>
      <c r="Q1659" s="46" t="str">
        <f aca="false">IF($E1659="","",IF($O1659&lt;&gt;"Sim","",COUNTIF($O$3:$O1659,"Sim")))</f>
        <v/>
      </c>
      <c r="R1659" s="47" t="n">
        <f aca="false">IF($P1659="",0,$P1659)</f>
        <v>0</v>
      </c>
    </row>
    <row r="1660" customFormat="false" ht="18" hidden="false" customHeight="true" outlineLevel="0" collapsed="false">
      <c r="A1660" s="39"/>
      <c r="B1660" s="41"/>
      <c r="C1660" s="40"/>
      <c r="D1660" s="40"/>
      <c r="E1660" s="40"/>
      <c r="F1660" s="42"/>
      <c r="G1660" s="39"/>
      <c r="H1660" s="40"/>
      <c r="I1660" s="40"/>
      <c r="J1660" s="40"/>
      <c r="K1660" s="41"/>
      <c r="L1660" s="39"/>
      <c r="M1660" s="48" t="str">
        <f aca="false">IF($E1660="","",IFERROR(INDEX(Parâmetros!$C$15:$C$20,MATCH($P1660,Parâmetros!$B$15:$B$20,0)),""))</f>
        <v/>
      </c>
      <c r="N1660" s="46" t="str">
        <f aca="false">IF($E1660="","",IF($P1660="","",IF($P1660&gt;=8,"Alta",IF($P1660&gt;=5,"Média","Baixa"))))</f>
        <v/>
      </c>
      <c r="O1660" s="46" t="str">
        <f aca="false">IF($E1660="","",IF(AND(Parâmetros!$C$5&gt;0,$P1660&lt;&gt;"",$P1660&gt;=Parâmetros!$C$5),"Sim","Não"))</f>
        <v/>
      </c>
      <c r="P1660" s="45" t="str">
        <f aca="false">IF($E1660="","",IF($G1660="","",IF($G1660="NOK",$F1660,0)))</f>
        <v/>
      </c>
      <c r="Q1660" s="46" t="str">
        <f aca="false">IF($E1660="","",IF($O1660&lt;&gt;"Sim","",COUNTIF($O$3:$O1660,"Sim")))</f>
        <v/>
      </c>
      <c r="R1660" s="47" t="n">
        <f aca="false">IF($P1660="",0,$P1660)</f>
        <v>0</v>
      </c>
    </row>
    <row r="1661" customFormat="false" ht="18" hidden="false" customHeight="true" outlineLevel="0" collapsed="false">
      <c r="A1661" s="39"/>
      <c r="B1661" s="41"/>
      <c r="C1661" s="40"/>
      <c r="D1661" s="40"/>
      <c r="E1661" s="40"/>
      <c r="F1661" s="42"/>
      <c r="G1661" s="39"/>
      <c r="H1661" s="40"/>
      <c r="I1661" s="40"/>
      <c r="J1661" s="40"/>
      <c r="K1661" s="41"/>
      <c r="L1661" s="39"/>
      <c r="M1661" s="48" t="str">
        <f aca="false">IF($E1661="","",IFERROR(INDEX(Parâmetros!$C$15:$C$20,MATCH($P1661,Parâmetros!$B$15:$B$20,0)),""))</f>
        <v/>
      </c>
      <c r="N1661" s="46" t="str">
        <f aca="false">IF($E1661="","",IF($P1661="","",IF($P1661&gt;=8,"Alta",IF($P1661&gt;=5,"Média","Baixa"))))</f>
        <v/>
      </c>
      <c r="O1661" s="46" t="str">
        <f aca="false">IF($E1661="","",IF(AND(Parâmetros!$C$5&gt;0,$P1661&lt;&gt;"",$P1661&gt;=Parâmetros!$C$5),"Sim","Não"))</f>
        <v/>
      </c>
      <c r="P1661" s="45" t="str">
        <f aca="false">IF($E1661="","",IF($G1661="","",IF($G1661="NOK",$F1661,0)))</f>
        <v/>
      </c>
      <c r="Q1661" s="46" t="str">
        <f aca="false">IF($E1661="","",IF($O1661&lt;&gt;"Sim","",COUNTIF($O$3:$O1661,"Sim")))</f>
        <v/>
      </c>
      <c r="R1661" s="47" t="n">
        <f aca="false">IF($P1661="",0,$P1661)</f>
        <v>0</v>
      </c>
    </row>
    <row r="1662" customFormat="false" ht="18" hidden="false" customHeight="true" outlineLevel="0" collapsed="false">
      <c r="A1662" s="39"/>
      <c r="B1662" s="41"/>
      <c r="C1662" s="40"/>
      <c r="D1662" s="40"/>
      <c r="E1662" s="40"/>
      <c r="F1662" s="42"/>
      <c r="G1662" s="39"/>
      <c r="H1662" s="40"/>
      <c r="I1662" s="40"/>
      <c r="J1662" s="40"/>
      <c r="K1662" s="41"/>
      <c r="L1662" s="39"/>
      <c r="M1662" s="48" t="str">
        <f aca="false">IF($E1662="","",IFERROR(INDEX(Parâmetros!$C$15:$C$20,MATCH($P1662,Parâmetros!$B$15:$B$20,0)),""))</f>
        <v/>
      </c>
      <c r="N1662" s="46" t="str">
        <f aca="false">IF($E1662="","",IF($P1662="","",IF($P1662&gt;=8,"Alta",IF($P1662&gt;=5,"Média","Baixa"))))</f>
        <v/>
      </c>
      <c r="O1662" s="46" t="str">
        <f aca="false">IF($E1662="","",IF(AND(Parâmetros!$C$5&gt;0,$P1662&lt;&gt;"",$P1662&gt;=Parâmetros!$C$5),"Sim","Não"))</f>
        <v/>
      </c>
      <c r="P1662" s="45" t="str">
        <f aca="false">IF($E1662="","",IF($G1662="","",IF($G1662="NOK",$F1662,0)))</f>
        <v/>
      </c>
      <c r="Q1662" s="46" t="str">
        <f aca="false">IF($E1662="","",IF($O1662&lt;&gt;"Sim","",COUNTIF($O$3:$O1662,"Sim")))</f>
        <v/>
      </c>
      <c r="R1662" s="47" t="n">
        <f aca="false">IF($P1662="",0,$P1662)</f>
        <v>0</v>
      </c>
    </row>
    <row r="1663" customFormat="false" ht="18" hidden="false" customHeight="true" outlineLevel="0" collapsed="false">
      <c r="A1663" s="39"/>
      <c r="B1663" s="41"/>
      <c r="C1663" s="40"/>
      <c r="D1663" s="40"/>
      <c r="E1663" s="40"/>
      <c r="F1663" s="42"/>
      <c r="G1663" s="39"/>
      <c r="H1663" s="40"/>
      <c r="I1663" s="40"/>
      <c r="J1663" s="40"/>
      <c r="K1663" s="41"/>
      <c r="L1663" s="39"/>
      <c r="M1663" s="48" t="str">
        <f aca="false">IF($E1663="","",IFERROR(INDEX(Parâmetros!$C$15:$C$20,MATCH($P1663,Parâmetros!$B$15:$B$20,0)),""))</f>
        <v/>
      </c>
      <c r="N1663" s="46" t="str">
        <f aca="false">IF($E1663="","",IF($P1663="","",IF($P1663&gt;=8,"Alta",IF($P1663&gt;=5,"Média","Baixa"))))</f>
        <v/>
      </c>
      <c r="O1663" s="46" t="str">
        <f aca="false">IF($E1663="","",IF(AND(Parâmetros!$C$5&gt;0,$P1663&lt;&gt;"",$P1663&gt;=Parâmetros!$C$5),"Sim","Não"))</f>
        <v/>
      </c>
      <c r="P1663" s="45" t="str">
        <f aca="false">IF($E1663="","",IF($G1663="","",IF($G1663="NOK",$F1663,0)))</f>
        <v/>
      </c>
      <c r="Q1663" s="46" t="str">
        <f aca="false">IF($E1663="","",IF($O1663&lt;&gt;"Sim","",COUNTIF($O$3:$O1663,"Sim")))</f>
        <v/>
      </c>
      <c r="R1663" s="47" t="n">
        <f aca="false">IF($P1663="",0,$P1663)</f>
        <v>0</v>
      </c>
    </row>
    <row r="1664" customFormat="false" ht="18" hidden="false" customHeight="true" outlineLevel="0" collapsed="false">
      <c r="A1664" s="39"/>
      <c r="B1664" s="41"/>
      <c r="C1664" s="40"/>
      <c r="D1664" s="40"/>
      <c r="E1664" s="40"/>
      <c r="F1664" s="42"/>
      <c r="G1664" s="39"/>
      <c r="H1664" s="40"/>
      <c r="I1664" s="40"/>
      <c r="J1664" s="40"/>
      <c r="K1664" s="41"/>
      <c r="L1664" s="39"/>
      <c r="M1664" s="48" t="str">
        <f aca="false">IF($E1664="","",IFERROR(INDEX(Parâmetros!$C$15:$C$20,MATCH($P1664,Parâmetros!$B$15:$B$20,0)),""))</f>
        <v/>
      </c>
      <c r="N1664" s="46" t="str">
        <f aca="false">IF($E1664="","",IF($P1664="","",IF($P1664&gt;=8,"Alta",IF($P1664&gt;=5,"Média","Baixa"))))</f>
        <v/>
      </c>
      <c r="O1664" s="46" t="str">
        <f aca="false">IF($E1664="","",IF(AND(Parâmetros!$C$5&gt;0,$P1664&lt;&gt;"",$P1664&gt;=Parâmetros!$C$5),"Sim","Não"))</f>
        <v/>
      </c>
      <c r="P1664" s="45" t="str">
        <f aca="false">IF($E1664="","",IF($G1664="","",IF($G1664="NOK",$F1664,0)))</f>
        <v/>
      </c>
      <c r="Q1664" s="46" t="str">
        <f aca="false">IF($E1664="","",IF($O1664&lt;&gt;"Sim","",COUNTIF($O$3:$O1664,"Sim")))</f>
        <v/>
      </c>
      <c r="R1664" s="47" t="n">
        <f aca="false">IF($P1664="",0,$P1664)</f>
        <v>0</v>
      </c>
    </row>
    <row r="1665" customFormat="false" ht="18" hidden="false" customHeight="true" outlineLevel="0" collapsed="false">
      <c r="A1665" s="39"/>
      <c r="B1665" s="41"/>
      <c r="C1665" s="40"/>
      <c r="D1665" s="40"/>
      <c r="E1665" s="40"/>
      <c r="F1665" s="42"/>
      <c r="G1665" s="39"/>
      <c r="H1665" s="40"/>
      <c r="I1665" s="40"/>
      <c r="J1665" s="40"/>
      <c r="K1665" s="41"/>
      <c r="L1665" s="39"/>
      <c r="M1665" s="48" t="str">
        <f aca="false">IF($E1665="","",IFERROR(INDEX(Parâmetros!$C$15:$C$20,MATCH($P1665,Parâmetros!$B$15:$B$20,0)),""))</f>
        <v/>
      </c>
      <c r="N1665" s="46" t="str">
        <f aca="false">IF($E1665="","",IF($P1665="","",IF($P1665&gt;=8,"Alta",IF($P1665&gt;=5,"Média","Baixa"))))</f>
        <v/>
      </c>
      <c r="O1665" s="46" t="str">
        <f aca="false">IF($E1665="","",IF(AND(Parâmetros!$C$5&gt;0,$P1665&lt;&gt;"",$P1665&gt;=Parâmetros!$C$5),"Sim","Não"))</f>
        <v/>
      </c>
      <c r="P1665" s="45" t="str">
        <f aca="false">IF($E1665="","",IF($G1665="","",IF($G1665="NOK",$F1665,0)))</f>
        <v/>
      </c>
      <c r="Q1665" s="46" t="str">
        <f aca="false">IF($E1665="","",IF($O1665&lt;&gt;"Sim","",COUNTIF($O$3:$O1665,"Sim")))</f>
        <v/>
      </c>
      <c r="R1665" s="47" t="n">
        <f aca="false">IF($P1665="",0,$P1665)</f>
        <v>0</v>
      </c>
    </row>
    <row r="1666" customFormat="false" ht="18" hidden="false" customHeight="true" outlineLevel="0" collapsed="false">
      <c r="A1666" s="39"/>
      <c r="B1666" s="41"/>
      <c r="C1666" s="40"/>
      <c r="D1666" s="40"/>
      <c r="E1666" s="40"/>
      <c r="F1666" s="42"/>
      <c r="G1666" s="39"/>
      <c r="H1666" s="40"/>
      <c r="I1666" s="40"/>
      <c r="J1666" s="40"/>
      <c r="K1666" s="41"/>
      <c r="L1666" s="39"/>
      <c r="M1666" s="48" t="str">
        <f aca="false">IF($E1666="","",IFERROR(INDEX(Parâmetros!$C$15:$C$20,MATCH($P1666,Parâmetros!$B$15:$B$20,0)),""))</f>
        <v/>
      </c>
      <c r="N1666" s="46" t="str">
        <f aca="false">IF($E1666="","",IF($P1666="","",IF($P1666&gt;=8,"Alta",IF($P1666&gt;=5,"Média","Baixa"))))</f>
        <v/>
      </c>
      <c r="O1666" s="46" t="str">
        <f aca="false">IF($E1666="","",IF(AND(Parâmetros!$C$5&gt;0,$P1666&lt;&gt;"",$P1666&gt;=Parâmetros!$C$5),"Sim","Não"))</f>
        <v/>
      </c>
      <c r="P1666" s="45" t="str">
        <f aca="false">IF($E1666="","",IF($G1666="","",IF($G1666="NOK",$F1666,0)))</f>
        <v/>
      </c>
      <c r="Q1666" s="46" t="str">
        <f aca="false">IF($E1666="","",IF($O1666&lt;&gt;"Sim","",COUNTIF($O$3:$O1666,"Sim")))</f>
        <v/>
      </c>
      <c r="R1666" s="47" t="n">
        <f aca="false">IF($P1666="",0,$P1666)</f>
        <v>0</v>
      </c>
    </row>
    <row r="1667" customFormat="false" ht="18" hidden="false" customHeight="true" outlineLevel="0" collapsed="false">
      <c r="A1667" s="39"/>
      <c r="B1667" s="41"/>
      <c r="C1667" s="40"/>
      <c r="D1667" s="40"/>
      <c r="E1667" s="40"/>
      <c r="F1667" s="42"/>
      <c r="G1667" s="39"/>
      <c r="H1667" s="40"/>
      <c r="I1667" s="40"/>
      <c r="J1667" s="40"/>
      <c r="K1667" s="41"/>
      <c r="L1667" s="39"/>
      <c r="M1667" s="48" t="str">
        <f aca="false">IF($E1667="","",IFERROR(INDEX(Parâmetros!$C$15:$C$20,MATCH($P1667,Parâmetros!$B$15:$B$20,0)),""))</f>
        <v/>
      </c>
      <c r="N1667" s="46" t="str">
        <f aca="false">IF($E1667="","",IF($P1667="","",IF($P1667&gt;=8,"Alta",IF($P1667&gt;=5,"Média","Baixa"))))</f>
        <v/>
      </c>
      <c r="O1667" s="46" t="str">
        <f aca="false">IF($E1667="","",IF(AND(Parâmetros!$C$5&gt;0,$P1667&lt;&gt;"",$P1667&gt;=Parâmetros!$C$5),"Sim","Não"))</f>
        <v/>
      </c>
      <c r="P1667" s="45" t="str">
        <f aca="false">IF($E1667="","",IF($G1667="","",IF($G1667="NOK",$F1667,0)))</f>
        <v/>
      </c>
      <c r="Q1667" s="46" t="str">
        <f aca="false">IF($E1667="","",IF($O1667&lt;&gt;"Sim","",COUNTIF($O$3:$O1667,"Sim")))</f>
        <v/>
      </c>
      <c r="R1667" s="47" t="n">
        <f aca="false">IF($P1667="",0,$P1667)</f>
        <v>0</v>
      </c>
    </row>
    <row r="1668" customFormat="false" ht="18" hidden="false" customHeight="true" outlineLevel="0" collapsed="false">
      <c r="A1668" s="39"/>
      <c r="B1668" s="41"/>
      <c r="C1668" s="40"/>
      <c r="D1668" s="40"/>
      <c r="E1668" s="40"/>
      <c r="F1668" s="42"/>
      <c r="G1668" s="39"/>
      <c r="H1668" s="40"/>
      <c r="I1668" s="40"/>
      <c r="J1668" s="40"/>
      <c r="K1668" s="41"/>
      <c r="L1668" s="39"/>
      <c r="M1668" s="48" t="str">
        <f aca="false">IF($E1668="","",IFERROR(INDEX(Parâmetros!$C$15:$C$20,MATCH($P1668,Parâmetros!$B$15:$B$20,0)),""))</f>
        <v/>
      </c>
      <c r="N1668" s="46" t="str">
        <f aca="false">IF($E1668="","",IF($P1668="","",IF($P1668&gt;=8,"Alta",IF($P1668&gt;=5,"Média","Baixa"))))</f>
        <v/>
      </c>
      <c r="O1668" s="46" t="str">
        <f aca="false">IF($E1668="","",IF(AND(Parâmetros!$C$5&gt;0,$P1668&lt;&gt;"",$P1668&gt;=Parâmetros!$C$5),"Sim","Não"))</f>
        <v/>
      </c>
      <c r="P1668" s="45" t="str">
        <f aca="false">IF($E1668="","",IF($G1668="","",IF($G1668="NOK",$F1668,0)))</f>
        <v/>
      </c>
      <c r="Q1668" s="46" t="str">
        <f aca="false">IF($E1668="","",IF($O1668&lt;&gt;"Sim","",COUNTIF($O$3:$O1668,"Sim")))</f>
        <v/>
      </c>
      <c r="R1668" s="47" t="n">
        <f aca="false">IF($P1668="",0,$P1668)</f>
        <v>0</v>
      </c>
    </row>
    <row r="1669" customFormat="false" ht="18" hidden="false" customHeight="true" outlineLevel="0" collapsed="false">
      <c r="A1669" s="39"/>
      <c r="B1669" s="41"/>
      <c r="C1669" s="40"/>
      <c r="D1669" s="40"/>
      <c r="E1669" s="40"/>
      <c r="F1669" s="42"/>
      <c r="G1669" s="39"/>
      <c r="H1669" s="40"/>
      <c r="I1669" s="40"/>
      <c r="J1669" s="40"/>
      <c r="K1669" s="41"/>
      <c r="L1669" s="39"/>
      <c r="M1669" s="48" t="str">
        <f aca="false">IF($E1669="","",IFERROR(INDEX(Parâmetros!$C$15:$C$20,MATCH($P1669,Parâmetros!$B$15:$B$20,0)),""))</f>
        <v/>
      </c>
      <c r="N1669" s="46" t="str">
        <f aca="false">IF($E1669="","",IF($P1669="","",IF($P1669&gt;=8,"Alta",IF($P1669&gt;=5,"Média","Baixa"))))</f>
        <v/>
      </c>
      <c r="O1669" s="46" t="str">
        <f aca="false">IF($E1669="","",IF(AND(Parâmetros!$C$5&gt;0,$P1669&lt;&gt;"",$P1669&gt;=Parâmetros!$C$5),"Sim","Não"))</f>
        <v/>
      </c>
      <c r="P1669" s="45" t="str">
        <f aca="false">IF($E1669="","",IF($G1669="","",IF($G1669="NOK",$F1669,0)))</f>
        <v/>
      </c>
      <c r="Q1669" s="46" t="str">
        <f aca="false">IF($E1669="","",IF($O1669&lt;&gt;"Sim","",COUNTIF($O$3:$O1669,"Sim")))</f>
        <v/>
      </c>
      <c r="R1669" s="47" t="n">
        <f aca="false">IF($P1669="",0,$P1669)</f>
        <v>0</v>
      </c>
    </row>
    <row r="1670" customFormat="false" ht="18" hidden="false" customHeight="true" outlineLevel="0" collapsed="false">
      <c r="A1670" s="39"/>
      <c r="B1670" s="41"/>
      <c r="C1670" s="40"/>
      <c r="D1670" s="40"/>
      <c r="E1670" s="40"/>
      <c r="F1670" s="42"/>
      <c r="G1670" s="39"/>
      <c r="H1670" s="40"/>
      <c r="I1670" s="40"/>
      <c r="J1670" s="40"/>
      <c r="K1670" s="41"/>
      <c r="L1670" s="39"/>
      <c r="M1670" s="48" t="str">
        <f aca="false">IF($E1670="","",IFERROR(INDEX(Parâmetros!$C$15:$C$20,MATCH($P1670,Parâmetros!$B$15:$B$20,0)),""))</f>
        <v/>
      </c>
      <c r="N1670" s="46" t="str">
        <f aca="false">IF($E1670="","",IF($P1670="","",IF($P1670&gt;=8,"Alta",IF($P1670&gt;=5,"Média","Baixa"))))</f>
        <v/>
      </c>
      <c r="O1670" s="46" t="str">
        <f aca="false">IF($E1670="","",IF(AND(Parâmetros!$C$5&gt;0,$P1670&lt;&gt;"",$P1670&gt;=Parâmetros!$C$5),"Sim","Não"))</f>
        <v/>
      </c>
      <c r="P1670" s="45" t="str">
        <f aca="false">IF($E1670="","",IF($G1670="","",IF($G1670="NOK",$F1670,0)))</f>
        <v/>
      </c>
      <c r="Q1670" s="46" t="str">
        <f aca="false">IF($E1670="","",IF($O1670&lt;&gt;"Sim","",COUNTIF($O$3:$O1670,"Sim")))</f>
        <v/>
      </c>
      <c r="R1670" s="47" t="n">
        <f aca="false">IF($P1670="",0,$P1670)</f>
        <v>0</v>
      </c>
    </row>
    <row r="1671" customFormat="false" ht="18" hidden="false" customHeight="true" outlineLevel="0" collapsed="false">
      <c r="A1671" s="39"/>
      <c r="B1671" s="41"/>
      <c r="C1671" s="40"/>
      <c r="D1671" s="40"/>
      <c r="E1671" s="40"/>
      <c r="F1671" s="42"/>
      <c r="G1671" s="39"/>
      <c r="H1671" s="40"/>
      <c r="I1671" s="40"/>
      <c r="J1671" s="40"/>
      <c r="K1671" s="41"/>
      <c r="L1671" s="39"/>
      <c r="M1671" s="48" t="str">
        <f aca="false">IF($E1671="","",IFERROR(INDEX(Parâmetros!$C$15:$C$20,MATCH($P1671,Parâmetros!$B$15:$B$20,0)),""))</f>
        <v/>
      </c>
      <c r="N1671" s="46" t="str">
        <f aca="false">IF($E1671="","",IF($P1671="","",IF($P1671&gt;=8,"Alta",IF($P1671&gt;=5,"Média","Baixa"))))</f>
        <v/>
      </c>
      <c r="O1671" s="46" t="str">
        <f aca="false">IF($E1671="","",IF(AND(Parâmetros!$C$5&gt;0,$P1671&lt;&gt;"",$P1671&gt;=Parâmetros!$C$5),"Sim","Não"))</f>
        <v/>
      </c>
      <c r="P1671" s="45" t="str">
        <f aca="false">IF($E1671="","",IF($G1671="","",IF($G1671="NOK",$F1671,0)))</f>
        <v/>
      </c>
      <c r="Q1671" s="46" t="str">
        <f aca="false">IF($E1671="","",IF($O1671&lt;&gt;"Sim","",COUNTIF($O$3:$O1671,"Sim")))</f>
        <v/>
      </c>
      <c r="R1671" s="47" t="n">
        <f aca="false">IF($P1671="",0,$P1671)</f>
        <v>0</v>
      </c>
    </row>
    <row r="1672" customFormat="false" ht="18" hidden="false" customHeight="true" outlineLevel="0" collapsed="false">
      <c r="A1672" s="39"/>
      <c r="B1672" s="41"/>
      <c r="C1672" s="40"/>
      <c r="D1672" s="40"/>
      <c r="E1672" s="40"/>
      <c r="F1672" s="42"/>
      <c r="G1672" s="39"/>
      <c r="H1672" s="40"/>
      <c r="I1672" s="40"/>
      <c r="J1672" s="40"/>
      <c r="K1672" s="41"/>
      <c r="L1672" s="39"/>
      <c r="M1672" s="48" t="str">
        <f aca="false">IF($E1672="","",IFERROR(INDEX(Parâmetros!$C$15:$C$20,MATCH($P1672,Parâmetros!$B$15:$B$20,0)),""))</f>
        <v/>
      </c>
      <c r="N1672" s="46" t="str">
        <f aca="false">IF($E1672="","",IF($P1672="","",IF($P1672&gt;=8,"Alta",IF($P1672&gt;=5,"Média","Baixa"))))</f>
        <v/>
      </c>
      <c r="O1672" s="46" t="str">
        <f aca="false">IF($E1672="","",IF(AND(Parâmetros!$C$5&gt;0,$P1672&lt;&gt;"",$P1672&gt;=Parâmetros!$C$5),"Sim","Não"))</f>
        <v/>
      </c>
      <c r="P1672" s="45" t="str">
        <f aca="false">IF($E1672="","",IF($G1672="","",IF($G1672="NOK",$F1672,0)))</f>
        <v/>
      </c>
      <c r="Q1672" s="46" t="str">
        <f aca="false">IF($E1672="","",IF($O1672&lt;&gt;"Sim","",COUNTIF($O$3:$O1672,"Sim")))</f>
        <v/>
      </c>
      <c r="R1672" s="47" t="n">
        <f aca="false">IF($P1672="",0,$P1672)</f>
        <v>0</v>
      </c>
    </row>
    <row r="1673" customFormat="false" ht="18" hidden="false" customHeight="true" outlineLevel="0" collapsed="false">
      <c r="A1673" s="39"/>
      <c r="B1673" s="41"/>
      <c r="C1673" s="40"/>
      <c r="D1673" s="40"/>
      <c r="E1673" s="40"/>
      <c r="F1673" s="42"/>
      <c r="G1673" s="39"/>
      <c r="H1673" s="40"/>
      <c r="I1673" s="40"/>
      <c r="J1673" s="40"/>
      <c r="K1673" s="41"/>
      <c r="L1673" s="39"/>
      <c r="M1673" s="48" t="str">
        <f aca="false">IF($E1673="","",IFERROR(INDEX(Parâmetros!$C$15:$C$20,MATCH($P1673,Parâmetros!$B$15:$B$20,0)),""))</f>
        <v/>
      </c>
      <c r="N1673" s="46" t="str">
        <f aca="false">IF($E1673="","",IF($P1673="","",IF($P1673&gt;=8,"Alta",IF($P1673&gt;=5,"Média","Baixa"))))</f>
        <v/>
      </c>
      <c r="O1673" s="46" t="str">
        <f aca="false">IF($E1673="","",IF(AND(Parâmetros!$C$5&gt;0,$P1673&lt;&gt;"",$P1673&gt;=Parâmetros!$C$5),"Sim","Não"))</f>
        <v/>
      </c>
      <c r="P1673" s="45" t="str">
        <f aca="false">IF($E1673="","",IF($G1673="","",IF($G1673="NOK",$F1673,0)))</f>
        <v/>
      </c>
      <c r="Q1673" s="46" t="str">
        <f aca="false">IF($E1673="","",IF($O1673&lt;&gt;"Sim","",COUNTIF($O$3:$O1673,"Sim")))</f>
        <v/>
      </c>
      <c r="R1673" s="47" t="n">
        <f aca="false">IF($P1673="",0,$P1673)</f>
        <v>0</v>
      </c>
    </row>
    <row r="1674" customFormat="false" ht="18" hidden="false" customHeight="true" outlineLevel="0" collapsed="false">
      <c r="A1674" s="39"/>
      <c r="B1674" s="41"/>
      <c r="C1674" s="40"/>
      <c r="D1674" s="40"/>
      <c r="E1674" s="40"/>
      <c r="F1674" s="42"/>
      <c r="G1674" s="39"/>
      <c r="H1674" s="40"/>
      <c r="I1674" s="40"/>
      <c r="J1674" s="40"/>
      <c r="K1674" s="41"/>
      <c r="L1674" s="39"/>
      <c r="M1674" s="48" t="str">
        <f aca="false">IF($E1674="","",IFERROR(INDEX(Parâmetros!$C$15:$C$20,MATCH($P1674,Parâmetros!$B$15:$B$20,0)),""))</f>
        <v/>
      </c>
      <c r="N1674" s="46" t="str">
        <f aca="false">IF($E1674="","",IF($P1674="","",IF($P1674&gt;=8,"Alta",IF($P1674&gt;=5,"Média","Baixa"))))</f>
        <v/>
      </c>
      <c r="O1674" s="46" t="str">
        <f aca="false">IF($E1674="","",IF(AND(Parâmetros!$C$5&gt;0,$P1674&lt;&gt;"",$P1674&gt;=Parâmetros!$C$5),"Sim","Não"))</f>
        <v/>
      </c>
      <c r="P1674" s="45" t="str">
        <f aca="false">IF($E1674="","",IF($G1674="","",IF($G1674="NOK",$F1674,0)))</f>
        <v/>
      </c>
      <c r="Q1674" s="46" t="str">
        <f aca="false">IF($E1674="","",IF($O1674&lt;&gt;"Sim","",COUNTIF($O$3:$O1674,"Sim")))</f>
        <v/>
      </c>
      <c r="R1674" s="47" t="n">
        <f aca="false">IF($P1674="",0,$P1674)</f>
        <v>0</v>
      </c>
    </row>
    <row r="1675" customFormat="false" ht="18" hidden="false" customHeight="true" outlineLevel="0" collapsed="false">
      <c r="A1675" s="39"/>
      <c r="B1675" s="41"/>
      <c r="C1675" s="40"/>
      <c r="D1675" s="40"/>
      <c r="E1675" s="40"/>
      <c r="F1675" s="42"/>
      <c r="G1675" s="39"/>
      <c r="H1675" s="40"/>
      <c r="I1675" s="40"/>
      <c r="J1675" s="40"/>
      <c r="K1675" s="41"/>
      <c r="L1675" s="39"/>
      <c r="M1675" s="48" t="str">
        <f aca="false">IF($E1675="","",IFERROR(INDEX(Parâmetros!$C$15:$C$20,MATCH($P1675,Parâmetros!$B$15:$B$20,0)),""))</f>
        <v/>
      </c>
      <c r="N1675" s="46" t="str">
        <f aca="false">IF($E1675="","",IF($P1675="","",IF($P1675&gt;=8,"Alta",IF($P1675&gt;=5,"Média","Baixa"))))</f>
        <v/>
      </c>
      <c r="O1675" s="46" t="str">
        <f aca="false">IF($E1675="","",IF(AND(Parâmetros!$C$5&gt;0,$P1675&lt;&gt;"",$P1675&gt;=Parâmetros!$C$5),"Sim","Não"))</f>
        <v/>
      </c>
      <c r="P1675" s="45" t="str">
        <f aca="false">IF($E1675="","",IF($G1675="","",IF($G1675="NOK",$F1675,0)))</f>
        <v/>
      </c>
      <c r="Q1675" s="46" t="str">
        <f aca="false">IF($E1675="","",IF($O1675&lt;&gt;"Sim","",COUNTIF($O$3:$O1675,"Sim")))</f>
        <v/>
      </c>
      <c r="R1675" s="47" t="n">
        <f aca="false">IF($P1675="",0,$P1675)</f>
        <v>0</v>
      </c>
    </row>
    <row r="1676" customFormat="false" ht="18" hidden="false" customHeight="true" outlineLevel="0" collapsed="false">
      <c r="A1676" s="39"/>
      <c r="B1676" s="41"/>
      <c r="C1676" s="40"/>
      <c r="D1676" s="40"/>
      <c r="E1676" s="40"/>
      <c r="F1676" s="42"/>
      <c r="G1676" s="39"/>
      <c r="H1676" s="40"/>
      <c r="I1676" s="40"/>
      <c r="J1676" s="40"/>
      <c r="K1676" s="41"/>
      <c r="L1676" s="39"/>
      <c r="M1676" s="48" t="str">
        <f aca="false">IF($E1676="","",IFERROR(INDEX(Parâmetros!$C$15:$C$20,MATCH($P1676,Parâmetros!$B$15:$B$20,0)),""))</f>
        <v/>
      </c>
      <c r="N1676" s="46" t="str">
        <f aca="false">IF($E1676="","",IF($P1676="","",IF($P1676&gt;=8,"Alta",IF($P1676&gt;=5,"Média","Baixa"))))</f>
        <v/>
      </c>
      <c r="O1676" s="46" t="str">
        <f aca="false">IF($E1676="","",IF(AND(Parâmetros!$C$5&gt;0,$P1676&lt;&gt;"",$P1676&gt;=Parâmetros!$C$5),"Sim","Não"))</f>
        <v/>
      </c>
      <c r="P1676" s="45" t="str">
        <f aca="false">IF($E1676="","",IF($G1676="","",IF($G1676="NOK",$F1676,0)))</f>
        <v/>
      </c>
      <c r="Q1676" s="46" t="str">
        <f aca="false">IF($E1676="","",IF($O1676&lt;&gt;"Sim","",COUNTIF($O$3:$O1676,"Sim")))</f>
        <v/>
      </c>
      <c r="R1676" s="47" t="n">
        <f aca="false">IF($P1676="",0,$P1676)</f>
        <v>0</v>
      </c>
    </row>
    <row r="1677" customFormat="false" ht="18" hidden="false" customHeight="true" outlineLevel="0" collapsed="false">
      <c r="A1677" s="39"/>
      <c r="B1677" s="41"/>
      <c r="C1677" s="40"/>
      <c r="D1677" s="40"/>
      <c r="E1677" s="40"/>
      <c r="F1677" s="42"/>
      <c r="G1677" s="39"/>
      <c r="H1677" s="40"/>
      <c r="I1677" s="40"/>
      <c r="J1677" s="40"/>
      <c r="K1677" s="41"/>
      <c r="L1677" s="39"/>
      <c r="M1677" s="48" t="str">
        <f aca="false">IF($E1677="","",IFERROR(INDEX(Parâmetros!$C$15:$C$20,MATCH($P1677,Parâmetros!$B$15:$B$20,0)),""))</f>
        <v/>
      </c>
      <c r="N1677" s="46" t="str">
        <f aca="false">IF($E1677="","",IF($P1677="","",IF($P1677&gt;=8,"Alta",IF($P1677&gt;=5,"Média","Baixa"))))</f>
        <v/>
      </c>
      <c r="O1677" s="46" t="str">
        <f aca="false">IF($E1677="","",IF(AND(Parâmetros!$C$5&gt;0,$P1677&lt;&gt;"",$P1677&gt;=Parâmetros!$C$5),"Sim","Não"))</f>
        <v/>
      </c>
      <c r="P1677" s="45" t="str">
        <f aca="false">IF($E1677="","",IF($G1677="","",IF($G1677="NOK",$F1677,0)))</f>
        <v/>
      </c>
      <c r="Q1677" s="46" t="str">
        <f aca="false">IF($E1677="","",IF($O1677&lt;&gt;"Sim","",COUNTIF($O$3:$O1677,"Sim")))</f>
        <v/>
      </c>
      <c r="R1677" s="47" t="n">
        <f aca="false">IF($P1677="",0,$P1677)</f>
        <v>0</v>
      </c>
    </row>
    <row r="1678" customFormat="false" ht="18" hidden="false" customHeight="true" outlineLevel="0" collapsed="false">
      <c r="A1678" s="39"/>
      <c r="B1678" s="41"/>
      <c r="C1678" s="40"/>
      <c r="D1678" s="40"/>
      <c r="E1678" s="40"/>
      <c r="F1678" s="42"/>
      <c r="G1678" s="39"/>
      <c r="H1678" s="40"/>
      <c r="I1678" s="40"/>
      <c r="J1678" s="40"/>
      <c r="K1678" s="41"/>
      <c r="L1678" s="39"/>
      <c r="M1678" s="48" t="str">
        <f aca="false">IF($E1678="","",IFERROR(INDEX(Parâmetros!$C$15:$C$20,MATCH($P1678,Parâmetros!$B$15:$B$20,0)),""))</f>
        <v/>
      </c>
      <c r="N1678" s="46" t="str">
        <f aca="false">IF($E1678="","",IF($P1678="","",IF($P1678&gt;=8,"Alta",IF($P1678&gt;=5,"Média","Baixa"))))</f>
        <v/>
      </c>
      <c r="O1678" s="46" t="str">
        <f aca="false">IF($E1678="","",IF(AND(Parâmetros!$C$5&gt;0,$P1678&lt;&gt;"",$P1678&gt;=Parâmetros!$C$5),"Sim","Não"))</f>
        <v/>
      </c>
      <c r="P1678" s="45" t="str">
        <f aca="false">IF($E1678="","",IF($G1678="","",IF($G1678="NOK",$F1678,0)))</f>
        <v/>
      </c>
      <c r="Q1678" s="46" t="str">
        <f aca="false">IF($E1678="","",IF($O1678&lt;&gt;"Sim","",COUNTIF($O$3:$O1678,"Sim")))</f>
        <v/>
      </c>
      <c r="R1678" s="47" t="n">
        <f aca="false">IF($P1678="",0,$P1678)</f>
        <v>0</v>
      </c>
    </row>
    <row r="1679" customFormat="false" ht="18" hidden="false" customHeight="true" outlineLevel="0" collapsed="false">
      <c r="A1679" s="39"/>
      <c r="B1679" s="41"/>
      <c r="C1679" s="40"/>
      <c r="D1679" s="40"/>
      <c r="E1679" s="40"/>
      <c r="F1679" s="42"/>
      <c r="G1679" s="39"/>
      <c r="H1679" s="40"/>
      <c r="I1679" s="40"/>
      <c r="J1679" s="40"/>
      <c r="K1679" s="41"/>
      <c r="L1679" s="39"/>
      <c r="M1679" s="48" t="str">
        <f aca="false">IF($E1679="","",IFERROR(INDEX(Parâmetros!$C$15:$C$20,MATCH($P1679,Parâmetros!$B$15:$B$20,0)),""))</f>
        <v/>
      </c>
      <c r="N1679" s="46" t="str">
        <f aca="false">IF($E1679="","",IF($P1679="","",IF($P1679&gt;=8,"Alta",IF($P1679&gt;=5,"Média","Baixa"))))</f>
        <v/>
      </c>
      <c r="O1679" s="46" t="str">
        <f aca="false">IF($E1679="","",IF(AND(Parâmetros!$C$5&gt;0,$P1679&lt;&gt;"",$P1679&gt;=Parâmetros!$C$5),"Sim","Não"))</f>
        <v/>
      </c>
      <c r="P1679" s="45" t="str">
        <f aca="false">IF($E1679="","",IF($G1679="","",IF($G1679="NOK",$F1679,0)))</f>
        <v/>
      </c>
      <c r="Q1679" s="46" t="str">
        <f aca="false">IF($E1679="","",IF($O1679&lt;&gt;"Sim","",COUNTIF($O$3:$O1679,"Sim")))</f>
        <v/>
      </c>
      <c r="R1679" s="47" t="n">
        <f aca="false">IF($P1679="",0,$P1679)</f>
        <v>0</v>
      </c>
    </row>
    <row r="1680" customFormat="false" ht="18" hidden="false" customHeight="true" outlineLevel="0" collapsed="false">
      <c r="A1680" s="39"/>
      <c r="B1680" s="41"/>
      <c r="C1680" s="40"/>
      <c r="D1680" s="40"/>
      <c r="E1680" s="40"/>
      <c r="F1680" s="42"/>
      <c r="G1680" s="39"/>
      <c r="H1680" s="40"/>
      <c r="I1680" s="40"/>
      <c r="J1680" s="40"/>
      <c r="K1680" s="41"/>
      <c r="L1680" s="39"/>
      <c r="M1680" s="48" t="str">
        <f aca="false">IF($E1680="","",IFERROR(INDEX(Parâmetros!$C$15:$C$20,MATCH($P1680,Parâmetros!$B$15:$B$20,0)),""))</f>
        <v/>
      </c>
      <c r="N1680" s="46" t="str">
        <f aca="false">IF($E1680="","",IF($P1680="","",IF($P1680&gt;=8,"Alta",IF($P1680&gt;=5,"Média","Baixa"))))</f>
        <v/>
      </c>
      <c r="O1680" s="46" t="str">
        <f aca="false">IF($E1680="","",IF(AND(Parâmetros!$C$5&gt;0,$P1680&lt;&gt;"",$P1680&gt;=Parâmetros!$C$5),"Sim","Não"))</f>
        <v/>
      </c>
      <c r="P1680" s="45" t="str">
        <f aca="false">IF($E1680="","",IF($G1680="","",IF($G1680="NOK",$F1680,0)))</f>
        <v/>
      </c>
      <c r="Q1680" s="46" t="str">
        <f aca="false">IF($E1680="","",IF($O1680&lt;&gt;"Sim","",COUNTIF($O$3:$O1680,"Sim")))</f>
        <v/>
      </c>
      <c r="R1680" s="47" t="n">
        <f aca="false">IF($P1680="",0,$P1680)</f>
        <v>0</v>
      </c>
    </row>
    <row r="1681" customFormat="false" ht="18" hidden="false" customHeight="true" outlineLevel="0" collapsed="false">
      <c r="A1681" s="39"/>
      <c r="B1681" s="41"/>
      <c r="C1681" s="40"/>
      <c r="D1681" s="40"/>
      <c r="E1681" s="40"/>
      <c r="F1681" s="42"/>
      <c r="G1681" s="39"/>
      <c r="H1681" s="40"/>
      <c r="I1681" s="40"/>
      <c r="J1681" s="40"/>
      <c r="K1681" s="41"/>
      <c r="L1681" s="39"/>
      <c r="M1681" s="48" t="str">
        <f aca="false">IF($E1681="","",IFERROR(INDEX(Parâmetros!$C$15:$C$20,MATCH($P1681,Parâmetros!$B$15:$B$20,0)),""))</f>
        <v/>
      </c>
      <c r="N1681" s="46" t="str">
        <f aca="false">IF($E1681="","",IF($P1681="","",IF($P1681&gt;=8,"Alta",IF($P1681&gt;=5,"Média","Baixa"))))</f>
        <v/>
      </c>
      <c r="O1681" s="46" t="str">
        <f aca="false">IF($E1681="","",IF(AND(Parâmetros!$C$5&gt;0,$P1681&lt;&gt;"",$P1681&gt;=Parâmetros!$C$5),"Sim","Não"))</f>
        <v/>
      </c>
      <c r="P1681" s="45" t="str">
        <f aca="false">IF($E1681="","",IF($G1681="","",IF($G1681="NOK",$F1681,0)))</f>
        <v/>
      </c>
      <c r="Q1681" s="46" t="str">
        <f aca="false">IF($E1681="","",IF($O1681&lt;&gt;"Sim","",COUNTIF($O$3:$O1681,"Sim")))</f>
        <v/>
      </c>
      <c r="R1681" s="47" t="n">
        <f aca="false">IF($P1681="",0,$P1681)</f>
        <v>0</v>
      </c>
    </row>
    <row r="1682" customFormat="false" ht="18" hidden="false" customHeight="true" outlineLevel="0" collapsed="false">
      <c r="A1682" s="39"/>
      <c r="B1682" s="41"/>
      <c r="C1682" s="40"/>
      <c r="D1682" s="40"/>
      <c r="E1682" s="40"/>
      <c r="F1682" s="42"/>
      <c r="G1682" s="39"/>
      <c r="H1682" s="40"/>
      <c r="I1682" s="40"/>
      <c r="J1682" s="40"/>
      <c r="K1682" s="41"/>
      <c r="L1682" s="39"/>
      <c r="M1682" s="48" t="str">
        <f aca="false">IF($E1682="","",IFERROR(INDEX(Parâmetros!$C$15:$C$20,MATCH($P1682,Parâmetros!$B$15:$B$20,0)),""))</f>
        <v/>
      </c>
      <c r="N1682" s="46" t="str">
        <f aca="false">IF($E1682="","",IF($P1682="","",IF($P1682&gt;=8,"Alta",IF($P1682&gt;=5,"Média","Baixa"))))</f>
        <v/>
      </c>
      <c r="O1682" s="46" t="str">
        <f aca="false">IF($E1682="","",IF(AND(Parâmetros!$C$5&gt;0,$P1682&lt;&gt;"",$P1682&gt;=Parâmetros!$C$5),"Sim","Não"))</f>
        <v/>
      </c>
      <c r="P1682" s="45" t="str">
        <f aca="false">IF($E1682="","",IF($G1682="","",IF($G1682="NOK",$F1682,0)))</f>
        <v/>
      </c>
      <c r="Q1682" s="46" t="str">
        <f aca="false">IF($E1682="","",IF($O1682&lt;&gt;"Sim","",COUNTIF($O$3:$O1682,"Sim")))</f>
        <v/>
      </c>
      <c r="R1682" s="47" t="n">
        <f aca="false">IF($P1682="",0,$P1682)</f>
        <v>0</v>
      </c>
    </row>
    <row r="1683" customFormat="false" ht="18" hidden="false" customHeight="true" outlineLevel="0" collapsed="false">
      <c r="A1683" s="39"/>
      <c r="B1683" s="41"/>
      <c r="C1683" s="40"/>
      <c r="D1683" s="40"/>
      <c r="E1683" s="40"/>
      <c r="F1683" s="42"/>
      <c r="G1683" s="39"/>
      <c r="H1683" s="40"/>
      <c r="I1683" s="40"/>
      <c r="J1683" s="40"/>
      <c r="K1683" s="41"/>
      <c r="L1683" s="39"/>
      <c r="M1683" s="48" t="str">
        <f aca="false">IF($E1683="","",IFERROR(INDEX(Parâmetros!$C$15:$C$20,MATCH($P1683,Parâmetros!$B$15:$B$20,0)),""))</f>
        <v/>
      </c>
      <c r="N1683" s="46" t="str">
        <f aca="false">IF($E1683="","",IF($P1683="","",IF($P1683&gt;=8,"Alta",IF($P1683&gt;=5,"Média","Baixa"))))</f>
        <v/>
      </c>
      <c r="O1683" s="46" t="str">
        <f aca="false">IF($E1683="","",IF(AND(Parâmetros!$C$5&gt;0,$P1683&lt;&gt;"",$P1683&gt;=Parâmetros!$C$5),"Sim","Não"))</f>
        <v/>
      </c>
      <c r="P1683" s="45" t="str">
        <f aca="false">IF($E1683="","",IF($G1683="","",IF($G1683="NOK",$F1683,0)))</f>
        <v/>
      </c>
      <c r="Q1683" s="46" t="str">
        <f aca="false">IF($E1683="","",IF($O1683&lt;&gt;"Sim","",COUNTIF($O$3:$O1683,"Sim")))</f>
        <v/>
      </c>
      <c r="R1683" s="47" t="n">
        <f aca="false">IF($P1683="",0,$P1683)</f>
        <v>0</v>
      </c>
    </row>
    <row r="1684" customFormat="false" ht="18" hidden="false" customHeight="true" outlineLevel="0" collapsed="false">
      <c r="A1684" s="39"/>
      <c r="B1684" s="41"/>
      <c r="C1684" s="40"/>
      <c r="D1684" s="40"/>
      <c r="E1684" s="40"/>
      <c r="F1684" s="42"/>
      <c r="G1684" s="39"/>
      <c r="H1684" s="40"/>
      <c r="I1684" s="40"/>
      <c r="J1684" s="40"/>
      <c r="K1684" s="41"/>
      <c r="L1684" s="39"/>
      <c r="M1684" s="48" t="str">
        <f aca="false">IF($E1684="","",IFERROR(INDEX(Parâmetros!$C$15:$C$20,MATCH($P1684,Parâmetros!$B$15:$B$20,0)),""))</f>
        <v/>
      </c>
      <c r="N1684" s="46" t="str">
        <f aca="false">IF($E1684="","",IF($P1684="","",IF($P1684&gt;=8,"Alta",IF($P1684&gt;=5,"Média","Baixa"))))</f>
        <v/>
      </c>
      <c r="O1684" s="46" t="str">
        <f aca="false">IF($E1684="","",IF(AND(Parâmetros!$C$5&gt;0,$P1684&lt;&gt;"",$P1684&gt;=Parâmetros!$C$5),"Sim","Não"))</f>
        <v/>
      </c>
      <c r="P1684" s="45" t="str">
        <f aca="false">IF($E1684="","",IF($G1684="","",IF($G1684="NOK",$F1684,0)))</f>
        <v/>
      </c>
      <c r="Q1684" s="46" t="str">
        <f aca="false">IF($E1684="","",IF($O1684&lt;&gt;"Sim","",COUNTIF($O$3:$O1684,"Sim")))</f>
        <v/>
      </c>
      <c r="R1684" s="47" t="n">
        <f aca="false">IF($P1684="",0,$P1684)</f>
        <v>0</v>
      </c>
    </row>
    <row r="1685" customFormat="false" ht="18" hidden="false" customHeight="true" outlineLevel="0" collapsed="false">
      <c r="A1685" s="39"/>
      <c r="B1685" s="41"/>
      <c r="C1685" s="40"/>
      <c r="D1685" s="40"/>
      <c r="E1685" s="40"/>
      <c r="F1685" s="42"/>
      <c r="G1685" s="39"/>
      <c r="H1685" s="40"/>
      <c r="I1685" s="40"/>
      <c r="J1685" s="40"/>
      <c r="K1685" s="41"/>
      <c r="L1685" s="39"/>
      <c r="M1685" s="48" t="str">
        <f aca="false">IF($E1685="","",IFERROR(INDEX(Parâmetros!$C$15:$C$20,MATCH($P1685,Parâmetros!$B$15:$B$20,0)),""))</f>
        <v/>
      </c>
      <c r="N1685" s="46" t="str">
        <f aca="false">IF($E1685="","",IF($P1685="","",IF($P1685&gt;=8,"Alta",IF($P1685&gt;=5,"Média","Baixa"))))</f>
        <v/>
      </c>
      <c r="O1685" s="46" t="str">
        <f aca="false">IF($E1685="","",IF(AND(Parâmetros!$C$5&gt;0,$P1685&lt;&gt;"",$P1685&gt;=Parâmetros!$C$5),"Sim","Não"))</f>
        <v/>
      </c>
      <c r="P1685" s="45" t="str">
        <f aca="false">IF($E1685="","",IF($G1685="","",IF($G1685="NOK",$F1685,0)))</f>
        <v/>
      </c>
      <c r="Q1685" s="46" t="str">
        <f aca="false">IF($E1685="","",IF($O1685&lt;&gt;"Sim","",COUNTIF($O$3:$O1685,"Sim")))</f>
        <v/>
      </c>
      <c r="R1685" s="47" t="n">
        <f aca="false">IF($P1685="",0,$P1685)</f>
        <v>0</v>
      </c>
    </row>
    <row r="1686" customFormat="false" ht="18" hidden="false" customHeight="true" outlineLevel="0" collapsed="false">
      <c r="A1686" s="39"/>
      <c r="B1686" s="41"/>
      <c r="C1686" s="40"/>
      <c r="D1686" s="40"/>
      <c r="E1686" s="40"/>
      <c r="F1686" s="42"/>
      <c r="G1686" s="39"/>
      <c r="H1686" s="40"/>
      <c r="I1686" s="40"/>
      <c r="J1686" s="40"/>
      <c r="K1686" s="41"/>
      <c r="L1686" s="39"/>
      <c r="M1686" s="48" t="str">
        <f aca="false">IF($E1686="","",IFERROR(INDEX(Parâmetros!$C$15:$C$20,MATCH($P1686,Parâmetros!$B$15:$B$20,0)),""))</f>
        <v/>
      </c>
      <c r="N1686" s="46" t="str">
        <f aca="false">IF($E1686="","",IF($P1686="","",IF($P1686&gt;=8,"Alta",IF($P1686&gt;=5,"Média","Baixa"))))</f>
        <v/>
      </c>
      <c r="O1686" s="46" t="str">
        <f aca="false">IF($E1686="","",IF(AND(Parâmetros!$C$5&gt;0,$P1686&lt;&gt;"",$P1686&gt;=Parâmetros!$C$5),"Sim","Não"))</f>
        <v/>
      </c>
      <c r="P1686" s="45" t="str">
        <f aca="false">IF($E1686="","",IF($G1686="","",IF($G1686="NOK",$F1686,0)))</f>
        <v/>
      </c>
      <c r="Q1686" s="46" t="str">
        <f aca="false">IF($E1686="","",IF($O1686&lt;&gt;"Sim","",COUNTIF($O$3:$O1686,"Sim")))</f>
        <v/>
      </c>
      <c r="R1686" s="47" t="n">
        <f aca="false">IF($P1686="",0,$P1686)</f>
        <v>0</v>
      </c>
    </row>
    <row r="1687" customFormat="false" ht="18" hidden="false" customHeight="true" outlineLevel="0" collapsed="false">
      <c r="A1687" s="39"/>
      <c r="B1687" s="41"/>
      <c r="C1687" s="40"/>
      <c r="D1687" s="40"/>
      <c r="E1687" s="40"/>
      <c r="F1687" s="42"/>
      <c r="G1687" s="39"/>
      <c r="H1687" s="40"/>
      <c r="I1687" s="40"/>
      <c r="J1687" s="40"/>
      <c r="K1687" s="41"/>
      <c r="L1687" s="39"/>
      <c r="M1687" s="48" t="str">
        <f aca="false">IF($E1687="","",IFERROR(INDEX(Parâmetros!$C$15:$C$20,MATCH($P1687,Parâmetros!$B$15:$B$20,0)),""))</f>
        <v/>
      </c>
      <c r="N1687" s="46" t="str">
        <f aca="false">IF($E1687="","",IF($P1687="","",IF($P1687&gt;=8,"Alta",IF($P1687&gt;=5,"Média","Baixa"))))</f>
        <v/>
      </c>
      <c r="O1687" s="46" t="str">
        <f aca="false">IF($E1687="","",IF(AND(Parâmetros!$C$5&gt;0,$P1687&lt;&gt;"",$P1687&gt;=Parâmetros!$C$5),"Sim","Não"))</f>
        <v/>
      </c>
      <c r="P1687" s="45" t="str">
        <f aca="false">IF($E1687="","",IF($G1687="","",IF($G1687="NOK",$F1687,0)))</f>
        <v/>
      </c>
      <c r="Q1687" s="46" t="str">
        <f aca="false">IF($E1687="","",IF($O1687&lt;&gt;"Sim","",COUNTIF($O$3:$O1687,"Sim")))</f>
        <v/>
      </c>
      <c r="R1687" s="47" t="n">
        <f aca="false">IF($P1687="",0,$P1687)</f>
        <v>0</v>
      </c>
    </row>
    <row r="1688" customFormat="false" ht="18" hidden="false" customHeight="true" outlineLevel="0" collapsed="false">
      <c r="A1688" s="39"/>
      <c r="B1688" s="41"/>
      <c r="C1688" s="40"/>
      <c r="D1688" s="40"/>
      <c r="E1688" s="40"/>
      <c r="F1688" s="42"/>
      <c r="G1688" s="39"/>
      <c r="H1688" s="40"/>
      <c r="I1688" s="40"/>
      <c r="J1688" s="40"/>
      <c r="K1688" s="41"/>
      <c r="L1688" s="39"/>
      <c r="M1688" s="48" t="str">
        <f aca="false">IF($E1688="","",IFERROR(INDEX(Parâmetros!$C$15:$C$20,MATCH($P1688,Parâmetros!$B$15:$B$20,0)),""))</f>
        <v/>
      </c>
      <c r="N1688" s="46" t="str">
        <f aca="false">IF($E1688="","",IF($P1688="","",IF($P1688&gt;=8,"Alta",IF($P1688&gt;=5,"Média","Baixa"))))</f>
        <v/>
      </c>
      <c r="O1688" s="46" t="str">
        <f aca="false">IF($E1688="","",IF(AND(Parâmetros!$C$5&gt;0,$P1688&lt;&gt;"",$P1688&gt;=Parâmetros!$C$5),"Sim","Não"))</f>
        <v/>
      </c>
      <c r="P1688" s="45" t="str">
        <f aca="false">IF($E1688="","",IF($G1688="","",IF($G1688="NOK",$F1688,0)))</f>
        <v/>
      </c>
      <c r="Q1688" s="46" t="str">
        <f aca="false">IF($E1688="","",IF($O1688&lt;&gt;"Sim","",COUNTIF($O$3:$O1688,"Sim")))</f>
        <v/>
      </c>
      <c r="R1688" s="47" t="n">
        <f aca="false">IF($P1688="",0,$P1688)</f>
        <v>0</v>
      </c>
    </row>
    <row r="1689" customFormat="false" ht="18" hidden="false" customHeight="true" outlineLevel="0" collapsed="false">
      <c r="A1689" s="39"/>
      <c r="B1689" s="41"/>
      <c r="C1689" s="40"/>
      <c r="D1689" s="40"/>
      <c r="E1689" s="40"/>
      <c r="F1689" s="42"/>
      <c r="G1689" s="39"/>
      <c r="H1689" s="40"/>
      <c r="I1689" s="40"/>
      <c r="J1689" s="40"/>
      <c r="K1689" s="41"/>
      <c r="L1689" s="39"/>
      <c r="M1689" s="48" t="str">
        <f aca="false">IF($E1689="","",IFERROR(INDEX(Parâmetros!$C$15:$C$20,MATCH($P1689,Parâmetros!$B$15:$B$20,0)),""))</f>
        <v/>
      </c>
      <c r="N1689" s="46" t="str">
        <f aca="false">IF($E1689="","",IF($P1689="","",IF($P1689&gt;=8,"Alta",IF($P1689&gt;=5,"Média","Baixa"))))</f>
        <v/>
      </c>
      <c r="O1689" s="46" t="str">
        <f aca="false">IF($E1689="","",IF(AND(Parâmetros!$C$5&gt;0,$P1689&lt;&gt;"",$P1689&gt;=Parâmetros!$C$5),"Sim","Não"))</f>
        <v/>
      </c>
      <c r="P1689" s="45" t="str">
        <f aca="false">IF($E1689="","",IF($G1689="","",IF($G1689="NOK",$F1689,0)))</f>
        <v/>
      </c>
      <c r="Q1689" s="46" t="str">
        <f aca="false">IF($E1689="","",IF($O1689&lt;&gt;"Sim","",COUNTIF($O$3:$O1689,"Sim")))</f>
        <v/>
      </c>
      <c r="R1689" s="47" t="n">
        <f aca="false">IF($P1689="",0,$P1689)</f>
        <v>0</v>
      </c>
    </row>
    <row r="1690" customFormat="false" ht="18" hidden="false" customHeight="true" outlineLevel="0" collapsed="false">
      <c r="A1690" s="39"/>
      <c r="B1690" s="41"/>
      <c r="C1690" s="40"/>
      <c r="D1690" s="40"/>
      <c r="E1690" s="40"/>
      <c r="F1690" s="42"/>
      <c r="G1690" s="39"/>
      <c r="H1690" s="40"/>
      <c r="I1690" s="40"/>
      <c r="J1690" s="40"/>
      <c r="K1690" s="41"/>
      <c r="L1690" s="39"/>
      <c r="M1690" s="48" t="str">
        <f aca="false">IF($E1690="","",IFERROR(INDEX(Parâmetros!$C$15:$C$20,MATCH($P1690,Parâmetros!$B$15:$B$20,0)),""))</f>
        <v/>
      </c>
      <c r="N1690" s="46" t="str">
        <f aca="false">IF($E1690="","",IF($P1690="","",IF($P1690&gt;=8,"Alta",IF($P1690&gt;=5,"Média","Baixa"))))</f>
        <v/>
      </c>
      <c r="O1690" s="46" t="str">
        <f aca="false">IF($E1690="","",IF(AND(Parâmetros!$C$5&gt;0,$P1690&lt;&gt;"",$P1690&gt;=Parâmetros!$C$5),"Sim","Não"))</f>
        <v/>
      </c>
      <c r="P1690" s="45" t="str">
        <f aca="false">IF($E1690="","",IF($G1690="","",IF($G1690="NOK",$F1690,0)))</f>
        <v/>
      </c>
      <c r="Q1690" s="46" t="str">
        <f aca="false">IF($E1690="","",IF($O1690&lt;&gt;"Sim","",COUNTIF($O$3:$O1690,"Sim")))</f>
        <v/>
      </c>
      <c r="R1690" s="47" t="n">
        <f aca="false">IF($P1690="",0,$P1690)</f>
        <v>0</v>
      </c>
    </row>
    <row r="1691" customFormat="false" ht="18" hidden="false" customHeight="true" outlineLevel="0" collapsed="false">
      <c r="A1691" s="39"/>
      <c r="B1691" s="41"/>
      <c r="C1691" s="40"/>
      <c r="D1691" s="40"/>
      <c r="E1691" s="40"/>
      <c r="F1691" s="42"/>
      <c r="G1691" s="39"/>
      <c r="H1691" s="40"/>
      <c r="I1691" s="40"/>
      <c r="J1691" s="40"/>
      <c r="K1691" s="41"/>
      <c r="L1691" s="39"/>
      <c r="M1691" s="48" t="str">
        <f aca="false">IF($E1691="","",IFERROR(INDEX(Parâmetros!$C$15:$C$20,MATCH($P1691,Parâmetros!$B$15:$B$20,0)),""))</f>
        <v/>
      </c>
      <c r="N1691" s="46" t="str">
        <f aca="false">IF($E1691="","",IF($P1691="","",IF($P1691&gt;=8,"Alta",IF($P1691&gt;=5,"Média","Baixa"))))</f>
        <v/>
      </c>
      <c r="O1691" s="46" t="str">
        <f aca="false">IF($E1691="","",IF(AND(Parâmetros!$C$5&gt;0,$P1691&lt;&gt;"",$P1691&gt;=Parâmetros!$C$5),"Sim","Não"))</f>
        <v/>
      </c>
      <c r="P1691" s="45" t="str">
        <f aca="false">IF($E1691="","",IF($G1691="","",IF($G1691="NOK",$F1691,0)))</f>
        <v/>
      </c>
      <c r="Q1691" s="46" t="str">
        <f aca="false">IF($E1691="","",IF($O1691&lt;&gt;"Sim","",COUNTIF($O$3:$O1691,"Sim")))</f>
        <v/>
      </c>
      <c r="R1691" s="47" t="n">
        <f aca="false">IF($P1691="",0,$P1691)</f>
        <v>0</v>
      </c>
    </row>
    <row r="1692" customFormat="false" ht="18" hidden="false" customHeight="true" outlineLevel="0" collapsed="false">
      <c r="A1692" s="39"/>
      <c r="B1692" s="41"/>
      <c r="C1692" s="40"/>
      <c r="D1692" s="40"/>
      <c r="E1692" s="40"/>
      <c r="F1692" s="42"/>
      <c r="G1692" s="39"/>
      <c r="H1692" s="40"/>
      <c r="I1692" s="40"/>
      <c r="J1692" s="40"/>
      <c r="K1692" s="41"/>
      <c r="L1692" s="39"/>
      <c r="M1692" s="48" t="str">
        <f aca="false">IF($E1692="","",IFERROR(INDEX(Parâmetros!$C$15:$C$20,MATCH($P1692,Parâmetros!$B$15:$B$20,0)),""))</f>
        <v/>
      </c>
      <c r="N1692" s="46" t="str">
        <f aca="false">IF($E1692="","",IF($P1692="","",IF($P1692&gt;=8,"Alta",IF($P1692&gt;=5,"Média","Baixa"))))</f>
        <v/>
      </c>
      <c r="O1692" s="46" t="str">
        <f aca="false">IF($E1692="","",IF(AND(Parâmetros!$C$5&gt;0,$P1692&lt;&gt;"",$P1692&gt;=Parâmetros!$C$5),"Sim","Não"))</f>
        <v/>
      </c>
      <c r="P1692" s="45" t="str">
        <f aca="false">IF($E1692="","",IF($G1692="","",IF($G1692="NOK",$F1692,0)))</f>
        <v/>
      </c>
      <c r="Q1692" s="46" t="str">
        <f aca="false">IF($E1692="","",IF($O1692&lt;&gt;"Sim","",COUNTIF($O$3:$O1692,"Sim")))</f>
        <v/>
      </c>
      <c r="R1692" s="47" t="n">
        <f aca="false">IF($P1692="",0,$P1692)</f>
        <v>0</v>
      </c>
    </row>
    <row r="1693" customFormat="false" ht="18" hidden="false" customHeight="true" outlineLevel="0" collapsed="false">
      <c r="A1693" s="39"/>
      <c r="B1693" s="41"/>
      <c r="C1693" s="40"/>
      <c r="D1693" s="40"/>
      <c r="E1693" s="40"/>
      <c r="F1693" s="42"/>
      <c r="G1693" s="39"/>
      <c r="H1693" s="40"/>
      <c r="I1693" s="40"/>
      <c r="J1693" s="40"/>
      <c r="K1693" s="41"/>
      <c r="L1693" s="39"/>
      <c r="M1693" s="48" t="str">
        <f aca="false">IF($E1693="","",IFERROR(INDEX(Parâmetros!$C$15:$C$20,MATCH($P1693,Parâmetros!$B$15:$B$20,0)),""))</f>
        <v/>
      </c>
      <c r="N1693" s="46" t="str">
        <f aca="false">IF($E1693="","",IF($P1693="","",IF($P1693&gt;=8,"Alta",IF($P1693&gt;=5,"Média","Baixa"))))</f>
        <v/>
      </c>
      <c r="O1693" s="46" t="str">
        <f aca="false">IF($E1693="","",IF(AND(Parâmetros!$C$5&gt;0,$P1693&lt;&gt;"",$P1693&gt;=Parâmetros!$C$5),"Sim","Não"))</f>
        <v/>
      </c>
      <c r="P1693" s="45" t="str">
        <f aca="false">IF($E1693="","",IF($G1693="","",IF($G1693="NOK",$F1693,0)))</f>
        <v/>
      </c>
      <c r="Q1693" s="46" t="str">
        <f aca="false">IF($E1693="","",IF($O1693&lt;&gt;"Sim","",COUNTIF($O$3:$O1693,"Sim")))</f>
        <v/>
      </c>
      <c r="R1693" s="47" t="n">
        <f aca="false">IF($P1693="",0,$P1693)</f>
        <v>0</v>
      </c>
    </row>
    <row r="1694" customFormat="false" ht="18" hidden="false" customHeight="true" outlineLevel="0" collapsed="false">
      <c r="A1694" s="39"/>
      <c r="B1694" s="41"/>
      <c r="C1694" s="40"/>
      <c r="D1694" s="40"/>
      <c r="E1694" s="40"/>
      <c r="F1694" s="42"/>
      <c r="G1694" s="39"/>
      <c r="H1694" s="40"/>
      <c r="I1694" s="40"/>
      <c r="J1694" s="40"/>
      <c r="K1694" s="41"/>
      <c r="L1694" s="39"/>
      <c r="M1694" s="48" t="str">
        <f aca="false">IF($E1694="","",IFERROR(INDEX(Parâmetros!$C$15:$C$20,MATCH($P1694,Parâmetros!$B$15:$B$20,0)),""))</f>
        <v/>
      </c>
      <c r="N1694" s="46" t="str">
        <f aca="false">IF($E1694="","",IF($P1694="","",IF($P1694&gt;=8,"Alta",IF($P1694&gt;=5,"Média","Baixa"))))</f>
        <v/>
      </c>
      <c r="O1694" s="46" t="str">
        <f aca="false">IF($E1694="","",IF(AND(Parâmetros!$C$5&gt;0,$P1694&lt;&gt;"",$P1694&gt;=Parâmetros!$C$5),"Sim","Não"))</f>
        <v/>
      </c>
      <c r="P1694" s="45" t="str">
        <f aca="false">IF($E1694="","",IF($G1694="","",IF($G1694="NOK",$F1694,0)))</f>
        <v/>
      </c>
      <c r="Q1694" s="46" t="str">
        <f aca="false">IF($E1694="","",IF($O1694&lt;&gt;"Sim","",COUNTIF($O$3:$O1694,"Sim")))</f>
        <v/>
      </c>
      <c r="R1694" s="47" t="n">
        <f aca="false">IF($P1694="",0,$P1694)</f>
        <v>0</v>
      </c>
    </row>
    <row r="1695" customFormat="false" ht="18" hidden="false" customHeight="true" outlineLevel="0" collapsed="false">
      <c r="A1695" s="39"/>
      <c r="B1695" s="41"/>
      <c r="C1695" s="40"/>
      <c r="D1695" s="40"/>
      <c r="E1695" s="40"/>
      <c r="F1695" s="42"/>
      <c r="G1695" s="39"/>
      <c r="H1695" s="40"/>
      <c r="I1695" s="40"/>
      <c r="J1695" s="40"/>
      <c r="K1695" s="41"/>
      <c r="L1695" s="39"/>
      <c r="M1695" s="48" t="str">
        <f aca="false">IF($E1695="","",IFERROR(INDEX(Parâmetros!$C$15:$C$20,MATCH($P1695,Parâmetros!$B$15:$B$20,0)),""))</f>
        <v/>
      </c>
      <c r="N1695" s="46" t="str">
        <f aca="false">IF($E1695="","",IF($P1695="","",IF($P1695&gt;=8,"Alta",IF($P1695&gt;=5,"Média","Baixa"))))</f>
        <v/>
      </c>
      <c r="O1695" s="46" t="str">
        <f aca="false">IF($E1695="","",IF(AND(Parâmetros!$C$5&gt;0,$P1695&lt;&gt;"",$P1695&gt;=Parâmetros!$C$5),"Sim","Não"))</f>
        <v/>
      </c>
      <c r="P1695" s="45" t="str">
        <f aca="false">IF($E1695="","",IF($G1695="","",IF($G1695="NOK",$F1695,0)))</f>
        <v/>
      </c>
      <c r="Q1695" s="46" t="str">
        <f aca="false">IF($E1695="","",IF($O1695&lt;&gt;"Sim","",COUNTIF($O$3:$O1695,"Sim")))</f>
        <v/>
      </c>
      <c r="R1695" s="47" t="n">
        <f aca="false">IF($P1695="",0,$P1695)</f>
        <v>0</v>
      </c>
    </row>
    <row r="1696" customFormat="false" ht="18" hidden="false" customHeight="true" outlineLevel="0" collapsed="false">
      <c r="A1696" s="39"/>
      <c r="B1696" s="41"/>
      <c r="C1696" s="40"/>
      <c r="D1696" s="40"/>
      <c r="E1696" s="40"/>
      <c r="F1696" s="42"/>
      <c r="G1696" s="39"/>
      <c r="H1696" s="40"/>
      <c r="I1696" s="40"/>
      <c r="J1696" s="40"/>
      <c r="K1696" s="41"/>
      <c r="L1696" s="39"/>
      <c r="M1696" s="48" t="str">
        <f aca="false">IF($E1696="","",IFERROR(INDEX(Parâmetros!$C$15:$C$20,MATCH($P1696,Parâmetros!$B$15:$B$20,0)),""))</f>
        <v/>
      </c>
      <c r="N1696" s="46" t="str">
        <f aca="false">IF($E1696="","",IF($P1696="","",IF($P1696&gt;=8,"Alta",IF($P1696&gt;=5,"Média","Baixa"))))</f>
        <v/>
      </c>
      <c r="O1696" s="46" t="str">
        <f aca="false">IF($E1696="","",IF(AND(Parâmetros!$C$5&gt;0,$P1696&lt;&gt;"",$P1696&gt;=Parâmetros!$C$5),"Sim","Não"))</f>
        <v/>
      </c>
      <c r="P1696" s="45" t="str">
        <f aca="false">IF($E1696="","",IF($G1696="","",IF($G1696="NOK",$F1696,0)))</f>
        <v/>
      </c>
      <c r="Q1696" s="46" t="str">
        <f aca="false">IF($E1696="","",IF($O1696&lt;&gt;"Sim","",COUNTIF($O$3:$O1696,"Sim")))</f>
        <v/>
      </c>
      <c r="R1696" s="47" t="n">
        <f aca="false">IF($P1696="",0,$P1696)</f>
        <v>0</v>
      </c>
    </row>
    <row r="1697" customFormat="false" ht="18" hidden="false" customHeight="true" outlineLevel="0" collapsed="false">
      <c r="A1697" s="39"/>
      <c r="B1697" s="41"/>
      <c r="C1697" s="40"/>
      <c r="D1697" s="40"/>
      <c r="E1697" s="40"/>
      <c r="F1697" s="42"/>
      <c r="G1697" s="39"/>
      <c r="H1697" s="40"/>
      <c r="I1697" s="40"/>
      <c r="J1697" s="40"/>
      <c r="K1697" s="41"/>
      <c r="L1697" s="39"/>
      <c r="M1697" s="48" t="str">
        <f aca="false">IF($E1697="","",IFERROR(INDEX(Parâmetros!$C$15:$C$20,MATCH($P1697,Parâmetros!$B$15:$B$20,0)),""))</f>
        <v/>
      </c>
      <c r="N1697" s="46" t="str">
        <f aca="false">IF($E1697="","",IF($P1697="","",IF($P1697&gt;=8,"Alta",IF($P1697&gt;=5,"Média","Baixa"))))</f>
        <v/>
      </c>
      <c r="O1697" s="46" t="str">
        <f aca="false">IF($E1697="","",IF(AND(Parâmetros!$C$5&gt;0,$P1697&lt;&gt;"",$P1697&gt;=Parâmetros!$C$5),"Sim","Não"))</f>
        <v/>
      </c>
      <c r="P1697" s="45" t="str">
        <f aca="false">IF($E1697="","",IF($G1697="","",IF($G1697="NOK",$F1697,0)))</f>
        <v/>
      </c>
      <c r="Q1697" s="46" t="str">
        <f aca="false">IF($E1697="","",IF($O1697&lt;&gt;"Sim","",COUNTIF($O$3:$O1697,"Sim")))</f>
        <v/>
      </c>
      <c r="R1697" s="47" t="n">
        <f aca="false">IF($P1697="",0,$P1697)</f>
        <v>0</v>
      </c>
    </row>
    <row r="1698" customFormat="false" ht="18" hidden="false" customHeight="true" outlineLevel="0" collapsed="false">
      <c r="A1698" s="39"/>
      <c r="B1698" s="41"/>
      <c r="C1698" s="40"/>
      <c r="D1698" s="40"/>
      <c r="E1698" s="40"/>
      <c r="F1698" s="42"/>
      <c r="G1698" s="39"/>
      <c r="H1698" s="40"/>
      <c r="I1698" s="40"/>
      <c r="J1698" s="40"/>
      <c r="K1698" s="41"/>
      <c r="L1698" s="39"/>
      <c r="M1698" s="48" t="str">
        <f aca="false">IF($E1698="","",IFERROR(INDEX(Parâmetros!$C$15:$C$20,MATCH($P1698,Parâmetros!$B$15:$B$20,0)),""))</f>
        <v/>
      </c>
      <c r="N1698" s="46" t="str">
        <f aca="false">IF($E1698="","",IF($P1698="","",IF($P1698&gt;=8,"Alta",IF($P1698&gt;=5,"Média","Baixa"))))</f>
        <v/>
      </c>
      <c r="O1698" s="46" t="str">
        <f aca="false">IF($E1698="","",IF(AND(Parâmetros!$C$5&gt;0,$P1698&lt;&gt;"",$P1698&gt;=Parâmetros!$C$5),"Sim","Não"))</f>
        <v/>
      </c>
      <c r="P1698" s="45" t="str">
        <f aca="false">IF($E1698="","",IF($G1698="","",IF($G1698="NOK",$F1698,0)))</f>
        <v/>
      </c>
      <c r="Q1698" s="46" t="str">
        <f aca="false">IF($E1698="","",IF($O1698&lt;&gt;"Sim","",COUNTIF($O$3:$O1698,"Sim")))</f>
        <v/>
      </c>
      <c r="R1698" s="47" t="n">
        <f aca="false">IF($P1698="",0,$P1698)</f>
        <v>0</v>
      </c>
    </row>
    <row r="1699" customFormat="false" ht="18" hidden="false" customHeight="true" outlineLevel="0" collapsed="false">
      <c r="A1699" s="39"/>
      <c r="B1699" s="41"/>
      <c r="C1699" s="40"/>
      <c r="D1699" s="40"/>
      <c r="E1699" s="40"/>
      <c r="F1699" s="42"/>
      <c r="G1699" s="39"/>
      <c r="H1699" s="40"/>
      <c r="I1699" s="40"/>
      <c r="J1699" s="40"/>
      <c r="K1699" s="41"/>
      <c r="L1699" s="39"/>
      <c r="M1699" s="48" t="str">
        <f aca="false">IF($E1699="","",IFERROR(INDEX(Parâmetros!$C$15:$C$20,MATCH($P1699,Parâmetros!$B$15:$B$20,0)),""))</f>
        <v/>
      </c>
      <c r="N1699" s="46" t="str">
        <f aca="false">IF($E1699="","",IF($P1699="","",IF($P1699&gt;=8,"Alta",IF($P1699&gt;=5,"Média","Baixa"))))</f>
        <v/>
      </c>
      <c r="O1699" s="46" t="str">
        <f aca="false">IF($E1699="","",IF(AND(Parâmetros!$C$5&gt;0,$P1699&lt;&gt;"",$P1699&gt;=Parâmetros!$C$5),"Sim","Não"))</f>
        <v/>
      </c>
      <c r="P1699" s="45" t="str">
        <f aca="false">IF($E1699="","",IF($G1699="","",IF($G1699="NOK",$F1699,0)))</f>
        <v/>
      </c>
      <c r="Q1699" s="46" t="str">
        <f aca="false">IF($E1699="","",IF($O1699&lt;&gt;"Sim","",COUNTIF($O$3:$O1699,"Sim")))</f>
        <v/>
      </c>
      <c r="R1699" s="47" t="n">
        <f aca="false">IF($P1699="",0,$P1699)</f>
        <v>0</v>
      </c>
    </row>
    <row r="1700" customFormat="false" ht="18" hidden="false" customHeight="true" outlineLevel="0" collapsed="false">
      <c r="A1700" s="39"/>
      <c r="B1700" s="41"/>
      <c r="C1700" s="40"/>
      <c r="D1700" s="40"/>
      <c r="E1700" s="40"/>
      <c r="F1700" s="42"/>
      <c r="G1700" s="39"/>
      <c r="H1700" s="40"/>
      <c r="I1700" s="40"/>
      <c r="J1700" s="40"/>
      <c r="K1700" s="41"/>
      <c r="L1700" s="39"/>
      <c r="M1700" s="48" t="str">
        <f aca="false">IF($E1700="","",IFERROR(INDEX(Parâmetros!$C$15:$C$20,MATCH($P1700,Parâmetros!$B$15:$B$20,0)),""))</f>
        <v/>
      </c>
      <c r="N1700" s="46" t="str">
        <f aca="false">IF($E1700="","",IF($P1700="","",IF($P1700&gt;=8,"Alta",IF($P1700&gt;=5,"Média","Baixa"))))</f>
        <v/>
      </c>
      <c r="O1700" s="46" t="str">
        <f aca="false">IF($E1700="","",IF(AND(Parâmetros!$C$5&gt;0,$P1700&lt;&gt;"",$P1700&gt;=Parâmetros!$C$5),"Sim","Não"))</f>
        <v/>
      </c>
      <c r="P1700" s="45" t="str">
        <f aca="false">IF($E1700="","",IF($G1700="","",IF($G1700="NOK",$F1700,0)))</f>
        <v/>
      </c>
      <c r="Q1700" s="46" t="str">
        <f aca="false">IF($E1700="","",IF($O1700&lt;&gt;"Sim","",COUNTIF($O$3:$O1700,"Sim")))</f>
        <v/>
      </c>
      <c r="R1700" s="47" t="n">
        <f aca="false">IF($P1700="",0,$P1700)</f>
        <v>0</v>
      </c>
    </row>
    <row r="1701" customFormat="false" ht="18" hidden="false" customHeight="true" outlineLevel="0" collapsed="false">
      <c r="A1701" s="39"/>
      <c r="B1701" s="41"/>
      <c r="C1701" s="40"/>
      <c r="D1701" s="40"/>
      <c r="E1701" s="40"/>
      <c r="F1701" s="42"/>
      <c r="G1701" s="39"/>
      <c r="H1701" s="40"/>
      <c r="I1701" s="40"/>
      <c r="J1701" s="40"/>
      <c r="K1701" s="41"/>
      <c r="L1701" s="39"/>
      <c r="M1701" s="48" t="str">
        <f aca="false">IF($E1701="","",IFERROR(INDEX(Parâmetros!$C$15:$C$20,MATCH($P1701,Parâmetros!$B$15:$B$20,0)),""))</f>
        <v/>
      </c>
      <c r="N1701" s="46" t="str">
        <f aca="false">IF($E1701="","",IF($P1701="","",IF($P1701&gt;=8,"Alta",IF($P1701&gt;=5,"Média","Baixa"))))</f>
        <v/>
      </c>
      <c r="O1701" s="46" t="str">
        <f aca="false">IF($E1701="","",IF(AND(Parâmetros!$C$5&gt;0,$P1701&lt;&gt;"",$P1701&gt;=Parâmetros!$C$5),"Sim","Não"))</f>
        <v/>
      </c>
      <c r="P1701" s="45" t="str">
        <f aca="false">IF($E1701="","",IF($G1701="","",IF($G1701="NOK",$F1701,0)))</f>
        <v/>
      </c>
      <c r="Q1701" s="46" t="str">
        <f aca="false">IF($E1701="","",IF($O1701&lt;&gt;"Sim","",COUNTIF($O$3:$O1701,"Sim")))</f>
        <v/>
      </c>
      <c r="R1701" s="47" t="n">
        <f aca="false">IF($P1701="",0,$P1701)</f>
        <v>0</v>
      </c>
    </row>
    <row r="1702" customFormat="false" ht="18" hidden="false" customHeight="true" outlineLevel="0" collapsed="false">
      <c r="A1702" s="39"/>
      <c r="B1702" s="41"/>
      <c r="C1702" s="40"/>
      <c r="D1702" s="40"/>
      <c r="E1702" s="40"/>
      <c r="F1702" s="42"/>
      <c r="G1702" s="39"/>
      <c r="H1702" s="40"/>
      <c r="I1702" s="40"/>
      <c r="J1702" s="40"/>
      <c r="K1702" s="41"/>
      <c r="L1702" s="39"/>
      <c r="M1702" s="48" t="str">
        <f aca="false">IF($E1702="","",IFERROR(INDEX(Parâmetros!$C$15:$C$20,MATCH($P1702,Parâmetros!$B$15:$B$20,0)),""))</f>
        <v/>
      </c>
      <c r="N1702" s="46" t="str">
        <f aca="false">IF($E1702="","",IF($P1702="","",IF($P1702&gt;=8,"Alta",IF($P1702&gt;=5,"Média","Baixa"))))</f>
        <v/>
      </c>
      <c r="O1702" s="46" t="str">
        <f aca="false">IF($E1702="","",IF(AND(Parâmetros!$C$5&gt;0,$P1702&lt;&gt;"",$P1702&gt;=Parâmetros!$C$5),"Sim","Não"))</f>
        <v/>
      </c>
      <c r="P1702" s="45" t="str">
        <f aca="false">IF($E1702="","",IF($G1702="","",IF($G1702="NOK",$F1702,0)))</f>
        <v/>
      </c>
      <c r="Q1702" s="46" t="str">
        <f aca="false">IF($E1702="","",IF($O1702&lt;&gt;"Sim","",COUNTIF($O$3:$O1702,"Sim")))</f>
        <v/>
      </c>
      <c r="R1702" s="47" t="n">
        <f aca="false">IF($P1702="",0,$P1702)</f>
        <v>0</v>
      </c>
    </row>
    <row r="1703" customFormat="false" ht="18" hidden="false" customHeight="true" outlineLevel="0" collapsed="false">
      <c r="A1703" s="39"/>
      <c r="B1703" s="41"/>
      <c r="C1703" s="40"/>
      <c r="D1703" s="40"/>
      <c r="E1703" s="40"/>
      <c r="F1703" s="42"/>
      <c r="G1703" s="39"/>
      <c r="H1703" s="40"/>
      <c r="I1703" s="40"/>
      <c r="J1703" s="40"/>
      <c r="K1703" s="41"/>
      <c r="L1703" s="39"/>
      <c r="M1703" s="48" t="str">
        <f aca="false">IF($E1703="","",IFERROR(INDEX(Parâmetros!$C$15:$C$20,MATCH($P1703,Parâmetros!$B$15:$B$20,0)),""))</f>
        <v/>
      </c>
      <c r="N1703" s="46" t="str">
        <f aca="false">IF($E1703="","",IF($P1703="","",IF($P1703&gt;=8,"Alta",IF($P1703&gt;=5,"Média","Baixa"))))</f>
        <v/>
      </c>
      <c r="O1703" s="46" t="str">
        <f aca="false">IF($E1703="","",IF(AND(Parâmetros!$C$5&gt;0,$P1703&lt;&gt;"",$P1703&gt;=Parâmetros!$C$5),"Sim","Não"))</f>
        <v/>
      </c>
      <c r="P1703" s="45" t="str">
        <f aca="false">IF($E1703="","",IF($G1703="","",IF($G1703="NOK",$F1703,0)))</f>
        <v/>
      </c>
      <c r="Q1703" s="46" t="str">
        <f aca="false">IF($E1703="","",IF($O1703&lt;&gt;"Sim","",COUNTIF($O$3:$O1703,"Sim")))</f>
        <v/>
      </c>
      <c r="R1703" s="47" t="n">
        <f aca="false">IF($P1703="",0,$P1703)</f>
        <v>0</v>
      </c>
    </row>
    <row r="1704" customFormat="false" ht="18" hidden="false" customHeight="true" outlineLevel="0" collapsed="false">
      <c r="A1704" s="39"/>
      <c r="B1704" s="41"/>
      <c r="C1704" s="40"/>
      <c r="D1704" s="40"/>
      <c r="E1704" s="40"/>
      <c r="F1704" s="42"/>
      <c r="G1704" s="39"/>
      <c r="H1704" s="40"/>
      <c r="I1704" s="40"/>
      <c r="J1704" s="40"/>
      <c r="K1704" s="41"/>
      <c r="L1704" s="39"/>
      <c r="M1704" s="48" t="str">
        <f aca="false">IF($E1704="","",IFERROR(INDEX(Parâmetros!$C$15:$C$20,MATCH($P1704,Parâmetros!$B$15:$B$20,0)),""))</f>
        <v/>
      </c>
      <c r="N1704" s="46" t="str">
        <f aca="false">IF($E1704="","",IF($P1704="","",IF($P1704&gt;=8,"Alta",IF($P1704&gt;=5,"Média","Baixa"))))</f>
        <v/>
      </c>
      <c r="O1704" s="46" t="str">
        <f aca="false">IF($E1704="","",IF(AND(Parâmetros!$C$5&gt;0,$P1704&lt;&gt;"",$P1704&gt;=Parâmetros!$C$5),"Sim","Não"))</f>
        <v/>
      </c>
      <c r="P1704" s="45" t="str">
        <f aca="false">IF($E1704="","",IF($G1704="","",IF($G1704="NOK",$F1704,0)))</f>
        <v/>
      </c>
      <c r="Q1704" s="46" t="str">
        <f aca="false">IF($E1704="","",IF($O1704&lt;&gt;"Sim","",COUNTIF($O$3:$O1704,"Sim")))</f>
        <v/>
      </c>
      <c r="R1704" s="47" t="n">
        <f aca="false">IF($P1704="",0,$P1704)</f>
        <v>0</v>
      </c>
    </row>
    <row r="1705" customFormat="false" ht="18" hidden="false" customHeight="true" outlineLevel="0" collapsed="false">
      <c r="A1705" s="39"/>
      <c r="B1705" s="41"/>
      <c r="C1705" s="40"/>
      <c r="D1705" s="40"/>
      <c r="E1705" s="40"/>
      <c r="F1705" s="42"/>
      <c r="G1705" s="39"/>
      <c r="H1705" s="40"/>
      <c r="I1705" s="40"/>
      <c r="J1705" s="40"/>
      <c r="K1705" s="41"/>
      <c r="L1705" s="39"/>
      <c r="M1705" s="48" t="str">
        <f aca="false">IF($E1705="","",IFERROR(INDEX(Parâmetros!$C$15:$C$20,MATCH($P1705,Parâmetros!$B$15:$B$20,0)),""))</f>
        <v/>
      </c>
      <c r="N1705" s="46" t="str">
        <f aca="false">IF($E1705="","",IF($P1705="","",IF($P1705&gt;=8,"Alta",IF($P1705&gt;=5,"Média","Baixa"))))</f>
        <v/>
      </c>
      <c r="O1705" s="46" t="str">
        <f aca="false">IF($E1705="","",IF(AND(Parâmetros!$C$5&gt;0,$P1705&lt;&gt;"",$P1705&gt;=Parâmetros!$C$5),"Sim","Não"))</f>
        <v/>
      </c>
      <c r="P1705" s="45" t="str">
        <f aca="false">IF($E1705="","",IF($G1705="","",IF($G1705="NOK",$F1705,0)))</f>
        <v/>
      </c>
      <c r="Q1705" s="46" t="str">
        <f aca="false">IF($E1705="","",IF($O1705&lt;&gt;"Sim","",COUNTIF($O$3:$O1705,"Sim")))</f>
        <v/>
      </c>
      <c r="R1705" s="47" t="n">
        <f aca="false">IF($P1705="",0,$P1705)</f>
        <v>0</v>
      </c>
    </row>
    <row r="1706" customFormat="false" ht="18" hidden="false" customHeight="true" outlineLevel="0" collapsed="false">
      <c r="A1706" s="39"/>
      <c r="B1706" s="41"/>
      <c r="C1706" s="40"/>
      <c r="D1706" s="40"/>
      <c r="E1706" s="40"/>
      <c r="F1706" s="42"/>
      <c r="G1706" s="39"/>
      <c r="H1706" s="40"/>
      <c r="I1706" s="40"/>
      <c r="J1706" s="40"/>
      <c r="K1706" s="41"/>
      <c r="L1706" s="39"/>
      <c r="M1706" s="48" t="str">
        <f aca="false">IF($E1706="","",IFERROR(INDEX(Parâmetros!$C$15:$C$20,MATCH($P1706,Parâmetros!$B$15:$B$20,0)),""))</f>
        <v/>
      </c>
      <c r="N1706" s="46" t="str">
        <f aca="false">IF($E1706="","",IF($P1706="","",IF($P1706&gt;=8,"Alta",IF($P1706&gt;=5,"Média","Baixa"))))</f>
        <v/>
      </c>
      <c r="O1706" s="46" t="str">
        <f aca="false">IF($E1706="","",IF(AND(Parâmetros!$C$5&gt;0,$P1706&lt;&gt;"",$P1706&gt;=Parâmetros!$C$5),"Sim","Não"))</f>
        <v/>
      </c>
      <c r="P1706" s="45" t="str">
        <f aca="false">IF($E1706="","",IF($G1706="","",IF($G1706="NOK",$F1706,0)))</f>
        <v/>
      </c>
      <c r="Q1706" s="46" t="str">
        <f aca="false">IF($E1706="","",IF($O1706&lt;&gt;"Sim","",COUNTIF($O$3:$O1706,"Sim")))</f>
        <v/>
      </c>
      <c r="R1706" s="47" t="n">
        <f aca="false">IF($P1706="",0,$P1706)</f>
        <v>0</v>
      </c>
    </row>
    <row r="1707" customFormat="false" ht="18" hidden="false" customHeight="true" outlineLevel="0" collapsed="false">
      <c r="A1707" s="39"/>
      <c r="B1707" s="41"/>
      <c r="C1707" s="40"/>
      <c r="D1707" s="40"/>
      <c r="E1707" s="40"/>
      <c r="F1707" s="42"/>
      <c r="G1707" s="39"/>
      <c r="H1707" s="40"/>
      <c r="I1707" s="40"/>
      <c r="J1707" s="40"/>
      <c r="K1707" s="41"/>
      <c r="L1707" s="39"/>
      <c r="M1707" s="48" t="str">
        <f aca="false">IF($E1707="","",IFERROR(INDEX(Parâmetros!$C$15:$C$20,MATCH($P1707,Parâmetros!$B$15:$B$20,0)),""))</f>
        <v/>
      </c>
      <c r="N1707" s="46" t="str">
        <f aca="false">IF($E1707="","",IF($P1707="","",IF($P1707&gt;=8,"Alta",IF($P1707&gt;=5,"Média","Baixa"))))</f>
        <v/>
      </c>
      <c r="O1707" s="46" t="str">
        <f aca="false">IF($E1707="","",IF(AND(Parâmetros!$C$5&gt;0,$P1707&lt;&gt;"",$P1707&gt;=Parâmetros!$C$5),"Sim","Não"))</f>
        <v/>
      </c>
      <c r="P1707" s="45" t="str">
        <f aca="false">IF($E1707="","",IF($G1707="","",IF($G1707="NOK",$F1707,0)))</f>
        <v/>
      </c>
      <c r="Q1707" s="46" t="str">
        <f aca="false">IF($E1707="","",IF($O1707&lt;&gt;"Sim","",COUNTIF($O$3:$O1707,"Sim")))</f>
        <v/>
      </c>
      <c r="R1707" s="47" t="n">
        <f aca="false">IF($P1707="",0,$P1707)</f>
        <v>0</v>
      </c>
    </row>
    <row r="1708" customFormat="false" ht="18" hidden="false" customHeight="true" outlineLevel="0" collapsed="false">
      <c r="A1708" s="39"/>
      <c r="B1708" s="41"/>
      <c r="C1708" s="40"/>
      <c r="D1708" s="40"/>
      <c r="E1708" s="40"/>
      <c r="F1708" s="42"/>
      <c r="G1708" s="39"/>
      <c r="H1708" s="40"/>
      <c r="I1708" s="40"/>
      <c r="J1708" s="40"/>
      <c r="K1708" s="41"/>
      <c r="L1708" s="39"/>
      <c r="M1708" s="48" t="str">
        <f aca="false">IF($E1708="","",IFERROR(INDEX(Parâmetros!$C$15:$C$20,MATCH($P1708,Parâmetros!$B$15:$B$20,0)),""))</f>
        <v/>
      </c>
      <c r="N1708" s="46" t="str">
        <f aca="false">IF($E1708="","",IF($P1708="","",IF($P1708&gt;=8,"Alta",IF($P1708&gt;=5,"Média","Baixa"))))</f>
        <v/>
      </c>
      <c r="O1708" s="46" t="str">
        <f aca="false">IF($E1708="","",IF(AND(Parâmetros!$C$5&gt;0,$P1708&lt;&gt;"",$P1708&gt;=Parâmetros!$C$5),"Sim","Não"))</f>
        <v/>
      </c>
      <c r="P1708" s="45" t="str">
        <f aca="false">IF($E1708="","",IF($G1708="","",IF($G1708="NOK",$F1708,0)))</f>
        <v/>
      </c>
      <c r="Q1708" s="46" t="str">
        <f aca="false">IF($E1708="","",IF($O1708&lt;&gt;"Sim","",COUNTIF($O$3:$O1708,"Sim")))</f>
        <v/>
      </c>
      <c r="R1708" s="47" t="n">
        <f aca="false">IF($P1708="",0,$P1708)</f>
        <v>0</v>
      </c>
    </row>
    <row r="1709" customFormat="false" ht="18" hidden="false" customHeight="true" outlineLevel="0" collapsed="false">
      <c r="A1709" s="39"/>
      <c r="B1709" s="41"/>
      <c r="C1709" s="40"/>
      <c r="D1709" s="40"/>
      <c r="E1709" s="40"/>
      <c r="F1709" s="42"/>
      <c r="G1709" s="39"/>
      <c r="H1709" s="40"/>
      <c r="I1709" s="40"/>
      <c r="J1709" s="40"/>
      <c r="K1709" s="41"/>
      <c r="L1709" s="39"/>
      <c r="M1709" s="48" t="str">
        <f aca="false">IF($E1709="","",IFERROR(INDEX(Parâmetros!$C$15:$C$20,MATCH($P1709,Parâmetros!$B$15:$B$20,0)),""))</f>
        <v/>
      </c>
      <c r="N1709" s="46" t="str">
        <f aca="false">IF($E1709="","",IF($P1709="","",IF($P1709&gt;=8,"Alta",IF($P1709&gt;=5,"Média","Baixa"))))</f>
        <v/>
      </c>
      <c r="O1709" s="46" t="str">
        <f aca="false">IF($E1709="","",IF(AND(Parâmetros!$C$5&gt;0,$P1709&lt;&gt;"",$P1709&gt;=Parâmetros!$C$5),"Sim","Não"))</f>
        <v/>
      </c>
      <c r="P1709" s="45" t="str">
        <f aca="false">IF($E1709="","",IF($G1709="","",IF($G1709="NOK",$F1709,0)))</f>
        <v/>
      </c>
      <c r="Q1709" s="46" t="str">
        <f aca="false">IF($E1709="","",IF($O1709&lt;&gt;"Sim","",COUNTIF($O$3:$O1709,"Sim")))</f>
        <v/>
      </c>
      <c r="R1709" s="47" t="n">
        <f aca="false">IF($P1709="",0,$P1709)</f>
        <v>0</v>
      </c>
    </row>
    <row r="1710" customFormat="false" ht="18" hidden="false" customHeight="true" outlineLevel="0" collapsed="false">
      <c r="A1710" s="39"/>
      <c r="B1710" s="41"/>
      <c r="C1710" s="40"/>
      <c r="D1710" s="40"/>
      <c r="E1710" s="40"/>
      <c r="F1710" s="42"/>
      <c r="G1710" s="39"/>
      <c r="H1710" s="40"/>
      <c r="I1710" s="40"/>
      <c r="J1710" s="40"/>
      <c r="K1710" s="41"/>
      <c r="L1710" s="39"/>
      <c r="M1710" s="48" t="str">
        <f aca="false">IF($E1710="","",IFERROR(INDEX(Parâmetros!$C$15:$C$20,MATCH($P1710,Parâmetros!$B$15:$B$20,0)),""))</f>
        <v/>
      </c>
      <c r="N1710" s="46" t="str">
        <f aca="false">IF($E1710="","",IF($P1710="","",IF($P1710&gt;=8,"Alta",IF($P1710&gt;=5,"Média","Baixa"))))</f>
        <v/>
      </c>
      <c r="O1710" s="46" t="str">
        <f aca="false">IF($E1710="","",IF(AND(Parâmetros!$C$5&gt;0,$P1710&lt;&gt;"",$P1710&gt;=Parâmetros!$C$5),"Sim","Não"))</f>
        <v/>
      </c>
      <c r="P1710" s="45" t="str">
        <f aca="false">IF($E1710="","",IF($G1710="","",IF($G1710="NOK",$F1710,0)))</f>
        <v/>
      </c>
      <c r="Q1710" s="46" t="str">
        <f aca="false">IF($E1710="","",IF($O1710&lt;&gt;"Sim","",COUNTIF($O$3:$O1710,"Sim")))</f>
        <v/>
      </c>
      <c r="R1710" s="47" t="n">
        <f aca="false">IF($P1710="",0,$P1710)</f>
        <v>0</v>
      </c>
    </row>
    <row r="1711" customFormat="false" ht="18" hidden="false" customHeight="true" outlineLevel="0" collapsed="false">
      <c r="A1711" s="39"/>
      <c r="B1711" s="41"/>
      <c r="C1711" s="40"/>
      <c r="D1711" s="40"/>
      <c r="E1711" s="40"/>
      <c r="F1711" s="42"/>
      <c r="G1711" s="39"/>
      <c r="H1711" s="40"/>
      <c r="I1711" s="40"/>
      <c r="J1711" s="40"/>
      <c r="K1711" s="41"/>
      <c r="L1711" s="39"/>
      <c r="M1711" s="48" t="str">
        <f aca="false">IF($E1711="","",IFERROR(INDEX(Parâmetros!$C$15:$C$20,MATCH($P1711,Parâmetros!$B$15:$B$20,0)),""))</f>
        <v/>
      </c>
      <c r="N1711" s="46" t="str">
        <f aca="false">IF($E1711="","",IF($P1711="","",IF($P1711&gt;=8,"Alta",IF($P1711&gt;=5,"Média","Baixa"))))</f>
        <v/>
      </c>
      <c r="O1711" s="46" t="str">
        <f aca="false">IF($E1711="","",IF(AND(Parâmetros!$C$5&gt;0,$P1711&lt;&gt;"",$P1711&gt;=Parâmetros!$C$5),"Sim","Não"))</f>
        <v/>
      </c>
      <c r="P1711" s="45" t="str">
        <f aca="false">IF($E1711="","",IF($G1711="","",IF($G1711="NOK",$F1711,0)))</f>
        <v/>
      </c>
      <c r="Q1711" s="46" t="str">
        <f aca="false">IF($E1711="","",IF($O1711&lt;&gt;"Sim","",COUNTIF($O$3:$O1711,"Sim")))</f>
        <v/>
      </c>
      <c r="R1711" s="47" t="n">
        <f aca="false">IF($P1711="",0,$P1711)</f>
        <v>0</v>
      </c>
    </row>
    <row r="1712" customFormat="false" ht="18" hidden="false" customHeight="true" outlineLevel="0" collapsed="false">
      <c r="A1712" s="39"/>
      <c r="B1712" s="41"/>
      <c r="C1712" s="40"/>
      <c r="D1712" s="40"/>
      <c r="E1712" s="40"/>
      <c r="F1712" s="42"/>
      <c r="G1712" s="39"/>
      <c r="H1712" s="40"/>
      <c r="I1712" s="40"/>
      <c r="J1712" s="40"/>
      <c r="K1712" s="41"/>
      <c r="L1712" s="39"/>
      <c r="M1712" s="48" t="str">
        <f aca="false">IF($E1712="","",IFERROR(INDEX(Parâmetros!$C$15:$C$20,MATCH($P1712,Parâmetros!$B$15:$B$20,0)),""))</f>
        <v/>
      </c>
      <c r="N1712" s="46" t="str">
        <f aca="false">IF($E1712="","",IF($P1712="","",IF($P1712&gt;=8,"Alta",IF($P1712&gt;=5,"Média","Baixa"))))</f>
        <v/>
      </c>
      <c r="O1712" s="46" t="str">
        <f aca="false">IF($E1712="","",IF(AND(Parâmetros!$C$5&gt;0,$P1712&lt;&gt;"",$P1712&gt;=Parâmetros!$C$5),"Sim","Não"))</f>
        <v/>
      </c>
      <c r="P1712" s="45" t="str">
        <f aca="false">IF($E1712="","",IF($G1712="","",IF($G1712="NOK",$F1712,0)))</f>
        <v/>
      </c>
      <c r="Q1712" s="46" t="str">
        <f aca="false">IF($E1712="","",IF($O1712&lt;&gt;"Sim","",COUNTIF($O$3:$O1712,"Sim")))</f>
        <v/>
      </c>
      <c r="R1712" s="47" t="n">
        <f aca="false">IF($P1712="",0,$P1712)</f>
        <v>0</v>
      </c>
    </row>
    <row r="1713" customFormat="false" ht="18" hidden="false" customHeight="true" outlineLevel="0" collapsed="false">
      <c r="A1713" s="39"/>
      <c r="B1713" s="41"/>
      <c r="C1713" s="40"/>
      <c r="D1713" s="40"/>
      <c r="E1713" s="40"/>
      <c r="F1713" s="42"/>
      <c r="G1713" s="39"/>
      <c r="H1713" s="40"/>
      <c r="I1713" s="40"/>
      <c r="J1713" s="40"/>
      <c r="K1713" s="41"/>
      <c r="L1713" s="39"/>
      <c r="M1713" s="48" t="str">
        <f aca="false">IF($E1713="","",IFERROR(INDEX(Parâmetros!$C$15:$C$20,MATCH($P1713,Parâmetros!$B$15:$B$20,0)),""))</f>
        <v/>
      </c>
      <c r="N1713" s="46" t="str">
        <f aca="false">IF($E1713="","",IF($P1713="","",IF($P1713&gt;=8,"Alta",IF($P1713&gt;=5,"Média","Baixa"))))</f>
        <v/>
      </c>
      <c r="O1713" s="46" t="str">
        <f aca="false">IF($E1713="","",IF(AND(Parâmetros!$C$5&gt;0,$P1713&lt;&gt;"",$P1713&gt;=Parâmetros!$C$5),"Sim","Não"))</f>
        <v/>
      </c>
      <c r="P1713" s="45" t="str">
        <f aca="false">IF($E1713="","",IF($G1713="","",IF($G1713="NOK",$F1713,0)))</f>
        <v/>
      </c>
      <c r="Q1713" s="46" t="str">
        <f aca="false">IF($E1713="","",IF($O1713&lt;&gt;"Sim","",COUNTIF($O$3:$O1713,"Sim")))</f>
        <v/>
      </c>
      <c r="R1713" s="47" t="n">
        <f aca="false">IF($P1713="",0,$P1713)</f>
        <v>0</v>
      </c>
    </row>
    <row r="1714" customFormat="false" ht="18" hidden="false" customHeight="true" outlineLevel="0" collapsed="false">
      <c r="A1714" s="39"/>
      <c r="B1714" s="41"/>
      <c r="C1714" s="40"/>
      <c r="D1714" s="40"/>
      <c r="E1714" s="40"/>
      <c r="F1714" s="42"/>
      <c r="G1714" s="39"/>
      <c r="H1714" s="40"/>
      <c r="I1714" s="40"/>
      <c r="J1714" s="40"/>
      <c r="K1714" s="41"/>
      <c r="L1714" s="39"/>
      <c r="M1714" s="48" t="str">
        <f aca="false">IF($E1714="","",IFERROR(INDEX(Parâmetros!$C$15:$C$20,MATCH($P1714,Parâmetros!$B$15:$B$20,0)),""))</f>
        <v/>
      </c>
      <c r="N1714" s="46" t="str">
        <f aca="false">IF($E1714="","",IF($P1714="","",IF($P1714&gt;=8,"Alta",IF($P1714&gt;=5,"Média","Baixa"))))</f>
        <v/>
      </c>
      <c r="O1714" s="46" t="str">
        <f aca="false">IF($E1714="","",IF(AND(Parâmetros!$C$5&gt;0,$P1714&lt;&gt;"",$P1714&gt;=Parâmetros!$C$5),"Sim","Não"))</f>
        <v/>
      </c>
      <c r="P1714" s="45" t="str">
        <f aca="false">IF($E1714="","",IF($G1714="","",IF($G1714="NOK",$F1714,0)))</f>
        <v/>
      </c>
      <c r="Q1714" s="46" t="str">
        <f aca="false">IF($E1714="","",IF($O1714&lt;&gt;"Sim","",COUNTIF($O$3:$O1714,"Sim")))</f>
        <v/>
      </c>
      <c r="R1714" s="47" t="n">
        <f aca="false">IF($P1714="",0,$P1714)</f>
        <v>0</v>
      </c>
    </row>
    <row r="1715" customFormat="false" ht="18" hidden="false" customHeight="true" outlineLevel="0" collapsed="false">
      <c r="A1715" s="39"/>
      <c r="B1715" s="41"/>
      <c r="C1715" s="40"/>
      <c r="D1715" s="40"/>
      <c r="E1715" s="40"/>
      <c r="F1715" s="42"/>
      <c r="G1715" s="39"/>
      <c r="H1715" s="40"/>
      <c r="I1715" s="40"/>
      <c r="J1715" s="40"/>
      <c r="K1715" s="41"/>
      <c r="L1715" s="39"/>
      <c r="M1715" s="48" t="str">
        <f aca="false">IF($E1715="","",IFERROR(INDEX(Parâmetros!$C$15:$C$20,MATCH($P1715,Parâmetros!$B$15:$B$20,0)),""))</f>
        <v/>
      </c>
      <c r="N1715" s="46" t="str">
        <f aca="false">IF($E1715="","",IF($P1715="","",IF($P1715&gt;=8,"Alta",IF($P1715&gt;=5,"Média","Baixa"))))</f>
        <v/>
      </c>
      <c r="O1715" s="46" t="str">
        <f aca="false">IF($E1715="","",IF(AND(Parâmetros!$C$5&gt;0,$P1715&lt;&gt;"",$P1715&gt;=Parâmetros!$C$5),"Sim","Não"))</f>
        <v/>
      </c>
      <c r="P1715" s="45" t="str">
        <f aca="false">IF($E1715="","",IF($G1715="","",IF($G1715="NOK",$F1715,0)))</f>
        <v/>
      </c>
      <c r="Q1715" s="46" t="str">
        <f aca="false">IF($E1715="","",IF($O1715&lt;&gt;"Sim","",COUNTIF($O$3:$O1715,"Sim")))</f>
        <v/>
      </c>
      <c r="R1715" s="47" t="n">
        <f aca="false">IF($P1715="",0,$P1715)</f>
        <v>0</v>
      </c>
    </row>
    <row r="1716" customFormat="false" ht="18" hidden="false" customHeight="true" outlineLevel="0" collapsed="false">
      <c r="A1716" s="39"/>
      <c r="B1716" s="41"/>
      <c r="C1716" s="40"/>
      <c r="D1716" s="40"/>
      <c r="E1716" s="40"/>
      <c r="F1716" s="42"/>
      <c r="G1716" s="39"/>
      <c r="H1716" s="40"/>
      <c r="I1716" s="40"/>
      <c r="J1716" s="40"/>
      <c r="K1716" s="41"/>
      <c r="L1716" s="39"/>
      <c r="M1716" s="48" t="str">
        <f aca="false">IF($E1716="","",IFERROR(INDEX(Parâmetros!$C$15:$C$20,MATCH($P1716,Parâmetros!$B$15:$B$20,0)),""))</f>
        <v/>
      </c>
      <c r="N1716" s="46" t="str">
        <f aca="false">IF($E1716="","",IF($P1716="","",IF($P1716&gt;=8,"Alta",IF($P1716&gt;=5,"Média","Baixa"))))</f>
        <v/>
      </c>
      <c r="O1716" s="46" t="str">
        <f aca="false">IF($E1716="","",IF(AND(Parâmetros!$C$5&gt;0,$P1716&lt;&gt;"",$P1716&gt;=Parâmetros!$C$5),"Sim","Não"))</f>
        <v/>
      </c>
      <c r="P1716" s="45" t="str">
        <f aca="false">IF($E1716="","",IF($G1716="","",IF($G1716="NOK",$F1716,0)))</f>
        <v/>
      </c>
      <c r="Q1716" s="46" t="str">
        <f aca="false">IF($E1716="","",IF($O1716&lt;&gt;"Sim","",COUNTIF($O$3:$O1716,"Sim")))</f>
        <v/>
      </c>
      <c r="R1716" s="47" t="n">
        <f aca="false">IF($P1716="",0,$P1716)</f>
        <v>0</v>
      </c>
    </row>
    <row r="1717" customFormat="false" ht="18" hidden="false" customHeight="true" outlineLevel="0" collapsed="false">
      <c r="A1717" s="39"/>
      <c r="B1717" s="41"/>
      <c r="C1717" s="40"/>
      <c r="D1717" s="40"/>
      <c r="E1717" s="40"/>
      <c r="F1717" s="42"/>
      <c r="G1717" s="39"/>
      <c r="H1717" s="40"/>
      <c r="I1717" s="40"/>
      <c r="J1717" s="40"/>
      <c r="K1717" s="41"/>
      <c r="L1717" s="39"/>
      <c r="M1717" s="48" t="str">
        <f aca="false">IF($E1717="","",IFERROR(INDEX(Parâmetros!$C$15:$C$20,MATCH($P1717,Parâmetros!$B$15:$B$20,0)),""))</f>
        <v/>
      </c>
      <c r="N1717" s="46" t="str">
        <f aca="false">IF($E1717="","",IF($P1717="","",IF($P1717&gt;=8,"Alta",IF($P1717&gt;=5,"Média","Baixa"))))</f>
        <v/>
      </c>
      <c r="O1717" s="46" t="str">
        <f aca="false">IF($E1717="","",IF(AND(Parâmetros!$C$5&gt;0,$P1717&lt;&gt;"",$P1717&gt;=Parâmetros!$C$5),"Sim","Não"))</f>
        <v/>
      </c>
      <c r="P1717" s="45" t="str">
        <f aca="false">IF($E1717="","",IF($G1717="","",IF($G1717="NOK",$F1717,0)))</f>
        <v/>
      </c>
      <c r="Q1717" s="46" t="str">
        <f aca="false">IF($E1717="","",IF($O1717&lt;&gt;"Sim","",COUNTIF($O$3:$O1717,"Sim")))</f>
        <v/>
      </c>
      <c r="R1717" s="47" t="n">
        <f aca="false">IF($P1717="",0,$P1717)</f>
        <v>0</v>
      </c>
    </row>
    <row r="1718" customFormat="false" ht="18" hidden="false" customHeight="true" outlineLevel="0" collapsed="false">
      <c r="A1718" s="39"/>
      <c r="B1718" s="41"/>
      <c r="C1718" s="40"/>
      <c r="D1718" s="40"/>
      <c r="E1718" s="40"/>
      <c r="F1718" s="42"/>
      <c r="G1718" s="39"/>
      <c r="H1718" s="40"/>
      <c r="I1718" s="40"/>
      <c r="J1718" s="40"/>
      <c r="K1718" s="41"/>
      <c r="L1718" s="39"/>
      <c r="M1718" s="48" t="str">
        <f aca="false">IF($E1718="","",IFERROR(INDEX(Parâmetros!$C$15:$C$20,MATCH($P1718,Parâmetros!$B$15:$B$20,0)),""))</f>
        <v/>
      </c>
      <c r="N1718" s="46" t="str">
        <f aca="false">IF($E1718="","",IF($P1718="","",IF($P1718&gt;=8,"Alta",IF($P1718&gt;=5,"Média","Baixa"))))</f>
        <v/>
      </c>
      <c r="O1718" s="46" t="str">
        <f aca="false">IF($E1718="","",IF(AND(Parâmetros!$C$5&gt;0,$P1718&lt;&gt;"",$P1718&gt;=Parâmetros!$C$5),"Sim","Não"))</f>
        <v/>
      </c>
      <c r="P1718" s="45" t="str">
        <f aca="false">IF($E1718="","",IF($G1718="","",IF($G1718="NOK",$F1718,0)))</f>
        <v/>
      </c>
      <c r="Q1718" s="46" t="str">
        <f aca="false">IF($E1718="","",IF($O1718&lt;&gt;"Sim","",COUNTIF($O$3:$O1718,"Sim")))</f>
        <v/>
      </c>
      <c r="R1718" s="47" t="n">
        <f aca="false">IF($P1718="",0,$P1718)</f>
        <v>0</v>
      </c>
    </row>
    <row r="1719" customFormat="false" ht="18" hidden="false" customHeight="true" outlineLevel="0" collapsed="false">
      <c r="A1719" s="39"/>
      <c r="B1719" s="41"/>
      <c r="C1719" s="40"/>
      <c r="D1719" s="40"/>
      <c r="E1719" s="40"/>
      <c r="F1719" s="42"/>
      <c r="G1719" s="39"/>
      <c r="H1719" s="40"/>
      <c r="I1719" s="40"/>
      <c r="J1719" s="40"/>
      <c r="K1719" s="41"/>
      <c r="L1719" s="39"/>
      <c r="M1719" s="48" t="str">
        <f aca="false">IF($E1719="","",IFERROR(INDEX(Parâmetros!$C$15:$C$20,MATCH($P1719,Parâmetros!$B$15:$B$20,0)),""))</f>
        <v/>
      </c>
      <c r="N1719" s="46" t="str">
        <f aca="false">IF($E1719="","",IF($P1719="","",IF($P1719&gt;=8,"Alta",IF($P1719&gt;=5,"Média","Baixa"))))</f>
        <v/>
      </c>
      <c r="O1719" s="46" t="str">
        <f aca="false">IF($E1719="","",IF(AND(Parâmetros!$C$5&gt;0,$P1719&lt;&gt;"",$P1719&gt;=Parâmetros!$C$5),"Sim","Não"))</f>
        <v/>
      </c>
      <c r="P1719" s="45" t="str">
        <f aca="false">IF($E1719="","",IF($G1719="","",IF($G1719="NOK",$F1719,0)))</f>
        <v/>
      </c>
      <c r="Q1719" s="46" t="str">
        <f aca="false">IF($E1719="","",IF($O1719&lt;&gt;"Sim","",COUNTIF($O$3:$O1719,"Sim")))</f>
        <v/>
      </c>
      <c r="R1719" s="47" t="n">
        <f aca="false">IF($P1719="",0,$P1719)</f>
        <v>0</v>
      </c>
    </row>
    <row r="1720" customFormat="false" ht="18" hidden="false" customHeight="true" outlineLevel="0" collapsed="false">
      <c r="A1720" s="39"/>
      <c r="B1720" s="41"/>
      <c r="C1720" s="40"/>
      <c r="D1720" s="40"/>
      <c r="E1720" s="40"/>
      <c r="F1720" s="42"/>
      <c r="G1720" s="39"/>
      <c r="H1720" s="40"/>
      <c r="I1720" s="40"/>
      <c r="J1720" s="40"/>
      <c r="K1720" s="41"/>
      <c r="L1720" s="39"/>
      <c r="M1720" s="48" t="str">
        <f aca="false">IF($E1720="","",IFERROR(INDEX(Parâmetros!$C$15:$C$20,MATCH($P1720,Parâmetros!$B$15:$B$20,0)),""))</f>
        <v/>
      </c>
      <c r="N1720" s="46" t="str">
        <f aca="false">IF($E1720="","",IF($P1720="","",IF($P1720&gt;=8,"Alta",IF($P1720&gt;=5,"Média","Baixa"))))</f>
        <v/>
      </c>
      <c r="O1720" s="46" t="str">
        <f aca="false">IF($E1720="","",IF(AND(Parâmetros!$C$5&gt;0,$P1720&lt;&gt;"",$P1720&gt;=Parâmetros!$C$5),"Sim","Não"))</f>
        <v/>
      </c>
      <c r="P1720" s="45" t="str">
        <f aca="false">IF($E1720="","",IF($G1720="","",IF($G1720="NOK",$F1720,0)))</f>
        <v/>
      </c>
      <c r="Q1720" s="46" t="str">
        <f aca="false">IF($E1720="","",IF($O1720&lt;&gt;"Sim","",COUNTIF($O$3:$O1720,"Sim")))</f>
        <v/>
      </c>
      <c r="R1720" s="47" t="n">
        <f aca="false">IF($P1720="",0,$P1720)</f>
        <v>0</v>
      </c>
    </row>
    <row r="1721" customFormat="false" ht="18" hidden="false" customHeight="true" outlineLevel="0" collapsed="false">
      <c r="A1721" s="39"/>
      <c r="B1721" s="41"/>
      <c r="C1721" s="40"/>
      <c r="D1721" s="40"/>
      <c r="E1721" s="40"/>
      <c r="F1721" s="42"/>
      <c r="G1721" s="39"/>
      <c r="H1721" s="40"/>
      <c r="I1721" s="40"/>
      <c r="J1721" s="40"/>
      <c r="K1721" s="41"/>
      <c r="L1721" s="39"/>
      <c r="M1721" s="48" t="str">
        <f aca="false">IF($E1721="","",IFERROR(INDEX(Parâmetros!$C$15:$C$20,MATCH($P1721,Parâmetros!$B$15:$B$20,0)),""))</f>
        <v/>
      </c>
      <c r="N1721" s="46" t="str">
        <f aca="false">IF($E1721="","",IF($P1721="","",IF($P1721&gt;=8,"Alta",IF($P1721&gt;=5,"Média","Baixa"))))</f>
        <v/>
      </c>
      <c r="O1721" s="46" t="str">
        <f aca="false">IF($E1721="","",IF(AND(Parâmetros!$C$5&gt;0,$P1721&lt;&gt;"",$P1721&gt;=Parâmetros!$C$5),"Sim","Não"))</f>
        <v/>
      </c>
      <c r="P1721" s="45" t="str">
        <f aca="false">IF($E1721="","",IF($G1721="","",IF($G1721="NOK",$F1721,0)))</f>
        <v/>
      </c>
      <c r="Q1721" s="46" t="str">
        <f aca="false">IF($E1721="","",IF($O1721&lt;&gt;"Sim","",COUNTIF($O$3:$O1721,"Sim")))</f>
        <v/>
      </c>
      <c r="R1721" s="47" t="n">
        <f aca="false">IF($P1721="",0,$P1721)</f>
        <v>0</v>
      </c>
    </row>
    <row r="1722" customFormat="false" ht="18" hidden="false" customHeight="true" outlineLevel="0" collapsed="false">
      <c r="A1722" s="39"/>
      <c r="B1722" s="41"/>
      <c r="C1722" s="40"/>
      <c r="D1722" s="40"/>
      <c r="E1722" s="40"/>
      <c r="F1722" s="42"/>
      <c r="G1722" s="39"/>
      <c r="H1722" s="40"/>
      <c r="I1722" s="40"/>
      <c r="J1722" s="40"/>
      <c r="K1722" s="41"/>
      <c r="L1722" s="39"/>
      <c r="M1722" s="48" t="str">
        <f aca="false">IF($E1722="","",IFERROR(INDEX(Parâmetros!$C$15:$C$20,MATCH($P1722,Parâmetros!$B$15:$B$20,0)),""))</f>
        <v/>
      </c>
      <c r="N1722" s="46" t="str">
        <f aca="false">IF($E1722="","",IF($P1722="","",IF($P1722&gt;=8,"Alta",IF($P1722&gt;=5,"Média","Baixa"))))</f>
        <v/>
      </c>
      <c r="O1722" s="46" t="str">
        <f aca="false">IF($E1722="","",IF(AND(Parâmetros!$C$5&gt;0,$P1722&lt;&gt;"",$P1722&gt;=Parâmetros!$C$5),"Sim","Não"))</f>
        <v/>
      </c>
      <c r="P1722" s="45" t="str">
        <f aca="false">IF($E1722="","",IF($G1722="","",IF($G1722="NOK",$F1722,0)))</f>
        <v/>
      </c>
      <c r="Q1722" s="46" t="str">
        <f aca="false">IF($E1722="","",IF($O1722&lt;&gt;"Sim","",COUNTIF($O$3:$O1722,"Sim")))</f>
        <v/>
      </c>
      <c r="R1722" s="47" t="n">
        <f aca="false">IF($P1722="",0,$P1722)</f>
        <v>0</v>
      </c>
    </row>
    <row r="1723" customFormat="false" ht="18" hidden="false" customHeight="true" outlineLevel="0" collapsed="false">
      <c r="A1723" s="39"/>
      <c r="B1723" s="41"/>
      <c r="C1723" s="40"/>
      <c r="D1723" s="40"/>
      <c r="E1723" s="40"/>
      <c r="F1723" s="42"/>
      <c r="G1723" s="39"/>
      <c r="H1723" s="40"/>
      <c r="I1723" s="40"/>
      <c r="J1723" s="40"/>
      <c r="K1723" s="41"/>
      <c r="L1723" s="39"/>
      <c r="M1723" s="48" t="str">
        <f aca="false">IF($E1723="","",IFERROR(INDEX(Parâmetros!$C$15:$C$20,MATCH($P1723,Parâmetros!$B$15:$B$20,0)),""))</f>
        <v/>
      </c>
      <c r="N1723" s="46" t="str">
        <f aca="false">IF($E1723="","",IF($P1723="","",IF($P1723&gt;=8,"Alta",IF($P1723&gt;=5,"Média","Baixa"))))</f>
        <v/>
      </c>
      <c r="O1723" s="46" t="str">
        <f aca="false">IF($E1723="","",IF(AND(Parâmetros!$C$5&gt;0,$P1723&lt;&gt;"",$P1723&gt;=Parâmetros!$C$5),"Sim","Não"))</f>
        <v/>
      </c>
      <c r="P1723" s="45" t="str">
        <f aca="false">IF($E1723="","",IF($G1723="","",IF($G1723="NOK",$F1723,0)))</f>
        <v/>
      </c>
      <c r="Q1723" s="46" t="str">
        <f aca="false">IF($E1723="","",IF($O1723&lt;&gt;"Sim","",COUNTIF($O$3:$O1723,"Sim")))</f>
        <v/>
      </c>
      <c r="R1723" s="47" t="n">
        <f aca="false">IF($P1723="",0,$P1723)</f>
        <v>0</v>
      </c>
    </row>
    <row r="1724" customFormat="false" ht="18" hidden="false" customHeight="true" outlineLevel="0" collapsed="false">
      <c r="A1724" s="39"/>
      <c r="B1724" s="41"/>
      <c r="C1724" s="40"/>
      <c r="D1724" s="40"/>
      <c r="E1724" s="40"/>
      <c r="F1724" s="42"/>
      <c r="G1724" s="39"/>
      <c r="H1724" s="40"/>
      <c r="I1724" s="40"/>
      <c r="J1724" s="40"/>
      <c r="K1724" s="41"/>
      <c r="L1724" s="39"/>
      <c r="M1724" s="48" t="str">
        <f aca="false">IF($E1724="","",IFERROR(INDEX(Parâmetros!$C$15:$C$20,MATCH($P1724,Parâmetros!$B$15:$B$20,0)),""))</f>
        <v/>
      </c>
      <c r="N1724" s="46" t="str">
        <f aca="false">IF($E1724="","",IF($P1724="","",IF($P1724&gt;=8,"Alta",IF($P1724&gt;=5,"Média","Baixa"))))</f>
        <v/>
      </c>
      <c r="O1724" s="46" t="str">
        <f aca="false">IF($E1724="","",IF(AND(Parâmetros!$C$5&gt;0,$P1724&lt;&gt;"",$P1724&gt;=Parâmetros!$C$5),"Sim","Não"))</f>
        <v/>
      </c>
      <c r="P1724" s="45" t="str">
        <f aca="false">IF($E1724="","",IF($G1724="","",IF($G1724="NOK",$F1724,0)))</f>
        <v/>
      </c>
      <c r="Q1724" s="46" t="str">
        <f aca="false">IF($E1724="","",IF($O1724&lt;&gt;"Sim","",COUNTIF($O$3:$O1724,"Sim")))</f>
        <v/>
      </c>
      <c r="R1724" s="47" t="n">
        <f aca="false">IF($P1724="",0,$P1724)</f>
        <v>0</v>
      </c>
    </row>
    <row r="1725" customFormat="false" ht="18" hidden="false" customHeight="true" outlineLevel="0" collapsed="false">
      <c r="A1725" s="39"/>
      <c r="B1725" s="41"/>
      <c r="C1725" s="40"/>
      <c r="D1725" s="40"/>
      <c r="E1725" s="40"/>
      <c r="F1725" s="42"/>
      <c r="G1725" s="39"/>
      <c r="H1725" s="40"/>
      <c r="I1725" s="40"/>
      <c r="J1725" s="40"/>
      <c r="K1725" s="41"/>
      <c r="L1725" s="39"/>
      <c r="M1725" s="48" t="str">
        <f aca="false">IF($E1725="","",IFERROR(INDEX(Parâmetros!$C$15:$C$20,MATCH($P1725,Parâmetros!$B$15:$B$20,0)),""))</f>
        <v/>
      </c>
      <c r="N1725" s="46" t="str">
        <f aca="false">IF($E1725="","",IF($P1725="","",IF($P1725&gt;=8,"Alta",IF($P1725&gt;=5,"Média","Baixa"))))</f>
        <v/>
      </c>
      <c r="O1725" s="46" t="str">
        <f aca="false">IF($E1725="","",IF(AND(Parâmetros!$C$5&gt;0,$P1725&lt;&gt;"",$P1725&gt;=Parâmetros!$C$5),"Sim","Não"))</f>
        <v/>
      </c>
      <c r="P1725" s="45" t="str">
        <f aca="false">IF($E1725="","",IF($G1725="","",IF($G1725="NOK",$F1725,0)))</f>
        <v/>
      </c>
      <c r="Q1725" s="46" t="str">
        <f aca="false">IF($E1725="","",IF($O1725&lt;&gt;"Sim","",COUNTIF($O$3:$O1725,"Sim")))</f>
        <v/>
      </c>
      <c r="R1725" s="47" t="n">
        <f aca="false">IF($P1725="",0,$P1725)</f>
        <v>0</v>
      </c>
    </row>
    <row r="1726" customFormat="false" ht="18" hidden="false" customHeight="true" outlineLevel="0" collapsed="false">
      <c r="A1726" s="39"/>
      <c r="B1726" s="41"/>
      <c r="C1726" s="40"/>
      <c r="D1726" s="40"/>
      <c r="E1726" s="40"/>
      <c r="F1726" s="42"/>
      <c r="G1726" s="39"/>
      <c r="H1726" s="40"/>
      <c r="I1726" s="40"/>
      <c r="J1726" s="40"/>
      <c r="K1726" s="41"/>
      <c r="L1726" s="39"/>
      <c r="M1726" s="48" t="str">
        <f aca="false">IF($E1726="","",IFERROR(INDEX(Parâmetros!$C$15:$C$20,MATCH($P1726,Parâmetros!$B$15:$B$20,0)),""))</f>
        <v/>
      </c>
      <c r="N1726" s="46" t="str">
        <f aca="false">IF($E1726="","",IF($P1726="","",IF($P1726&gt;=8,"Alta",IF($P1726&gt;=5,"Média","Baixa"))))</f>
        <v/>
      </c>
      <c r="O1726" s="46" t="str">
        <f aca="false">IF($E1726="","",IF(AND(Parâmetros!$C$5&gt;0,$P1726&lt;&gt;"",$P1726&gt;=Parâmetros!$C$5),"Sim","Não"))</f>
        <v/>
      </c>
      <c r="P1726" s="45" t="str">
        <f aca="false">IF($E1726="","",IF($G1726="","",IF($G1726="NOK",$F1726,0)))</f>
        <v/>
      </c>
      <c r="Q1726" s="46" t="str">
        <f aca="false">IF($E1726="","",IF($O1726&lt;&gt;"Sim","",COUNTIF($O$3:$O1726,"Sim")))</f>
        <v/>
      </c>
      <c r="R1726" s="47" t="n">
        <f aca="false">IF($P1726="",0,$P1726)</f>
        <v>0</v>
      </c>
    </row>
    <row r="1727" customFormat="false" ht="18" hidden="false" customHeight="true" outlineLevel="0" collapsed="false">
      <c r="A1727" s="39"/>
      <c r="B1727" s="41"/>
      <c r="C1727" s="40"/>
      <c r="D1727" s="40"/>
      <c r="E1727" s="40"/>
      <c r="F1727" s="42"/>
      <c r="G1727" s="39"/>
      <c r="H1727" s="40"/>
      <c r="I1727" s="40"/>
      <c r="J1727" s="40"/>
      <c r="K1727" s="41"/>
      <c r="L1727" s="39"/>
      <c r="M1727" s="48" t="str">
        <f aca="false">IF($E1727="","",IFERROR(INDEX(Parâmetros!$C$15:$C$20,MATCH($P1727,Parâmetros!$B$15:$B$20,0)),""))</f>
        <v/>
      </c>
      <c r="N1727" s="46" t="str">
        <f aca="false">IF($E1727="","",IF($P1727="","",IF($P1727&gt;=8,"Alta",IF($P1727&gt;=5,"Média","Baixa"))))</f>
        <v/>
      </c>
      <c r="O1727" s="46" t="str">
        <f aca="false">IF($E1727="","",IF(AND(Parâmetros!$C$5&gt;0,$P1727&lt;&gt;"",$P1727&gt;=Parâmetros!$C$5),"Sim","Não"))</f>
        <v/>
      </c>
      <c r="P1727" s="45" t="str">
        <f aca="false">IF($E1727="","",IF($G1727="","",IF($G1727="NOK",$F1727,0)))</f>
        <v/>
      </c>
      <c r="Q1727" s="46" t="str">
        <f aca="false">IF($E1727="","",IF($O1727&lt;&gt;"Sim","",COUNTIF($O$3:$O1727,"Sim")))</f>
        <v/>
      </c>
      <c r="R1727" s="47" t="n">
        <f aca="false">IF($P1727="",0,$P1727)</f>
        <v>0</v>
      </c>
    </row>
    <row r="1728" customFormat="false" ht="18" hidden="false" customHeight="true" outlineLevel="0" collapsed="false">
      <c r="A1728" s="39"/>
      <c r="B1728" s="41"/>
      <c r="C1728" s="40"/>
      <c r="D1728" s="40"/>
      <c r="E1728" s="40"/>
      <c r="F1728" s="42"/>
      <c r="G1728" s="39"/>
      <c r="H1728" s="40"/>
      <c r="I1728" s="40"/>
      <c r="J1728" s="40"/>
      <c r="K1728" s="41"/>
      <c r="L1728" s="39"/>
      <c r="M1728" s="48" t="str">
        <f aca="false">IF($E1728="","",IFERROR(INDEX(Parâmetros!$C$15:$C$20,MATCH($P1728,Parâmetros!$B$15:$B$20,0)),""))</f>
        <v/>
      </c>
      <c r="N1728" s="46" t="str">
        <f aca="false">IF($E1728="","",IF($P1728="","",IF($P1728&gt;=8,"Alta",IF($P1728&gt;=5,"Média","Baixa"))))</f>
        <v/>
      </c>
      <c r="O1728" s="46" t="str">
        <f aca="false">IF($E1728="","",IF(AND(Parâmetros!$C$5&gt;0,$P1728&lt;&gt;"",$P1728&gt;=Parâmetros!$C$5),"Sim","Não"))</f>
        <v/>
      </c>
      <c r="P1728" s="45" t="str">
        <f aca="false">IF($E1728="","",IF($G1728="","",IF($G1728="NOK",$F1728,0)))</f>
        <v/>
      </c>
      <c r="Q1728" s="46" t="str">
        <f aca="false">IF($E1728="","",IF($O1728&lt;&gt;"Sim","",COUNTIF($O$3:$O1728,"Sim")))</f>
        <v/>
      </c>
      <c r="R1728" s="47" t="n">
        <f aca="false">IF($P1728="",0,$P1728)</f>
        <v>0</v>
      </c>
    </row>
    <row r="1729" customFormat="false" ht="18" hidden="false" customHeight="true" outlineLevel="0" collapsed="false">
      <c r="A1729" s="39"/>
      <c r="B1729" s="41"/>
      <c r="C1729" s="40"/>
      <c r="D1729" s="40"/>
      <c r="E1729" s="40"/>
      <c r="F1729" s="42"/>
      <c r="G1729" s="39"/>
      <c r="H1729" s="40"/>
      <c r="I1729" s="40"/>
      <c r="J1729" s="40"/>
      <c r="K1729" s="41"/>
      <c r="L1729" s="39"/>
      <c r="M1729" s="48" t="str">
        <f aca="false">IF($E1729="","",IFERROR(INDEX(Parâmetros!$C$15:$C$20,MATCH($P1729,Parâmetros!$B$15:$B$20,0)),""))</f>
        <v/>
      </c>
      <c r="N1729" s="46" t="str">
        <f aca="false">IF($E1729="","",IF($P1729="","",IF($P1729&gt;=8,"Alta",IF($P1729&gt;=5,"Média","Baixa"))))</f>
        <v/>
      </c>
      <c r="O1729" s="46" t="str">
        <f aca="false">IF($E1729="","",IF(AND(Parâmetros!$C$5&gt;0,$P1729&lt;&gt;"",$P1729&gt;=Parâmetros!$C$5),"Sim","Não"))</f>
        <v/>
      </c>
      <c r="P1729" s="45" t="str">
        <f aca="false">IF($E1729="","",IF($G1729="","",IF($G1729="NOK",$F1729,0)))</f>
        <v/>
      </c>
      <c r="Q1729" s="46" t="str">
        <f aca="false">IF($E1729="","",IF($O1729&lt;&gt;"Sim","",COUNTIF($O$3:$O1729,"Sim")))</f>
        <v/>
      </c>
      <c r="R1729" s="47" t="n">
        <f aca="false">IF($P1729="",0,$P1729)</f>
        <v>0</v>
      </c>
    </row>
    <row r="1730" customFormat="false" ht="18" hidden="false" customHeight="true" outlineLevel="0" collapsed="false">
      <c r="A1730" s="39"/>
      <c r="B1730" s="41"/>
      <c r="C1730" s="40"/>
      <c r="D1730" s="40"/>
      <c r="E1730" s="40"/>
      <c r="F1730" s="42"/>
      <c r="G1730" s="39"/>
      <c r="H1730" s="40"/>
      <c r="I1730" s="40"/>
      <c r="J1730" s="40"/>
      <c r="K1730" s="41"/>
      <c r="L1730" s="39"/>
      <c r="M1730" s="48" t="str">
        <f aca="false">IF($E1730="","",IFERROR(INDEX(Parâmetros!$C$15:$C$20,MATCH($P1730,Parâmetros!$B$15:$B$20,0)),""))</f>
        <v/>
      </c>
      <c r="N1730" s="46" t="str">
        <f aca="false">IF($E1730="","",IF($P1730="","",IF($P1730&gt;=8,"Alta",IF($P1730&gt;=5,"Média","Baixa"))))</f>
        <v/>
      </c>
      <c r="O1730" s="46" t="str">
        <f aca="false">IF($E1730="","",IF(AND(Parâmetros!$C$5&gt;0,$P1730&lt;&gt;"",$P1730&gt;=Parâmetros!$C$5),"Sim","Não"))</f>
        <v/>
      </c>
      <c r="P1730" s="45" t="str">
        <f aca="false">IF($E1730="","",IF($G1730="","",IF($G1730="NOK",$F1730,0)))</f>
        <v/>
      </c>
      <c r="Q1730" s="46" t="str">
        <f aca="false">IF($E1730="","",IF($O1730&lt;&gt;"Sim","",COUNTIF($O$3:$O1730,"Sim")))</f>
        <v/>
      </c>
      <c r="R1730" s="47" t="n">
        <f aca="false">IF($P1730="",0,$P1730)</f>
        <v>0</v>
      </c>
    </row>
    <row r="1731" customFormat="false" ht="18" hidden="false" customHeight="true" outlineLevel="0" collapsed="false">
      <c r="A1731" s="39"/>
      <c r="B1731" s="41"/>
      <c r="C1731" s="40"/>
      <c r="D1731" s="40"/>
      <c r="E1731" s="40"/>
      <c r="F1731" s="42"/>
      <c r="G1731" s="39"/>
      <c r="H1731" s="40"/>
      <c r="I1731" s="40"/>
      <c r="J1731" s="40"/>
      <c r="K1731" s="41"/>
      <c r="L1731" s="39"/>
      <c r="M1731" s="48" t="str">
        <f aca="false">IF($E1731="","",IFERROR(INDEX(Parâmetros!$C$15:$C$20,MATCH($P1731,Parâmetros!$B$15:$B$20,0)),""))</f>
        <v/>
      </c>
      <c r="N1731" s="46" t="str">
        <f aca="false">IF($E1731="","",IF($P1731="","",IF($P1731&gt;=8,"Alta",IF($P1731&gt;=5,"Média","Baixa"))))</f>
        <v/>
      </c>
      <c r="O1731" s="46" t="str">
        <f aca="false">IF($E1731="","",IF(AND(Parâmetros!$C$5&gt;0,$P1731&lt;&gt;"",$P1731&gt;=Parâmetros!$C$5),"Sim","Não"))</f>
        <v/>
      </c>
      <c r="P1731" s="45" t="str">
        <f aca="false">IF($E1731="","",IF($G1731="","",IF($G1731="NOK",$F1731,0)))</f>
        <v/>
      </c>
      <c r="Q1731" s="46" t="str">
        <f aca="false">IF($E1731="","",IF($O1731&lt;&gt;"Sim","",COUNTIF($O$3:$O1731,"Sim")))</f>
        <v/>
      </c>
      <c r="R1731" s="47" t="n">
        <f aca="false">IF($P1731="",0,$P1731)</f>
        <v>0</v>
      </c>
    </row>
    <row r="1732" customFormat="false" ht="18" hidden="false" customHeight="true" outlineLevel="0" collapsed="false">
      <c r="A1732" s="39"/>
      <c r="B1732" s="41"/>
      <c r="C1732" s="40"/>
      <c r="D1732" s="40"/>
      <c r="E1732" s="40"/>
      <c r="F1732" s="42"/>
      <c r="G1732" s="39"/>
      <c r="H1732" s="40"/>
      <c r="I1732" s="40"/>
      <c r="J1732" s="40"/>
      <c r="K1732" s="41"/>
      <c r="L1732" s="39"/>
      <c r="M1732" s="48" t="str">
        <f aca="false">IF($E1732="","",IFERROR(INDEX(Parâmetros!$C$15:$C$20,MATCH($P1732,Parâmetros!$B$15:$B$20,0)),""))</f>
        <v/>
      </c>
      <c r="N1732" s="46" t="str">
        <f aca="false">IF($E1732="","",IF($P1732="","",IF($P1732&gt;=8,"Alta",IF($P1732&gt;=5,"Média","Baixa"))))</f>
        <v/>
      </c>
      <c r="O1732" s="46" t="str">
        <f aca="false">IF($E1732="","",IF(AND(Parâmetros!$C$5&gt;0,$P1732&lt;&gt;"",$P1732&gt;=Parâmetros!$C$5),"Sim","Não"))</f>
        <v/>
      </c>
      <c r="P1732" s="45" t="str">
        <f aca="false">IF($E1732="","",IF($G1732="","",IF($G1732="NOK",$F1732,0)))</f>
        <v/>
      </c>
      <c r="Q1732" s="46" t="str">
        <f aca="false">IF($E1732="","",IF($O1732&lt;&gt;"Sim","",COUNTIF($O$3:$O1732,"Sim")))</f>
        <v/>
      </c>
      <c r="R1732" s="47" t="n">
        <f aca="false">IF($P1732="",0,$P1732)</f>
        <v>0</v>
      </c>
    </row>
    <row r="1733" customFormat="false" ht="18" hidden="false" customHeight="true" outlineLevel="0" collapsed="false">
      <c r="A1733" s="39"/>
      <c r="B1733" s="41"/>
      <c r="C1733" s="40"/>
      <c r="D1733" s="40"/>
      <c r="E1733" s="40"/>
      <c r="F1733" s="42"/>
      <c r="G1733" s="39"/>
      <c r="H1733" s="40"/>
      <c r="I1733" s="40"/>
      <c r="J1733" s="40"/>
      <c r="K1733" s="41"/>
      <c r="L1733" s="39"/>
      <c r="M1733" s="48" t="str">
        <f aca="false">IF($E1733="","",IFERROR(INDEX(Parâmetros!$C$15:$C$20,MATCH($P1733,Parâmetros!$B$15:$B$20,0)),""))</f>
        <v/>
      </c>
      <c r="N1733" s="46" t="str">
        <f aca="false">IF($E1733="","",IF($P1733="","",IF($P1733&gt;=8,"Alta",IF($P1733&gt;=5,"Média","Baixa"))))</f>
        <v/>
      </c>
      <c r="O1733" s="46" t="str">
        <f aca="false">IF($E1733="","",IF(AND(Parâmetros!$C$5&gt;0,$P1733&lt;&gt;"",$P1733&gt;=Parâmetros!$C$5),"Sim","Não"))</f>
        <v/>
      </c>
      <c r="P1733" s="45" t="str">
        <f aca="false">IF($E1733="","",IF($G1733="","",IF($G1733="NOK",$F1733,0)))</f>
        <v/>
      </c>
      <c r="Q1733" s="46" t="str">
        <f aca="false">IF($E1733="","",IF($O1733&lt;&gt;"Sim","",COUNTIF($O$3:$O1733,"Sim")))</f>
        <v/>
      </c>
      <c r="R1733" s="47" t="n">
        <f aca="false">IF($P1733="",0,$P1733)</f>
        <v>0</v>
      </c>
    </row>
    <row r="1734" customFormat="false" ht="18" hidden="false" customHeight="true" outlineLevel="0" collapsed="false">
      <c r="A1734" s="39"/>
      <c r="B1734" s="41"/>
      <c r="C1734" s="40"/>
      <c r="D1734" s="40"/>
      <c r="E1734" s="40"/>
      <c r="F1734" s="42"/>
      <c r="G1734" s="39"/>
      <c r="H1734" s="40"/>
      <c r="I1734" s="40"/>
      <c r="J1734" s="40"/>
      <c r="K1734" s="41"/>
      <c r="L1734" s="39"/>
      <c r="M1734" s="48" t="str">
        <f aca="false">IF($E1734="","",IFERROR(INDEX(Parâmetros!$C$15:$C$20,MATCH($P1734,Parâmetros!$B$15:$B$20,0)),""))</f>
        <v/>
      </c>
      <c r="N1734" s="46" t="str">
        <f aca="false">IF($E1734="","",IF($P1734="","",IF($P1734&gt;=8,"Alta",IF($P1734&gt;=5,"Média","Baixa"))))</f>
        <v/>
      </c>
      <c r="O1734" s="46" t="str">
        <f aca="false">IF($E1734="","",IF(AND(Parâmetros!$C$5&gt;0,$P1734&lt;&gt;"",$P1734&gt;=Parâmetros!$C$5),"Sim","Não"))</f>
        <v/>
      </c>
      <c r="P1734" s="45" t="str">
        <f aca="false">IF($E1734="","",IF($G1734="","",IF($G1734="NOK",$F1734,0)))</f>
        <v/>
      </c>
      <c r="Q1734" s="46" t="str">
        <f aca="false">IF($E1734="","",IF($O1734&lt;&gt;"Sim","",COUNTIF($O$3:$O1734,"Sim")))</f>
        <v/>
      </c>
      <c r="R1734" s="47" t="n">
        <f aca="false">IF($P1734="",0,$P1734)</f>
        <v>0</v>
      </c>
    </row>
    <row r="1735" customFormat="false" ht="18" hidden="false" customHeight="true" outlineLevel="0" collapsed="false">
      <c r="A1735" s="39"/>
      <c r="B1735" s="41"/>
      <c r="C1735" s="40"/>
      <c r="D1735" s="40"/>
      <c r="E1735" s="40"/>
      <c r="F1735" s="42"/>
      <c r="G1735" s="39"/>
      <c r="H1735" s="40"/>
      <c r="I1735" s="40"/>
      <c r="J1735" s="40"/>
      <c r="K1735" s="41"/>
      <c r="L1735" s="39"/>
      <c r="M1735" s="48" t="str">
        <f aca="false">IF($E1735="","",IFERROR(INDEX(Parâmetros!$C$15:$C$20,MATCH($P1735,Parâmetros!$B$15:$B$20,0)),""))</f>
        <v/>
      </c>
      <c r="N1735" s="46" t="str">
        <f aca="false">IF($E1735="","",IF($P1735="","",IF($P1735&gt;=8,"Alta",IF($P1735&gt;=5,"Média","Baixa"))))</f>
        <v/>
      </c>
      <c r="O1735" s="46" t="str">
        <f aca="false">IF($E1735="","",IF(AND(Parâmetros!$C$5&gt;0,$P1735&lt;&gt;"",$P1735&gt;=Parâmetros!$C$5),"Sim","Não"))</f>
        <v/>
      </c>
      <c r="P1735" s="45" t="str">
        <f aca="false">IF($E1735="","",IF($G1735="","",IF($G1735="NOK",$F1735,0)))</f>
        <v/>
      </c>
      <c r="Q1735" s="46" t="str">
        <f aca="false">IF($E1735="","",IF($O1735&lt;&gt;"Sim","",COUNTIF($O$3:$O1735,"Sim")))</f>
        <v/>
      </c>
      <c r="R1735" s="47" t="n">
        <f aca="false">IF($P1735="",0,$P1735)</f>
        <v>0</v>
      </c>
    </row>
    <row r="1736" customFormat="false" ht="18" hidden="false" customHeight="true" outlineLevel="0" collapsed="false">
      <c r="A1736" s="39"/>
      <c r="B1736" s="41"/>
      <c r="C1736" s="40"/>
      <c r="D1736" s="40"/>
      <c r="E1736" s="40"/>
      <c r="F1736" s="42"/>
      <c r="G1736" s="39"/>
      <c r="H1736" s="40"/>
      <c r="I1736" s="40"/>
      <c r="J1736" s="40"/>
      <c r="K1736" s="41"/>
      <c r="L1736" s="39"/>
      <c r="M1736" s="48" t="str">
        <f aca="false">IF($E1736="","",IFERROR(INDEX(Parâmetros!$C$15:$C$20,MATCH($P1736,Parâmetros!$B$15:$B$20,0)),""))</f>
        <v/>
      </c>
      <c r="N1736" s="46" t="str">
        <f aca="false">IF($E1736="","",IF($P1736="","",IF($P1736&gt;=8,"Alta",IF($P1736&gt;=5,"Média","Baixa"))))</f>
        <v/>
      </c>
      <c r="O1736" s="46" t="str">
        <f aca="false">IF($E1736="","",IF(AND(Parâmetros!$C$5&gt;0,$P1736&lt;&gt;"",$P1736&gt;=Parâmetros!$C$5),"Sim","Não"))</f>
        <v/>
      </c>
      <c r="P1736" s="45" t="str">
        <f aca="false">IF($E1736="","",IF($G1736="","",IF($G1736="NOK",$F1736,0)))</f>
        <v/>
      </c>
      <c r="Q1736" s="46" t="str">
        <f aca="false">IF($E1736="","",IF($O1736&lt;&gt;"Sim","",COUNTIF($O$3:$O1736,"Sim")))</f>
        <v/>
      </c>
      <c r="R1736" s="47" t="n">
        <f aca="false">IF($P1736="",0,$P1736)</f>
        <v>0</v>
      </c>
    </row>
    <row r="1737" customFormat="false" ht="18" hidden="false" customHeight="true" outlineLevel="0" collapsed="false">
      <c r="A1737" s="39"/>
      <c r="B1737" s="41"/>
      <c r="C1737" s="40"/>
      <c r="D1737" s="40"/>
      <c r="E1737" s="40"/>
      <c r="F1737" s="42"/>
      <c r="G1737" s="39"/>
      <c r="H1737" s="40"/>
      <c r="I1737" s="40"/>
      <c r="J1737" s="40"/>
      <c r="K1737" s="41"/>
      <c r="L1737" s="39"/>
      <c r="M1737" s="48" t="str">
        <f aca="false">IF($E1737="","",IFERROR(INDEX(Parâmetros!$C$15:$C$20,MATCH($P1737,Parâmetros!$B$15:$B$20,0)),""))</f>
        <v/>
      </c>
      <c r="N1737" s="46" t="str">
        <f aca="false">IF($E1737="","",IF($P1737="","",IF($P1737&gt;=8,"Alta",IF($P1737&gt;=5,"Média","Baixa"))))</f>
        <v/>
      </c>
      <c r="O1737" s="46" t="str">
        <f aca="false">IF($E1737="","",IF(AND(Parâmetros!$C$5&gt;0,$P1737&lt;&gt;"",$P1737&gt;=Parâmetros!$C$5),"Sim","Não"))</f>
        <v/>
      </c>
      <c r="P1737" s="45" t="str">
        <f aca="false">IF($E1737="","",IF($G1737="","",IF($G1737="NOK",$F1737,0)))</f>
        <v/>
      </c>
      <c r="Q1737" s="46" t="str">
        <f aca="false">IF($E1737="","",IF($O1737&lt;&gt;"Sim","",COUNTIF($O$3:$O1737,"Sim")))</f>
        <v/>
      </c>
      <c r="R1737" s="47" t="n">
        <f aca="false">IF($P1737="",0,$P1737)</f>
        <v>0</v>
      </c>
    </row>
    <row r="1738" customFormat="false" ht="18" hidden="false" customHeight="true" outlineLevel="0" collapsed="false">
      <c r="A1738" s="39"/>
      <c r="B1738" s="41"/>
      <c r="C1738" s="40"/>
      <c r="D1738" s="40"/>
      <c r="E1738" s="40"/>
      <c r="F1738" s="42"/>
      <c r="G1738" s="39"/>
      <c r="H1738" s="40"/>
      <c r="I1738" s="40"/>
      <c r="J1738" s="40"/>
      <c r="K1738" s="41"/>
      <c r="L1738" s="39"/>
      <c r="M1738" s="48" t="str">
        <f aca="false">IF($E1738="","",IFERROR(INDEX(Parâmetros!$C$15:$C$20,MATCH($P1738,Parâmetros!$B$15:$B$20,0)),""))</f>
        <v/>
      </c>
      <c r="N1738" s="46" t="str">
        <f aca="false">IF($E1738="","",IF($P1738="","",IF($P1738&gt;=8,"Alta",IF($P1738&gt;=5,"Média","Baixa"))))</f>
        <v/>
      </c>
      <c r="O1738" s="46" t="str">
        <f aca="false">IF($E1738="","",IF(AND(Parâmetros!$C$5&gt;0,$P1738&lt;&gt;"",$P1738&gt;=Parâmetros!$C$5),"Sim","Não"))</f>
        <v/>
      </c>
      <c r="P1738" s="45" t="str">
        <f aca="false">IF($E1738="","",IF($G1738="","",IF($G1738="NOK",$F1738,0)))</f>
        <v/>
      </c>
      <c r="Q1738" s="46" t="str">
        <f aca="false">IF($E1738="","",IF($O1738&lt;&gt;"Sim","",COUNTIF($O$3:$O1738,"Sim")))</f>
        <v/>
      </c>
      <c r="R1738" s="47" t="n">
        <f aca="false">IF($P1738="",0,$P1738)</f>
        <v>0</v>
      </c>
    </row>
    <row r="1739" customFormat="false" ht="18" hidden="false" customHeight="true" outlineLevel="0" collapsed="false">
      <c r="A1739" s="39"/>
      <c r="B1739" s="41"/>
      <c r="C1739" s="40"/>
      <c r="D1739" s="40"/>
      <c r="E1739" s="40"/>
      <c r="F1739" s="42"/>
      <c r="G1739" s="39"/>
      <c r="H1739" s="40"/>
      <c r="I1739" s="40"/>
      <c r="J1739" s="40"/>
      <c r="K1739" s="41"/>
      <c r="L1739" s="39"/>
      <c r="M1739" s="48" t="str">
        <f aca="false">IF($E1739="","",IFERROR(INDEX(Parâmetros!$C$15:$C$20,MATCH($P1739,Parâmetros!$B$15:$B$20,0)),""))</f>
        <v/>
      </c>
      <c r="N1739" s="46" t="str">
        <f aca="false">IF($E1739="","",IF($P1739="","",IF($P1739&gt;=8,"Alta",IF($P1739&gt;=5,"Média","Baixa"))))</f>
        <v/>
      </c>
      <c r="O1739" s="46" t="str">
        <f aca="false">IF($E1739="","",IF(AND(Parâmetros!$C$5&gt;0,$P1739&lt;&gt;"",$P1739&gt;=Parâmetros!$C$5),"Sim","Não"))</f>
        <v/>
      </c>
      <c r="P1739" s="45" t="str">
        <f aca="false">IF($E1739="","",IF($G1739="","",IF($G1739="NOK",$F1739,0)))</f>
        <v/>
      </c>
      <c r="Q1739" s="46" t="str">
        <f aca="false">IF($E1739="","",IF($O1739&lt;&gt;"Sim","",COUNTIF($O$3:$O1739,"Sim")))</f>
        <v/>
      </c>
      <c r="R1739" s="47" t="n">
        <f aca="false">IF($P1739="",0,$P1739)</f>
        <v>0</v>
      </c>
    </row>
    <row r="1740" customFormat="false" ht="18" hidden="false" customHeight="true" outlineLevel="0" collapsed="false">
      <c r="A1740" s="39"/>
      <c r="B1740" s="41"/>
      <c r="C1740" s="40"/>
      <c r="D1740" s="40"/>
      <c r="E1740" s="40"/>
      <c r="F1740" s="42"/>
      <c r="G1740" s="39"/>
      <c r="H1740" s="40"/>
      <c r="I1740" s="40"/>
      <c r="J1740" s="40"/>
      <c r="K1740" s="41"/>
      <c r="L1740" s="39"/>
      <c r="M1740" s="48" t="str">
        <f aca="false">IF($E1740="","",IFERROR(INDEX(Parâmetros!$C$15:$C$20,MATCH($P1740,Parâmetros!$B$15:$B$20,0)),""))</f>
        <v/>
      </c>
      <c r="N1740" s="46" t="str">
        <f aca="false">IF($E1740="","",IF($P1740="","",IF($P1740&gt;=8,"Alta",IF($P1740&gt;=5,"Média","Baixa"))))</f>
        <v/>
      </c>
      <c r="O1740" s="46" t="str">
        <f aca="false">IF($E1740="","",IF(AND(Parâmetros!$C$5&gt;0,$P1740&lt;&gt;"",$P1740&gt;=Parâmetros!$C$5),"Sim","Não"))</f>
        <v/>
      </c>
      <c r="P1740" s="45" t="str">
        <f aca="false">IF($E1740="","",IF($G1740="","",IF($G1740="NOK",$F1740,0)))</f>
        <v/>
      </c>
      <c r="Q1740" s="46" t="str">
        <f aca="false">IF($E1740="","",IF($O1740&lt;&gt;"Sim","",COUNTIF($O$3:$O1740,"Sim")))</f>
        <v/>
      </c>
      <c r="R1740" s="47" t="n">
        <f aca="false">IF($P1740="",0,$P1740)</f>
        <v>0</v>
      </c>
    </row>
    <row r="1741" customFormat="false" ht="18" hidden="false" customHeight="true" outlineLevel="0" collapsed="false">
      <c r="A1741" s="39"/>
      <c r="B1741" s="41"/>
      <c r="C1741" s="40"/>
      <c r="D1741" s="40"/>
      <c r="E1741" s="40"/>
      <c r="F1741" s="42"/>
      <c r="G1741" s="39"/>
      <c r="H1741" s="40"/>
      <c r="I1741" s="40"/>
      <c r="J1741" s="40"/>
      <c r="K1741" s="41"/>
      <c r="L1741" s="39"/>
      <c r="M1741" s="48" t="str">
        <f aca="false">IF($E1741="","",IFERROR(INDEX(Parâmetros!$C$15:$C$20,MATCH($P1741,Parâmetros!$B$15:$B$20,0)),""))</f>
        <v/>
      </c>
      <c r="N1741" s="46" t="str">
        <f aca="false">IF($E1741="","",IF($P1741="","",IF($P1741&gt;=8,"Alta",IF($P1741&gt;=5,"Média","Baixa"))))</f>
        <v/>
      </c>
      <c r="O1741" s="46" t="str">
        <f aca="false">IF($E1741="","",IF(AND(Parâmetros!$C$5&gt;0,$P1741&lt;&gt;"",$P1741&gt;=Parâmetros!$C$5),"Sim","Não"))</f>
        <v/>
      </c>
      <c r="P1741" s="45" t="str">
        <f aca="false">IF($E1741="","",IF($G1741="","",IF($G1741="NOK",$F1741,0)))</f>
        <v/>
      </c>
      <c r="Q1741" s="46" t="str">
        <f aca="false">IF($E1741="","",IF($O1741&lt;&gt;"Sim","",COUNTIF($O$3:$O1741,"Sim")))</f>
        <v/>
      </c>
      <c r="R1741" s="47" t="n">
        <f aca="false">IF($P1741="",0,$P1741)</f>
        <v>0</v>
      </c>
    </row>
    <row r="1742" customFormat="false" ht="18" hidden="false" customHeight="true" outlineLevel="0" collapsed="false">
      <c r="A1742" s="39"/>
      <c r="B1742" s="41"/>
      <c r="C1742" s="40"/>
      <c r="D1742" s="40"/>
      <c r="E1742" s="40"/>
      <c r="F1742" s="42"/>
      <c r="G1742" s="39"/>
      <c r="H1742" s="40"/>
      <c r="I1742" s="40"/>
      <c r="J1742" s="40"/>
      <c r="K1742" s="41"/>
      <c r="L1742" s="39"/>
      <c r="M1742" s="48" t="str">
        <f aca="false">IF($E1742="","",IFERROR(INDEX(Parâmetros!$C$15:$C$20,MATCH($P1742,Parâmetros!$B$15:$B$20,0)),""))</f>
        <v/>
      </c>
      <c r="N1742" s="46" t="str">
        <f aca="false">IF($E1742="","",IF($P1742="","",IF($P1742&gt;=8,"Alta",IF($P1742&gt;=5,"Média","Baixa"))))</f>
        <v/>
      </c>
      <c r="O1742" s="46" t="str">
        <f aca="false">IF($E1742="","",IF(AND(Parâmetros!$C$5&gt;0,$P1742&lt;&gt;"",$P1742&gt;=Parâmetros!$C$5),"Sim","Não"))</f>
        <v/>
      </c>
      <c r="P1742" s="45" t="str">
        <f aca="false">IF($E1742="","",IF($G1742="","",IF($G1742="NOK",$F1742,0)))</f>
        <v/>
      </c>
      <c r="Q1742" s="46" t="str">
        <f aca="false">IF($E1742="","",IF($O1742&lt;&gt;"Sim","",COUNTIF($O$3:$O1742,"Sim")))</f>
        <v/>
      </c>
      <c r="R1742" s="47" t="n">
        <f aca="false">IF($P1742="",0,$P1742)</f>
        <v>0</v>
      </c>
    </row>
    <row r="1743" customFormat="false" ht="18" hidden="false" customHeight="true" outlineLevel="0" collapsed="false">
      <c r="A1743" s="39"/>
      <c r="B1743" s="41"/>
      <c r="C1743" s="40"/>
      <c r="D1743" s="40"/>
      <c r="E1743" s="40"/>
      <c r="F1743" s="42"/>
      <c r="G1743" s="39"/>
      <c r="H1743" s="40"/>
      <c r="I1743" s="40"/>
      <c r="J1743" s="40"/>
      <c r="K1743" s="41"/>
      <c r="L1743" s="39"/>
      <c r="M1743" s="48" t="str">
        <f aca="false">IF($E1743="","",IFERROR(INDEX(Parâmetros!$C$15:$C$20,MATCH($P1743,Parâmetros!$B$15:$B$20,0)),""))</f>
        <v/>
      </c>
      <c r="N1743" s="46" t="str">
        <f aca="false">IF($E1743="","",IF($P1743="","",IF($P1743&gt;=8,"Alta",IF($P1743&gt;=5,"Média","Baixa"))))</f>
        <v/>
      </c>
      <c r="O1743" s="46" t="str">
        <f aca="false">IF($E1743="","",IF(AND(Parâmetros!$C$5&gt;0,$P1743&lt;&gt;"",$P1743&gt;=Parâmetros!$C$5),"Sim","Não"))</f>
        <v/>
      </c>
      <c r="P1743" s="45" t="str">
        <f aca="false">IF($E1743="","",IF($G1743="","",IF($G1743="NOK",$F1743,0)))</f>
        <v/>
      </c>
      <c r="Q1743" s="46" t="str">
        <f aca="false">IF($E1743="","",IF($O1743&lt;&gt;"Sim","",COUNTIF($O$3:$O1743,"Sim")))</f>
        <v/>
      </c>
      <c r="R1743" s="47" t="n">
        <f aca="false">IF($P1743="",0,$P1743)</f>
        <v>0</v>
      </c>
    </row>
    <row r="1744" customFormat="false" ht="18" hidden="false" customHeight="true" outlineLevel="0" collapsed="false">
      <c r="A1744" s="39"/>
      <c r="B1744" s="41"/>
      <c r="C1744" s="40"/>
      <c r="D1744" s="40"/>
      <c r="E1744" s="40"/>
      <c r="F1744" s="42"/>
      <c r="G1744" s="39"/>
      <c r="H1744" s="40"/>
      <c r="I1744" s="40"/>
      <c r="J1744" s="40"/>
      <c r="K1744" s="41"/>
      <c r="L1744" s="39"/>
      <c r="M1744" s="48" t="str">
        <f aca="false">IF($E1744="","",IFERROR(INDEX(Parâmetros!$C$15:$C$20,MATCH($P1744,Parâmetros!$B$15:$B$20,0)),""))</f>
        <v/>
      </c>
      <c r="N1744" s="46" t="str">
        <f aca="false">IF($E1744="","",IF($P1744="","",IF($P1744&gt;=8,"Alta",IF($P1744&gt;=5,"Média","Baixa"))))</f>
        <v/>
      </c>
      <c r="O1744" s="46" t="str">
        <f aca="false">IF($E1744="","",IF(AND(Parâmetros!$C$5&gt;0,$P1744&lt;&gt;"",$P1744&gt;=Parâmetros!$C$5),"Sim","Não"))</f>
        <v/>
      </c>
      <c r="P1744" s="45" t="str">
        <f aca="false">IF($E1744="","",IF($G1744="","",IF($G1744="NOK",$F1744,0)))</f>
        <v/>
      </c>
      <c r="Q1744" s="46" t="str">
        <f aca="false">IF($E1744="","",IF($O1744&lt;&gt;"Sim","",COUNTIF($O$3:$O1744,"Sim")))</f>
        <v/>
      </c>
      <c r="R1744" s="47" t="n">
        <f aca="false">IF($P1744="",0,$P1744)</f>
        <v>0</v>
      </c>
    </row>
    <row r="1745" customFormat="false" ht="18" hidden="false" customHeight="true" outlineLevel="0" collapsed="false">
      <c r="A1745" s="39"/>
      <c r="B1745" s="41"/>
      <c r="C1745" s="40"/>
      <c r="D1745" s="40"/>
      <c r="E1745" s="40"/>
      <c r="F1745" s="42"/>
      <c r="G1745" s="39"/>
      <c r="H1745" s="40"/>
      <c r="I1745" s="40"/>
      <c r="J1745" s="40"/>
      <c r="K1745" s="41"/>
      <c r="L1745" s="39"/>
      <c r="M1745" s="48" t="str">
        <f aca="false">IF($E1745="","",IFERROR(INDEX(Parâmetros!$C$15:$C$20,MATCH($P1745,Parâmetros!$B$15:$B$20,0)),""))</f>
        <v/>
      </c>
      <c r="N1745" s="46" t="str">
        <f aca="false">IF($E1745="","",IF($P1745="","",IF($P1745&gt;=8,"Alta",IF($P1745&gt;=5,"Média","Baixa"))))</f>
        <v/>
      </c>
      <c r="O1745" s="46" t="str">
        <f aca="false">IF($E1745="","",IF(AND(Parâmetros!$C$5&gt;0,$P1745&lt;&gt;"",$P1745&gt;=Parâmetros!$C$5),"Sim","Não"))</f>
        <v/>
      </c>
      <c r="P1745" s="45" t="str">
        <f aca="false">IF($E1745="","",IF($G1745="","",IF($G1745="NOK",$F1745,0)))</f>
        <v/>
      </c>
      <c r="Q1745" s="46" t="str">
        <f aca="false">IF($E1745="","",IF($O1745&lt;&gt;"Sim","",COUNTIF($O$3:$O1745,"Sim")))</f>
        <v/>
      </c>
      <c r="R1745" s="47" t="n">
        <f aca="false">IF($P1745="",0,$P1745)</f>
        <v>0</v>
      </c>
    </row>
    <row r="1746" customFormat="false" ht="18" hidden="false" customHeight="true" outlineLevel="0" collapsed="false">
      <c r="A1746" s="39"/>
      <c r="B1746" s="41"/>
      <c r="C1746" s="40"/>
      <c r="D1746" s="40"/>
      <c r="E1746" s="40"/>
      <c r="F1746" s="42"/>
      <c r="G1746" s="39"/>
      <c r="H1746" s="40"/>
      <c r="I1746" s="40"/>
      <c r="J1746" s="40"/>
      <c r="K1746" s="41"/>
      <c r="L1746" s="39"/>
      <c r="M1746" s="48" t="str">
        <f aca="false">IF($E1746="","",IFERROR(INDEX(Parâmetros!$C$15:$C$20,MATCH($P1746,Parâmetros!$B$15:$B$20,0)),""))</f>
        <v/>
      </c>
      <c r="N1746" s="46" t="str">
        <f aca="false">IF($E1746="","",IF($P1746="","",IF($P1746&gt;=8,"Alta",IF($P1746&gt;=5,"Média","Baixa"))))</f>
        <v/>
      </c>
      <c r="O1746" s="46" t="str">
        <f aca="false">IF($E1746="","",IF(AND(Parâmetros!$C$5&gt;0,$P1746&lt;&gt;"",$P1746&gt;=Parâmetros!$C$5),"Sim","Não"))</f>
        <v/>
      </c>
      <c r="P1746" s="45" t="str">
        <f aca="false">IF($E1746="","",IF($G1746="","",IF($G1746="NOK",$F1746,0)))</f>
        <v/>
      </c>
      <c r="Q1746" s="46" t="str">
        <f aca="false">IF($E1746="","",IF($O1746&lt;&gt;"Sim","",COUNTIF($O$3:$O1746,"Sim")))</f>
        <v/>
      </c>
      <c r="R1746" s="47" t="n">
        <f aca="false">IF($P1746="",0,$P1746)</f>
        <v>0</v>
      </c>
    </row>
    <row r="1747" customFormat="false" ht="18" hidden="false" customHeight="true" outlineLevel="0" collapsed="false">
      <c r="A1747" s="39"/>
      <c r="B1747" s="41"/>
      <c r="C1747" s="40"/>
      <c r="D1747" s="40"/>
      <c r="E1747" s="40"/>
      <c r="F1747" s="42"/>
      <c r="G1747" s="39"/>
      <c r="H1747" s="40"/>
      <c r="I1747" s="40"/>
      <c r="J1747" s="40"/>
      <c r="K1747" s="41"/>
      <c r="L1747" s="39"/>
      <c r="M1747" s="48" t="str">
        <f aca="false">IF($E1747="","",IFERROR(INDEX(Parâmetros!$C$15:$C$20,MATCH($P1747,Parâmetros!$B$15:$B$20,0)),""))</f>
        <v/>
      </c>
      <c r="N1747" s="46" t="str">
        <f aca="false">IF($E1747="","",IF($P1747="","",IF($P1747&gt;=8,"Alta",IF($P1747&gt;=5,"Média","Baixa"))))</f>
        <v/>
      </c>
      <c r="O1747" s="46" t="str">
        <f aca="false">IF($E1747="","",IF(AND(Parâmetros!$C$5&gt;0,$P1747&lt;&gt;"",$P1747&gt;=Parâmetros!$C$5),"Sim","Não"))</f>
        <v/>
      </c>
      <c r="P1747" s="45" t="str">
        <f aca="false">IF($E1747="","",IF($G1747="","",IF($G1747="NOK",$F1747,0)))</f>
        <v/>
      </c>
      <c r="Q1747" s="46" t="str">
        <f aca="false">IF($E1747="","",IF($O1747&lt;&gt;"Sim","",COUNTIF($O$3:$O1747,"Sim")))</f>
        <v/>
      </c>
      <c r="R1747" s="47" t="n">
        <f aca="false">IF($P1747="",0,$P1747)</f>
        <v>0</v>
      </c>
    </row>
    <row r="1748" customFormat="false" ht="18" hidden="false" customHeight="true" outlineLevel="0" collapsed="false">
      <c r="A1748" s="39"/>
      <c r="B1748" s="41"/>
      <c r="C1748" s="40"/>
      <c r="D1748" s="40"/>
      <c r="E1748" s="40"/>
      <c r="F1748" s="42"/>
      <c r="G1748" s="39"/>
      <c r="H1748" s="40"/>
      <c r="I1748" s="40"/>
      <c r="J1748" s="40"/>
      <c r="K1748" s="41"/>
      <c r="L1748" s="39"/>
      <c r="M1748" s="48" t="str">
        <f aca="false">IF($E1748="","",IFERROR(INDEX(Parâmetros!$C$15:$C$20,MATCH($P1748,Parâmetros!$B$15:$B$20,0)),""))</f>
        <v/>
      </c>
      <c r="N1748" s="46" t="str">
        <f aca="false">IF($E1748="","",IF($P1748="","",IF($P1748&gt;=8,"Alta",IF($P1748&gt;=5,"Média","Baixa"))))</f>
        <v/>
      </c>
      <c r="O1748" s="46" t="str">
        <f aca="false">IF($E1748="","",IF(AND(Parâmetros!$C$5&gt;0,$P1748&lt;&gt;"",$P1748&gt;=Parâmetros!$C$5),"Sim","Não"))</f>
        <v/>
      </c>
      <c r="P1748" s="45" t="str">
        <f aca="false">IF($E1748="","",IF($G1748="","",IF($G1748="NOK",$F1748,0)))</f>
        <v/>
      </c>
      <c r="Q1748" s="46" t="str">
        <f aca="false">IF($E1748="","",IF($O1748&lt;&gt;"Sim","",COUNTIF($O$3:$O1748,"Sim")))</f>
        <v/>
      </c>
      <c r="R1748" s="47" t="n">
        <f aca="false">IF($P1748="",0,$P1748)</f>
        <v>0</v>
      </c>
    </row>
    <row r="1749" customFormat="false" ht="18" hidden="false" customHeight="true" outlineLevel="0" collapsed="false">
      <c r="A1749" s="39"/>
      <c r="B1749" s="41"/>
      <c r="C1749" s="40"/>
      <c r="D1749" s="40"/>
      <c r="E1749" s="40"/>
      <c r="F1749" s="42"/>
      <c r="G1749" s="39"/>
      <c r="H1749" s="40"/>
      <c r="I1749" s="40"/>
      <c r="J1749" s="40"/>
      <c r="K1749" s="41"/>
      <c r="L1749" s="39"/>
      <c r="M1749" s="48" t="str">
        <f aca="false">IF($E1749="","",IFERROR(INDEX(Parâmetros!$C$15:$C$20,MATCH($P1749,Parâmetros!$B$15:$B$20,0)),""))</f>
        <v/>
      </c>
      <c r="N1749" s="46" t="str">
        <f aca="false">IF($E1749="","",IF($P1749="","",IF($P1749&gt;=8,"Alta",IF($P1749&gt;=5,"Média","Baixa"))))</f>
        <v/>
      </c>
      <c r="O1749" s="46" t="str">
        <f aca="false">IF($E1749="","",IF(AND(Parâmetros!$C$5&gt;0,$P1749&lt;&gt;"",$P1749&gt;=Parâmetros!$C$5),"Sim","Não"))</f>
        <v/>
      </c>
      <c r="P1749" s="45" t="str">
        <f aca="false">IF($E1749="","",IF($G1749="","",IF($G1749="NOK",$F1749,0)))</f>
        <v/>
      </c>
      <c r="Q1749" s="46" t="str">
        <f aca="false">IF($E1749="","",IF($O1749&lt;&gt;"Sim","",COUNTIF($O$3:$O1749,"Sim")))</f>
        <v/>
      </c>
      <c r="R1749" s="47" t="n">
        <f aca="false">IF($P1749="",0,$P1749)</f>
        <v>0</v>
      </c>
    </row>
    <row r="1750" customFormat="false" ht="18" hidden="false" customHeight="true" outlineLevel="0" collapsed="false">
      <c r="A1750" s="39"/>
      <c r="B1750" s="41"/>
      <c r="C1750" s="40"/>
      <c r="D1750" s="40"/>
      <c r="E1750" s="40"/>
      <c r="F1750" s="42"/>
      <c r="G1750" s="39"/>
      <c r="H1750" s="40"/>
      <c r="I1750" s="40"/>
      <c r="J1750" s="40"/>
      <c r="K1750" s="41"/>
      <c r="L1750" s="39"/>
      <c r="M1750" s="48" t="str">
        <f aca="false">IF($E1750="","",IFERROR(INDEX(Parâmetros!$C$15:$C$20,MATCH($P1750,Parâmetros!$B$15:$B$20,0)),""))</f>
        <v/>
      </c>
      <c r="N1750" s="46" t="str">
        <f aca="false">IF($E1750="","",IF($P1750="","",IF($P1750&gt;=8,"Alta",IF($P1750&gt;=5,"Média","Baixa"))))</f>
        <v/>
      </c>
      <c r="O1750" s="46" t="str">
        <f aca="false">IF($E1750="","",IF(AND(Parâmetros!$C$5&gt;0,$P1750&lt;&gt;"",$P1750&gt;=Parâmetros!$C$5),"Sim","Não"))</f>
        <v/>
      </c>
      <c r="P1750" s="45" t="str">
        <f aca="false">IF($E1750="","",IF($G1750="","",IF($G1750="NOK",$F1750,0)))</f>
        <v/>
      </c>
      <c r="Q1750" s="46" t="str">
        <f aca="false">IF($E1750="","",IF($O1750&lt;&gt;"Sim","",COUNTIF($O$3:$O1750,"Sim")))</f>
        <v/>
      </c>
      <c r="R1750" s="47" t="n">
        <f aca="false">IF($P1750="",0,$P1750)</f>
        <v>0</v>
      </c>
    </row>
    <row r="1751" customFormat="false" ht="18" hidden="false" customHeight="true" outlineLevel="0" collapsed="false">
      <c r="A1751" s="39"/>
      <c r="B1751" s="41"/>
      <c r="C1751" s="40"/>
      <c r="D1751" s="40"/>
      <c r="E1751" s="40"/>
      <c r="F1751" s="42"/>
      <c r="G1751" s="39"/>
      <c r="H1751" s="40"/>
      <c r="I1751" s="40"/>
      <c r="J1751" s="40"/>
      <c r="K1751" s="41"/>
      <c r="L1751" s="39"/>
      <c r="M1751" s="48" t="str">
        <f aca="false">IF($E1751="","",IFERROR(INDEX(Parâmetros!$C$15:$C$20,MATCH($P1751,Parâmetros!$B$15:$B$20,0)),""))</f>
        <v/>
      </c>
      <c r="N1751" s="46" t="str">
        <f aca="false">IF($E1751="","",IF($P1751="","",IF($P1751&gt;=8,"Alta",IF($P1751&gt;=5,"Média","Baixa"))))</f>
        <v/>
      </c>
      <c r="O1751" s="46" t="str">
        <f aca="false">IF($E1751="","",IF(AND(Parâmetros!$C$5&gt;0,$P1751&lt;&gt;"",$P1751&gt;=Parâmetros!$C$5),"Sim","Não"))</f>
        <v/>
      </c>
      <c r="P1751" s="45" t="str">
        <f aca="false">IF($E1751="","",IF($G1751="","",IF($G1751="NOK",$F1751,0)))</f>
        <v/>
      </c>
      <c r="Q1751" s="46" t="str">
        <f aca="false">IF($E1751="","",IF($O1751&lt;&gt;"Sim","",COUNTIF($O$3:$O1751,"Sim")))</f>
        <v/>
      </c>
      <c r="R1751" s="47" t="n">
        <f aca="false">IF($P1751="",0,$P1751)</f>
        <v>0</v>
      </c>
    </row>
    <row r="1752" customFormat="false" ht="18" hidden="false" customHeight="true" outlineLevel="0" collapsed="false">
      <c r="A1752" s="39"/>
      <c r="B1752" s="41"/>
      <c r="C1752" s="40"/>
      <c r="D1752" s="40"/>
      <c r="E1752" s="40"/>
      <c r="F1752" s="42"/>
      <c r="G1752" s="39"/>
      <c r="H1752" s="40"/>
      <c r="I1752" s="40"/>
      <c r="J1752" s="40"/>
      <c r="K1752" s="41"/>
      <c r="L1752" s="39"/>
      <c r="M1752" s="48" t="str">
        <f aca="false">IF($E1752="","",IFERROR(INDEX(Parâmetros!$C$15:$C$20,MATCH($P1752,Parâmetros!$B$15:$B$20,0)),""))</f>
        <v/>
      </c>
      <c r="N1752" s="46" t="str">
        <f aca="false">IF($E1752="","",IF($P1752="","",IF($P1752&gt;=8,"Alta",IF($P1752&gt;=5,"Média","Baixa"))))</f>
        <v/>
      </c>
      <c r="O1752" s="46" t="str">
        <f aca="false">IF($E1752="","",IF(AND(Parâmetros!$C$5&gt;0,$P1752&lt;&gt;"",$P1752&gt;=Parâmetros!$C$5),"Sim","Não"))</f>
        <v/>
      </c>
      <c r="P1752" s="45" t="str">
        <f aca="false">IF($E1752="","",IF($G1752="","",IF($G1752="NOK",$F1752,0)))</f>
        <v/>
      </c>
      <c r="Q1752" s="46" t="str">
        <f aca="false">IF($E1752="","",IF($O1752&lt;&gt;"Sim","",COUNTIF($O$3:$O1752,"Sim")))</f>
        <v/>
      </c>
      <c r="R1752" s="47" t="n">
        <f aca="false">IF($P1752="",0,$P1752)</f>
        <v>0</v>
      </c>
    </row>
    <row r="1753" customFormat="false" ht="18" hidden="false" customHeight="true" outlineLevel="0" collapsed="false">
      <c r="A1753" s="39"/>
      <c r="B1753" s="41"/>
      <c r="C1753" s="40"/>
      <c r="D1753" s="40"/>
      <c r="E1753" s="40"/>
      <c r="F1753" s="42"/>
      <c r="G1753" s="39"/>
      <c r="H1753" s="40"/>
      <c r="I1753" s="40"/>
      <c r="J1753" s="40"/>
      <c r="K1753" s="41"/>
      <c r="L1753" s="39"/>
      <c r="M1753" s="48" t="str">
        <f aca="false">IF($E1753="","",IFERROR(INDEX(Parâmetros!$C$15:$C$20,MATCH($P1753,Parâmetros!$B$15:$B$20,0)),""))</f>
        <v/>
      </c>
      <c r="N1753" s="46" t="str">
        <f aca="false">IF($E1753="","",IF($P1753="","",IF($P1753&gt;=8,"Alta",IF($P1753&gt;=5,"Média","Baixa"))))</f>
        <v/>
      </c>
      <c r="O1753" s="46" t="str">
        <f aca="false">IF($E1753="","",IF(AND(Parâmetros!$C$5&gt;0,$P1753&lt;&gt;"",$P1753&gt;=Parâmetros!$C$5),"Sim","Não"))</f>
        <v/>
      </c>
      <c r="P1753" s="45" t="str">
        <f aca="false">IF($E1753="","",IF($G1753="","",IF($G1753="NOK",$F1753,0)))</f>
        <v/>
      </c>
      <c r="Q1753" s="46" t="str">
        <f aca="false">IF($E1753="","",IF($O1753&lt;&gt;"Sim","",COUNTIF($O$3:$O1753,"Sim")))</f>
        <v/>
      </c>
      <c r="R1753" s="47" t="n">
        <f aca="false">IF($P1753="",0,$P1753)</f>
        <v>0</v>
      </c>
    </row>
    <row r="1754" customFormat="false" ht="18" hidden="false" customHeight="true" outlineLevel="0" collapsed="false">
      <c r="A1754" s="39"/>
      <c r="B1754" s="41"/>
      <c r="C1754" s="40"/>
      <c r="D1754" s="40"/>
      <c r="E1754" s="40"/>
      <c r="F1754" s="42"/>
      <c r="G1754" s="39"/>
      <c r="H1754" s="40"/>
      <c r="I1754" s="40"/>
      <c r="J1754" s="40"/>
      <c r="K1754" s="41"/>
      <c r="L1754" s="39"/>
      <c r="M1754" s="48" t="str">
        <f aca="false">IF($E1754="","",IFERROR(INDEX(Parâmetros!$C$15:$C$20,MATCH($P1754,Parâmetros!$B$15:$B$20,0)),""))</f>
        <v/>
      </c>
      <c r="N1754" s="46" t="str">
        <f aca="false">IF($E1754="","",IF($P1754="","",IF($P1754&gt;=8,"Alta",IF($P1754&gt;=5,"Média","Baixa"))))</f>
        <v/>
      </c>
      <c r="O1754" s="46" t="str">
        <f aca="false">IF($E1754="","",IF(AND(Parâmetros!$C$5&gt;0,$P1754&lt;&gt;"",$P1754&gt;=Parâmetros!$C$5),"Sim","Não"))</f>
        <v/>
      </c>
      <c r="P1754" s="45" t="str">
        <f aca="false">IF($E1754="","",IF($G1754="","",IF($G1754="NOK",$F1754,0)))</f>
        <v/>
      </c>
      <c r="Q1754" s="46" t="str">
        <f aca="false">IF($E1754="","",IF($O1754&lt;&gt;"Sim","",COUNTIF($O$3:$O1754,"Sim")))</f>
        <v/>
      </c>
      <c r="R1754" s="47" t="n">
        <f aca="false">IF($P1754="",0,$P1754)</f>
        <v>0</v>
      </c>
    </row>
    <row r="1755" customFormat="false" ht="18" hidden="false" customHeight="true" outlineLevel="0" collapsed="false">
      <c r="A1755" s="39"/>
      <c r="B1755" s="41"/>
      <c r="C1755" s="40"/>
      <c r="D1755" s="40"/>
      <c r="E1755" s="40"/>
      <c r="F1755" s="42"/>
      <c r="G1755" s="39"/>
      <c r="H1755" s="40"/>
      <c r="I1755" s="40"/>
      <c r="J1755" s="40"/>
      <c r="K1755" s="41"/>
      <c r="L1755" s="39"/>
      <c r="M1755" s="48" t="str">
        <f aca="false">IF($E1755="","",IFERROR(INDEX(Parâmetros!$C$15:$C$20,MATCH($P1755,Parâmetros!$B$15:$B$20,0)),""))</f>
        <v/>
      </c>
      <c r="N1755" s="46" t="str">
        <f aca="false">IF($E1755="","",IF($P1755="","",IF($P1755&gt;=8,"Alta",IF($P1755&gt;=5,"Média","Baixa"))))</f>
        <v/>
      </c>
      <c r="O1755" s="46" t="str">
        <f aca="false">IF($E1755="","",IF(AND(Parâmetros!$C$5&gt;0,$P1755&lt;&gt;"",$P1755&gt;=Parâmetros!$C$5),"Sim","Não"))</f>
        <v/>
      </c>
      <c r="P1755" s="45" t="str">
        <f aca="false">IF($E1755="","",IF($G1755="","",IF($G1755="NOK",$F1755,0)))</f>
        <v/>
      </c>
      <c r="Q1755" s="46" t="str">
        <f aca="false">IF($E1755="","",IF($O1755&lt;&gt;"Sim","",COUNTIF($O$3:$O1755,"Sim")))</f>
        <v/>
      </c>
      <c r="R1755" s="47" t="n">
        <f aca="false">IF($P1755="",0,$P1755)</f>
        <v>0</v>
      </c>
    </row>
    <row r="1756" customFormat="false" ht="18" hidden="false" customHeight="true" outlineLevel="0" collapsed="false">
      <c r="A1756" s="39"/>
      <c r="B1756" s="41"/>
      <c r="C1756" s="40"/>
      <c r="D1756" s="40"/>
      <c r="E1756" s="40"/>
      <c r="F1756" s="42"/>
      <c r="G1756" s="39"/>
      <c r="H1756" s="40"/>
      <c r="I1756" s="40"/>
      <c r="J1756" s="40"/>
      <c r="K1756" s="41"/>
      <c r="L1756" s="39"/>
      <c r="M1756" s="48" t="str">
        <f aca="false">IF($E1756="","",IFERROR(INDEX(Parâmetros!$C$15:$C$20,MATCH($P1756,Parâmetros!$B$15:$B$20,0)),""))</f>
        <v/>
      </c>
      <c r="N1756" s="46" t="str">
        <f aca="false">IF($E1756="","",IF($P1756="","",IF($P1756&gt;=8,"Alta",IF($P1756&gt;=5,"Média","Baixa"))))</f>
        <v/>
      </c>
      <c r="O1756" s="46" t="str">
        <f aca="false">IF($E1756="","",IF(AND(Parâmetros!$C$5&gt;0,$P1756&lt;&gt;"",$P1756&gt;=Parâmetros!$C$5),"Sim","Não"))</f>
        <v/>
      </c>
      <c r="P1756" s="45" t="str">
        <f aca="false">IF($E1756="","",IF($G1756="","",IF($G1756="NOK",$F1756,0)))</f>
        <v/>
      </c>
      <c r="Q1756" s="46" t="str">
        <f aca="false">IF($E1756="","",IF($O1756&lt;&gt;"Sim","",COUNTIF($O$3:$O1756,"Sim")))</f>
        <v/>
      </c>
      <c r="R1756" s="47" t="n">
        <f aca="false">IF($P1756="",0,$P1756)</f>
        <v>0</v>
      </c>
    </row>
    <row r="1757" customFormat="false" ht="18" hidden="false" customHeight="true" outlineLevel="0" collapsed="false">
      <c r="A1757" s="39"/>
      <c r="B1757" s="41"/>
      <c r="C1757" s="40"/>
      <c r="D1757" s="40"/>
      <c r="E1757" s="40"/>
      <c r="F1757" s="42"/>
      <c r="G1757" s="39"/>
      <c r="H1757" s="40"/>
      <c r="I1757" s="40"/>
      <c r="J1757" s="40"/>
      <c r="K1757" s="41"/>
      <c r="L1757" s="39"/>
      <c r="M1757" s="48" t="str">
        <f aca="false">IF($E1757="","",IFERROR(INDEX(Parâmetros!$C$15:$C$20,MATCH($P1757,Parâmetros!$B$15:$B$20,0)),""))</f>
        <v/>
      </c>
      <c r="N1757" s="46" t="str">
        <f aca="false">IF($E1757="","",IF($P1757="","",IF($P1757&gt;=8,"Alta",IF($P1757&gt;=5,"Média","Baixa"))))</f>
        <v/>
      </c>
      <c r="O1757" s="46" t="str">
        <f aca="false">IF($E1757="","",IF(AND(Parâmetros!$C$5&gt;0,$P1757&lt;&gt;"",$P1757&gt;=Parâmetros!$C$5),"Sim","Não"))</f>
        <v/>
      </c>
      <c r="P1757" s="45" t="str">
        <f aca="false">IF($E1757="","",IF($G1757="","",IF($G1757="NOK",$F1757,0)))</f>
        <v/>
      </c>
      <c r="Q1757" s="46" t="str">
        <f aca="false">IF($E1757="","",IF($O1757&lt;&gt;"Sim","",COUNTIF($O$3:$O1757,"Sim")))</f>
        <v/>
      </c>
      <c r="R1757" s="47" t="n">
        <f aca="false">IF($P1757="",0,$P1757)</f>
        <v>0</v>
      </c>
    </row>
    <row r="1758" customFormat="false" ht="18" hidden="false" customHeight="true" outlineLevel="0" collapsed="false">
      <c r="A1758" s="39"/>
      <c r="B1758" s="41"/>
      <c r="C1758" s="40"/>
      <c r="D1758" s="40"/>
      <c r="E1758" s="40"/>
      <c r="F1758" s="42"/>
      <c r="G1758" s="39"/>
      <c r="H1758" s="40"/>
      <c r="I1758" s="40"/>
      <c r="J1758" s="40"/>
      <c r="K1758" s="41"/>
      <c r="L1758" s="39"/>
      <c r="M1758" s="48" t="str">
        <f aca="false">IF($E1758="","",IFERROR(INDEX(Parâmetros!$C$15:$C$20,MATCH($P1758,Parâmetros!$B$15:$B$20,0)),""))</f>
        <v/>
      </c>
      <c r="N1758" s="46" t="str">
        <f aca="false">IF($E1758="","",IF($P1758="","",IF($P1758&gt;=8,"Alta",IF($P1758&gt;=5,"Média","Baixa"))))</f>
        <v/>
      </c>
      <c r="O1758" s="46" t="str">
        <f aca="false">IF($E1758="","",IF(AND(Parâmetros!$C$5&gt;0,$P1758&lt;&gt;"",$P1758&gt;=Parâmetros!$C$5),"Sim","Não"))</f>
        <v/>
      </c>
      <c r="P1758" s="45" t="str">
        <f aca="false">IF($E1758="","",IF($G1758="","",IF($G1758="NOK",$F1758,0)))</f>
        <v/>
      </c>
      <c r="Q1758" s="46" t="str">
        <f aca="false">IF($E1758="","",IF($O1758&lt;&gt;"Sim","",COUNTIF($O$3:$O1758,"Sim")))</f>
        <v/>
      </c>
      <c r="R1758" s="47" t="n">
        <f aca="false">IF($P1758="",0,$P1758)</f>
        <v>0</v>
      </c>
    </row>
    <row r="1759" customFormat="false" ht="18" hidden="false" customHeight="true" outlineLevel="0" collapsed="false">
      <c r="A1759" s="39"/>
      <c r="B1759" s="41"/>
      <c r="C1759" s="40"/>
      <c r="D1759" s="40"/>
      <c r="E1759" s="40"/>
      <c r="F1759" s="42"/>
      <c r="G1759" s="39"/>
      <c r="H1759" s="40"/>
      <c r="I1759" s="40"/>
      <c r="J1759" s="40"/>
      <c r="K1759" s="41"/>
      <c r="L1759" s="39"/>
      <c r="M1759" s="48" t="str">
        <f aca="false">IF($E1759="","",IFERROR(INDEX(Parâmetros!$C$15:$C$20,MATCH($P1759,Parâmetros!$B$15:$B$20,0)),""))</f>
        <v/>
      </c>
      <c r="N1759" s="46" t="str">
        <f aca="false">IF($E1759="","",IF($P1759="","",IF($P1759&gt;=8,"Alta",IF($P1759&gt;=5,"Média","Baixa"))))</f>
        <v/>
      </c>
      <c r="O1759" s="46" t="str">
        <f aca="false">IF($E1759="","",IF(AND(Parâmetros!$C$5&gt;0,$P1759&lt;&gt;"",$P1759&gt;=Parâmetros!$C$5),"Sim","Não"))</f>
        <v/>
      </c>
      <c r="P1759" s="45" t="str">
        <f aca="false">IF($E1759="","",IF($G1759="","",IF($G1759="NOK",$F1759,0)))</f>
        <v/>
      </c>
      <c r="Q1759" s="46" t="str">
        <f aca="false">IF($E1759="","",IF($O1759&lt;&gt;"Sim","",COUNTIF($O$3:$O1759,"Sim")))</f>
        <v/>
      </c>
      <c r="R1759" s="47" t="n">
        <f aca="false">IF($P1759="",0,$P1759)</f>
        <v>0</v>
      </c>
    </row>
    <row r="1760" customFormat="false" ht="18" hidden="false" customHeight="true" outlineLevel="0" collapsed="false">
      <c r="A1760" s="39"/>
      <c r="B1760" s="41"/>
      <c r="C1760" s="40"/>
      <c r="D1760" s="40"/>
      <c r="E1760" s="40"/>
      <c r="F1760" s="42"/>
      <c r="G1760" s="39"/>
      <c r="H1760" s="40"/>
      <c r="I1760" s="40"/>
      <c r="J1760" s="40"/>
      <c r="K1760" s="41"/>
      <c r="L1760" s="39"/>
      <c r="M1760" s="48" t="str">
        <f aca="false">IF($E1760="","",IFERROR(INDEX(Parâmetros!$C$15:$C$20,MATCH($P1760,Parâmetros!$B$15:$B$20,0)),""))</f>
        <v/>
      </c>
      <c r="N1760" s="46" t="str">
        <f aca="false">IF($E1760="","",IF($P1760="","",IF($P1760&gt;=8,"Alta",IF($P1760&gt;=5,"Média","Baixa"))))</f>
        <v/>
      </c>
      <c r="O1760" s="46" t="str">
        <f aca="false">IF($E1760="","",IF(AND(Parâmetros!$C$5&gt;0,$P1760&lt;&gt;"",$P1760&gt;=Parâmetros!$C$5),"Sim","Não"))</f>
        <v/>
      </c>
      <c r="P1760" s="45" t="str">
        <f aca="false">IF($E1760="","",IF($G1760="","",IF($G1760="NOK",$F1760,0)))</f>
        <v/>
      </c>
      <c r="Q1760" s="46" t="str">
        <f aca="false">IF($E1760="","",IF($O1760&lt;&gt;"Sim","",COUNTIF($O$3:$O1760,"Sim")))</f>
        <v/>
      </c>
      <c r="R1760" s="47" t="n">
        <f aca="false">IF($P1760="",0,$P1760)</f>
        <v>0</v>
      </c>
    </row>
    <row r="1761" customFormat="false" ht="18" hidden="false" customHeight="true" outlineLevel="0" collapsed="false">
      <c r="A1761" s="39"/>
      <c r="B1761" s="41"/>
      <c r="C1761" s="40"/>
      <c r="D1761" s="40"/>
      <c r="E1761" s="40"/>
      <c r="F1761" s="42"/>
      <c r="G1761" s="39"/>
      <c r="H1761" s="40"/>
      <c r="I1761" s="40"/>
      <c r="J1761" s="40"/>
      <c r="K1761" s="41"/>
      <c r="L1761" s="39"/>
      <c r="M1761" s="48" t="str">
        <f aca="false">IF($E1761="","",IFERROR(INDEX(Parâmetros!$C$15:$C$20,MATCH($P1761,Parâmetros!$B$15:$B$20,0)),""))</f>
        <v/>
      </c>
      <c r="N1761" s="46" t="str">
        <f aca="false">IF($E1761="","",IF($P1761="","",IF($P1761&gt;=8,"Alta",IF($P1761&gt;=5,"Média","Baixa"))))</f>
        <v/>
      </c>
      <c r="O1761" s="46" t="str">
        <f aca="false">IF($E1761="","",IF(AND(Parâmetros!$C$5&gt;0,$P1761&lt;&gt;"",$P1761&gt;=Parâmetros!$C$5),"Sim","Não"))</f>
        <v/>
      </c>
      <c r="P1761" s="45" t="str">
        <f aca="false">IF($E1761="","",IF($G1761="","",IF($G1761="NOK",$F1761,0)))</f>
        <v/>
      </c>
      <c r="Q1761" s="46" t="str">
        <f aca="false">IF($E1761="","",IF($O1761&lt;&gt;"Sim","",COUNTIF($O$3:$O1761,"Sim")))</f>
        <v/>
      </c>
      <c r="R1761" s="47" t="n">
        <f aca="false">IF($P1761="",0,$P1761)</f>
        <v>0</v>
      </c>
    </row>
    <row r="1762" customFormat="false" ht="18" hidden="false" customHeight="true" outlineLevel="0" collapsed="false">
      <c r="A1762" s="39"/>
      <c r="B1762" s="41"/>
      <c r="C1762" s="40"/>
      <c r="D1762" s="40"/>
      <c r="E1762" s="40"/>
      <c r="F1762" s="42"/>
      <c r="G1762" s="39"/>
      <c r="H1762" s="40"/>
      <c r="I1762" s="40"/>
      <c r="J1762" s="40"/>
      <c r="K1762" s="41"/>
      <c r="L1762" s="39"/>
      <c r="M1762" s="48" t="str">
        <f aca="false">IF($E1762="","",IFERROR(INDEX(Parâmetros!$C$15:$C$20,MATCH($P1762,Parâmetros!$B$15:$B$20,0)),""))</f>
        <v/>
      </c>
      <c r="N1762" s="46" t="str">
        <f aca="false">IF($E1762="","",IF($P1762="","",IF($P1762&gt;=8,"Alta",IF($P1762&gt;=5,"Média","Baixa"))))</f>
        <v/>
      </c>
      <c r="O1762" s="46" t="str">
        <f aca="false">IF($E1762="","",IF(AND(Parâmetros!$C$5&gt;0,$P1762&lt;&gt;"",$P1762&gt;=Parâmetros!$C$5),"Sim","Não"))</f>
        <v/>
      </c>
      <c r="P1762" s="45" t="str">
        <f aca="false">IF($E1762="","",IF($G1762="","",IF($G1762="NOK",$F1762,0)))</f>
        <v/>
      </c>
      <c r="Q1762" s="46" t="str">
        <f aca="false">IF($E1762="","",IF($O1762&lt;&gt;"Sim","",COUNTIF($O$3:$O1762,"Sim")))</f>
        <v/>
      </c>
      <c r="R1762" s="47" t="n">
        <f aca="false">IF($P1762="",0,$P1762)</f>
        <v>0</v>
      </c>
    </row>
    <row r="1763" customFormat="false" ht="18" hidden="false" customHeight="true" outlineLevel="0" collapsed="false">
      <c r="A1763" s="39"/>
      <c r="B1763" s="41"/>
      <c r="C1763" s="40"/>
      <c r="D1763" s="40"/>
      <c r="E1763" s="40"/>
      <c r="F1763" s="42"/>
      <c r="G1763" s="39"/>
      <c r="H1763" s="40"/>
      <c r="I1763" s="40"/>
      <c r="J1763" s="40"/>
      <c r="K1763" s="41"/>
      <c r="L1763" s="39"/>
      <c r="M1763" s="48" t="str">
        <f aca="false">IF($E1763="","",IFERROR(INDEX(Parâmetros!$C$15:$C$20,MATCH($P1763,Parâmetros!$B$15:$B$20,0)),""))</f>
        <v/>
      </c>
      <c r="N1763" s="46" t="str">
        <f aca="false">IF($E1763="","",IF($P1763="","",IF($P1763&gt;=8,"Alta",IF($P1763&gt;=5,"Média","Baixa"))))</f>
        <v/>
      </c>
      <c r="O1763" s="46" t="str">
        <f aca="false">IF($E1763="","",IF(AND(Parâmetros!$C$5&gt;0,$P1763&lt;&gt;"",$P1763&gt;=Parâmetros!$C$5),"Sim","Não"))</f>
        <v/>
      </c>
      <c r="P1763" s="45" t="str">
        <f aca="false">IF($E1763="","",IF($G1763="","",IF($G1763="NOK",$F1763,0)))</f>
        <v/>
      </c>
      <c r="Q1763" s="46" t="str">
        <f aca="false">IF($E1763="","",IF($O1763&lt;&gt;"Sim","",COUNTIF($O$3:$O1763,"Sim")))</f>
        <v/>
      </c>
      <c r="R1763" s="47" t="n">
        <f aca="false">IF($P1763="",0,$P1763)</f>
        <v>0</v>
      </c>
    </row>
    <row r="1764" customFormat="false" ht="18" hidden="false" customHeight="true" outlineLevel="0" collapsed="false">
      <c r="A1764" s="39"/>
      <c r="B1764" s="41"/>
      <c r="C1764" s="40"/>
      <c r="D1764" s="40"/>
      <c r="E1764" s="40"/>
      <c r="F1764" s="42"/>
      <c r="G1764" s="39"/>
      <c r="H1764" s="40"/>
      <c r="I1764" s="40"/>
      <c r="J1764" s="40"/>
      <c r="K1764" s="41"/>
      <c r="L1764" s="39"/>
      <c r="M1764" s="48" t="str">
        <f aca="false">IF($E1764="","",IFERROR(INDEX(Parâmetros!$C$15:$C$20,MATCH($P1764,Parâmetros!$B$15:$B$20,0)),""))</f>
        <v/>
      </c>
      <c r="N1764" s="46" t="str">
        <f aca="false">IF($E1764="","",IF($P1764="","",IF($P1764&gt;=8,"Alta",IF($P1764&gt;=5,"Média","Baixa"))))</f>
        <v/>
      </c>
      <c r="O1764" s="46" t="str">
        <f aca="false">IF($E1764="","",IF(AND(Parâmetros!$C$5&gt;0,$P1764&lt;&gt;"",$P1764&gt;=Parâmetros!$C$5),"Sim","Não"))</f>
        <v/>
      </c>
      <c r="P1764" s="45" t="str">
        <f aca="false">IF($E1764="","",IF($G1764="","",IF($G1764="NOK",$F1764,0)))</f>
        <v/>
      </c>
      <c r="Q1764" s="46" t="str">
        <f aca="false">IF($E1764="","",IF($O1764&lt;&gt;"Sim","",COUNTIF($O$3:$O1764,"Sim")))</f>
        <v/>
      </c>
      <c r="R1764" s="47" t="n">
        <f aca="false">IF($P1764="",0,$P1764)</f>
        <v>0</v>
      </c>
    </row>
    <row r="1765" customFormat="false" ht="18" hidden="false" customHeight="true" outlineLevel="0" collapsed="false">
      <c r="A1765" s="39"/>
      <c r="B1765" s="41"/>
      <c r="C1765" s="40"/>
      <c r="D1765" s="40"/>
      <c r="E1765" s="40"/>
      <c r="F1765" s="42"/>
      <c r="G1765" s="39"/>
      <c r="H1765" s="40"/>
      <c r="I1765" s="40"/>
      <c r="J1765" s="40"/>
      <c r="K1765" s="41"/>
      <c r="L1765" s="39"/>
      <c r="M1765" s="48" t="str">
        <f aca="false">IF($E1765="","",IFERROR(INDEX(Parâmetros!$C$15:$C$20,MATCH($P1765,Parâmetros!$B$15:$B$20,0)),""))</f>
        <v/>
      </c>
      <c r="N1765" s="46" t="str">
        <f aca="false">IF($E1765="","",IF($P1765="","",IF($P1765&gt;=8,"Alta",IF($P1765&gt;=5,"Média","Baixa"))))</f>
        <v/>
      </c>
      <c r="O1765" s="46" t="str">
        <f aca="false">IF($E1765="","",IF(AND(Parâmetros!$C$5&gt;0,$P1765&lt;&gt;"",$P1765&gt;=Parâmetros!$C$5),"Sim","Não"))</f>
        <v/>
      </c>
      <c r="P1765" s="45" t="str">
        <f aca="false">IF($E1765="","",IF($G1765="","",IF($G1765="NOK",$F1765,0)))</f>
        <v/>
      </c>
      <c r="Q1765" s="46" t="str">
        <f aca="false">IF($E1765="","",IF($O1765&lt;&gt;"Sim","",COUNTIF($O$3:$O1765,"Sim")))</f>
        <v/>
      </c>
      <c r="R1765" s="47" t="n">
        <f aca="false">IF($P1765="",0,$P1765)</f>
        <v>0</v>
      </c>
    </row>
    <row r="1766" customFormat="false" ht="18" hidden="false" customHeight="true" outlineLevel="0" collapsed="false">
      <c r="A1766" s="39"/>
      <c r="B1766" s="41"/>
      <c r="C1766" s="40"/>
      <c r="D1766" s="40"/>
      <c r="E1766" s="40"/>
      <c r="F1766" s="42"/>
      <c r="G1766" s="39"/>
      <c r="H1766" s="40"/>
      <c r="I1766" s="40"/>
      <c r="J1766" s="40"/>
      <c r="K1766" s="41"/>
      <c r="L1766" s="39"/>
      <c r="M1766" s="48" t="str">
        <f aca="false">IF($E1766="","",IFERROR(INDEX(Parâmetros!$C$15:$C$20,MATCH($P1766,Parâmetros!$B$15:$B$20,0)),""))</f>
        <v/>
      </c>
      <c r="N1766" s="46" t="str">
        <f aca="false">IF($E1766="","",IF($P1766="","",IF($P1766&gt;=8,"Alta",IF($P1766&gt;=5,"Média","Baixa"))))</f>
        <v/>
      </c>
      <c r="O1766" s="46" t="str">
        <f aca="false">IF($E1766="","",IF(AND(Parâmetros!$C$5&gt;0,$P1766&lt;&gt;"",$P1766&gt;=Parâmetros!$C$5),"Sim","Não"))</f>
        <v/>
      </c>
      <c r="P1766" s="45" t="str">
        <f aca="false">IF($E1766="","",IF($G1766="","",IF($G1766="NOK",$F1766,0)))</f>
        <v/>
      </c>
      <c r="Q1766" s="46" t="str">
        <f aca="false">IF($E1766="","",IF($O1766&lt;&gt;"Sim","",COUNTIF($O$3:$O1766,"Sim")))</f>
        <v/>
      </c>
      <c r="R1766" s="47" t="n">
        <f aca="false">IF($P1766="",0,$P1766)</f>
        <v>0</v>
      </c>
    </row>
    <row r="1767" customFormat="false" ht="18" hidden="false" customHeight="true" outlineLevel="0" collapsed="false">
      <c r="A1767" s="39"/>
      <c r="B1767" s="41"/>
      <c r="C1767" s="40"/>
      <c r="D1767" s="40"/>
      <c r="E1767" s="40"/>
      <c r="F1767" s="42"/>
      <c r="G1767" s="39"/>
      <c r="H1767" s="40"/>
      <c r="I1767" s="40"/>
      <c r="J1767" s="40"/>
      <c r="K1767" s="41"/>
      <c r="L1767" s="39"/>
      <c r="M1767" s="48" t="str">
        <f aca="false">IF($E1767="","",IFERROR(INDEX(Parâmetros!$C$15:$C$20,MATCH($P1767,Parâmetros!$B$15:$B$20,0)),""))</f>
        <v/>
      </c>
      <c r="N1767" s="46" t="str">
        <f aca="false">IF($E1767="","",IF($P1767="","",IF($P1767&gt;=8,"Alta",IF($P1767&gt;=5,"Média","Baixa"))))</f>
        <v/>
      </c>
      <c r="O1767" s="46" t="str">
        <f aca="false">IF($E1767="","",IF(AND(Parâmetros!$C$5&gt;0,$P1767&lt;&gt;"",$P1767&gt;=Parâmetros!$C$5),"Sim","Não"))</f>
        <v/>
      </c>
      <c r="P1767" s="45" t="str">
        <f aca="false">IF($E1767="","",IF($G1767="","",IF($G1767="NOK",$F1767,0)))</f>
        <v/>
      </c>
      <c r="Q1767" s="46" t="str">
        <f aca="false">IF($E1767="","",IF($O1767&lt;&gt;"Sim","",COUNTIF($O$3:$O1767,"Sim")))</f>
        <v/>
      </c>
      <c r="R1767" s="47" t="n">
        <f aca="false">IF($P1767="",0,$P1767)</f>
        <v>0</v>
      </c>
    </row>
    <row r="1768" customFormat="false" ht="18" hidden="false" customHeight="true" outlineLevel="0" collapsed="false">
      <c r="A1768" s="39"/>
      <c r="B1768" s="41"/>
      <c r="C1768" s="40"/>
      <c r="D1768" s="40"/>
      <c r="E1768" s="40"/>
      <c r="F1768" s="42"/>
      <c r="G1768" s="39"/>
      <c r="H1768" s="40"/>
      <c r="I1768" s="40"/>
      <c r="J1768" s="40"/>
      <c r="K1768" s="41"/>
      <c r="L1768" s="39"/>
      <c r="M1768" s="48" t="str">
        <f aca="false">IF($E1768="","",IFERROR(INDEX(Parâmetros!$C$15:$C$20,MATCH($P1768,Parâmetros!$B$15:$B$20,0)),""))</f>
        <v/>
      </c>
      <c r="N1768" s="46" t="str">
        <f aca="false">IF($E1768="","",IF($P1768="","",IF($P1768&gt;=8,"Alta",IF($P1768&gt;=5,"Média","Baixa"))))</f>
        <v/>
      </c>
      <c r="O1768" s="46" t="str">
        <f aca="false">IF($E1768="","",IF(AND(Parâmetros!$C$5&gt;0,$P1768&lt;&gt;"",$P1768&gt;=Parâmetros!$C$5),"Sim","Não"))</f>
        <v/>
      </c>
      <c r="P1768" s="45" t="str">
        <f aca="false">IF($E1768="","",IF($G1768="","",IF($G1768="NOK",$F1768,0)))</f>
        <v/>
      </c>
      <c r="Q1768" s="46" t="str">
        <f aca="false">IF($E1768="","",IF($O1768&lt;&gt;"Sim","",COUNTIF($O$3:$O1768,"Sim")))</f>
        <v/>
      </c>
      <c r="R1768" s="47" t="n">
        <f aca="false">IF($P1768="",0,$P1768)</f>
        <v>0</v>
      </c>
    </row>
    <row r="1769" customFormat="false" ht="18" hidden="false" customHeight="true" outlineLevel="0" collapsed="false">
      <c r="A1769" s="39"/>
      <c r="B1769" s="41"/>
      <c r="C1769" s="40"/>
      <c r="D1769" s="40"/>
      <c r="E1769" s="40"/>
      <c r="F1769" s="42"/>
      <c r="G1769" s="39"/>
      <c r="H1769" s="40"/>
      <c r="I1769" s="40"/>
      <c r="J1769" s="40"/>
      <c r="K1769" s="41"/>
      <c r="L1769" s="39"/>
      <c r="M1769" s="48" t="str">
        <f aca="false">IF($E1769="","",IFERROR(INDEX(Parâmetros!$C$15:$C$20,MATCH($P1769,Parâmetros!$B$15:$B$20,0)),""))</f>
        <v/>
      </c>
      <c r="N1769" s="46" t="str">
        <f aca="false">IF($E1769="","",IF($P1769="","",IF($P1769&gt;=8,"Alta",IF($P1769&gt;=5,"Média","Baixa"))))</f>
        <v/>
      </c>
      <c r="O1769" s="46" t="str">
        <f aca="false">IF($E1769="","",IF(AND(Parâmetros!$C$5&gt;0,$P1769&lt;&gt;"",$P1769&gt;=Parâmetros!$C$5),"Sim","Não"))</f>
        <v/>
      </c>
      <c r="P1769" s="45" t="str">
        <f aca="false">IF($E1769="","",IF($G1769="","",IF($G1769="NOK",$F1769,0)))</f>
        <v/>
      </c>
      <c r="Q1769" s="46" t="str">
        <f aca="false">IF($E1769="","",IF($O1769&lt;&gt;"Sim","",COUNTIF($O$3:$O1769,"Sim")))</f>
        <v/>
      </c>
      <c r="R1769" s="47" t="n">
        <f aca="false">IF($P1769="",0,$P1769)</f>
        <v>0</v>
      </c>
    </row>
    <row r="1770" customFormat="false" ht="18" hidden="false" customHeight="true" outlineLevel="0" collapsed="false">
      <c r="A1770" s="39"/>
      <c r="B1770" s="41"/>
      <c r="C1770" s="40"/>
      <c r="D1770" s="40"/>
      <c r="E1770" s="40"/>
      <c r="F1770" s="42"/>
      <c r="G1770" s="39"/>
      <c r="H1770" s="40"/>
      <c r="I1770" s="40"/>
      <c r="J1770" s="40"/>
      <c r="K1770" s="41"/>
      <c r="L1770" s="39"/>
      <c r="M1770" s="48" t="str">
        <f aca="false">IF($E1770="","",IFERROR(INDEX(Parâmetros!$C$15:$C$20,MATCH($P1770,Parâmetros!$B$15:$B$20,0)),""))</f>
        <v/>
      </c>
      <c r="N1770" s="46" t="str">
        <f aca="false">IF($E1770="","",IF($P1770="","",IF($P1770&gt;=8,"Alta",IF($P1770&gt;=5,"Média","Baixa"))))</f>
        <v/>
      </c>
      <c r="O1770" s="46" t="str">
        <f aca="false">IF($E1770="","",IF(AND(Parâmetros!$C$5&gt;0,$P1770&lt;&gt;"",$P1770&gt;=Parâmetros!$C$5),"Sim","Não"))</f>
        <v/>
      </c>
      <c r="P1770" s="45" t="str">
        <f aca="false">IF($E1770="","",IF($G1770="","",IF($G1770="NOK",$F1770,0)))</f>
        <v/>
      </c>
      <c r="Q1770" s="46" t="str">
        <f aca="false">IF($E1770="","",IF($O1770&lt;&gt;"Sim","",COUNTIF($O$3:$O1770,"Sim")))</f>
        <v/>
      </c>
      <c r="R1770" s="47" t="n">
        <f aca="false">IF($P1770="",0,$P1770)</f>
        <v>0</v>
      </c>
    </row>
    <row r="1771" customFormat="false" ht="18" hidden="false" customHeight="true" outlineLevel="0" collapsed="false">
      <c r="A1771" s="39"/>
      <c r="B1771" s="41"/>
      <c r="C1771" s="40"/>
      <c r="D1771" s="40"/>
      <c r="E1771" s="40"/>
      <c r="F1771" s="42"/>
      <c r="G1771" s="39"/>
      <c r="H1771" s="40"/>
      <c r="I1771" s="40"/>
      <c r="J1771" s="40"/>
      <c r="K1771" s="41"/>
      <c r="L1771" s="39"/>
      <c r="M1771" s="48" t="str">
        <f aca="false">IF($E1771="","",IFERROR(INDEX(Parâmetros!$C$15:$C$20,MATCH($P1771,Parâmetros!$B$15:$B$20,0)),""))</f>
        <v/>
      </c>
      <c r="N1771" s="46" t="str">
        <f aca="false">IF($E1771="","",IF($P1771="","",IF($P1771&gt;=8,"Alta",IF($P1771&gt;=5,"Média","Baixa"))))</f>
        <v/>
      </c>
      <c r="O1771" s="46" t="str">
        <f aca="false">IF($E1771="","",IF(AND(Parâmetros!$C$5&gt;0,$P1771&lt;&gt;"",$P1771&gt;=Parâmetros!$C$5),"Sim","Não"))</f>
        <v/>
      </c>
      <c r="P1771" s="45" t="str">
        <f aca="false">IF($E1771="","",IF($G1771="","",IF($G1771="NOK",$F1771,0)))</f>
        <v/>
      </c>
      <c r="Q1771" s="46" t="str">
        <f aca="false">IF($E1771="","",IF($O1771&lt;&gt;"Sim","",COUNTIF($O$3:$O1771,"Sim")))</f>
        <v/>
      </c>
      <c r="R1771" s="47" t="n">
        <f aca="false">IF($P1771="",0,$P1771)</f>
        <v>0</v>
      </c>
    </row>
    <row r="1772" customFormat="false" ht="18" hidden="false" customHeight="true" outlineLevel="0" collapsed="false">
      <c r="A1772" s="39"/>
      <c r="B1772" s="41"/>
      <c r="C1772" s="40"/>
      <c r="D1772" s="40"/>
      <c r="E1772" s="40"/>
      <c r="F1772" s="42"/>
      <c r="G1772" s="39"/>
      <c r="H1772" s="40"/>
      <c r="I1772" s="40"/>
      <c r="J1772" s="40"/>
      <c r="K1772" s="41"/>
      <c r="L1772" s="39"/>
      <c r="M1772" s="48" t="str">
        <f aca="false">IF($E1772="","",IFERROR(INDEX(Parâmetros!$C$15:$C$20,MATCH($P1772,Parâmetros!$B$15:$B$20,0)),""))</f>
        <v/>
      </c>
      <c r="N1772" s="46" t="str">
        <f aca="false">IF($E1772="","",IF($P1772="","",IF($P1772&gt;=8,"Alta",IF($P1772&gt;=5,"Média","Baixa"))))</f>
        <v/>
      </c>
      <c r="O1772" s="46" t="str">
        <f aca="false">IF($E1772="","",IF(AND(Parâmetros!$C$5&gt;0,$P1772&lt;&gt;"",$P1772&gt;=Parâmetros!$C$5),"Sim","Não"))</f>
        <v/>
      </c>
      <c r="P1772" s="45" t="str">
        <f aca="false">IF($E1772="","",IF($G1772="","",IF($G1772="NOK",$F1772,0)))</f>
        <v/>
      </c>
      <c r="Q1772" s="46" t="str">
        <f aca="false">IF($E1772="","",IF($O1772&lt;&gt;"Sim","",COUNTIF($O$3:$O1772,"Sim")))</f>
        <v/>
      </c>
      <c r="R1772" s="47" t="n">
        <f aca="false">IF($P1772="",0,$P1772)</f>
        <v>0</v>
      </c>
    </row>
    <row r="1773" customFormat="false" ht="18" hidden="false" customHeight="true" outlineLevel="0" collapsed="false">
      <c r="A1773" s="39"/>
      <c r="B1773" s="41"/>
      <c r="C1773" s="40"/>
      <c r="D1773" s="40"/>
      <c r="E1773" s="40"/>
      <c r="F1773" s="42"/>
      <c r="G1773" s="39"/>
      <c r="H1773" s="40"/>
      <c r="I1773" s="40"/>
      <c r="J1773" s="40"/>
      <c r="K1773" s="41"/>
      <c r="L1773" s="39"/>
      <c r="M1773" s="48" t="str">
        <f aca="false">IF($E1773="","",IFERROR(INDEX(Parâmetros!$C$15:$C$20,MATCH($P1773,Parâmetros!$B$15:$B$20,0)),""))</f>
        <v/>
      </c>
      <c r="N1773" s="46" t="str">
        <f aca="false">IF($E1773="","",IF($P1773="","",IF($P1773&gt;=8,"Alta",IF($P1773&gt;=5,"Média","Baixa"))))</f>
        <v/>
      </c>
      <c r="O1773" s="46" t="str">
        <f aca="false">IF($E1773="","",IF(AND(Parâmetros!$C$5&gt;0,$P1773&lt;&gt;"",$P1773&gt;=Parâmetros!$C$5),"Sim","Não"))</f>
        <v/>
      </c>
      <c r="P1773" s="45" t="str">
        <f aca="false">IF($E1773="","",IF($G1773="","",IF($G1773="NOK",$F1773,0)))</f>
        <v/>
      </c>
      <c r="Q1773" s="46" t="str">
        <f aca="false">IF($E1773="","",IF($O1773&lt;&gt;"Sim","",COUNTIF($O$3:$O1773,"Sim")))</f>
        <v/>
      </c>
      <c r="R1773" s="47" t="n">
        <f aca="false">IF($P1773="",0,$P1773)</f>
        <v>0</v>
      </c>
    </row>
    <row r="1774" customFormat="false" ht="18" hidden="false" customHeight="true" outlineLevel="0" collapsed="false">
      <c r="A1774" s="39"/>
      <c r="B1774" s="41"/>
      <c r="C1774" s="40"/>
      <c r="D1774" s="40"/>
      <c r="E1774" s="40"/>
      <c r="F1774" s="42"/>
      <c r="G1774" s="39"/>
      <c r="H1774" s="40"/>
      <c r="I1774" s="40"/>
      <c r="J1774" s="40"/>
      <c r="K1774" s="41"/>
      <c r="L1774" s="39"/>
      <c r="M1774" s="48" t="str">
        <f aca="false">IF($E1774="","",IFERROR(INDEX(Parâmetros!$C$15:$C$20,MATCH($P1774,Parâmetros!$B$15:$B$20,0)),""))</f>
        <v/>
      </c>
      <c r="N1774" s="46" t="str">
        <f aca="false">IF($E1774="","",IF($P1774="","",IF($P1774&gt;=8,"Alta",IF($P1774&gt;=5,"Média","Baixa"))))</f>
        <v/>
      </c>
      <c r="O1774" s="46" t="str">
        <f aca="false">IF($E1774="","",IF(AND(Parâmetros!$C$5&gt;0,$P1774&lt;&gt;"",$P1774&gt;=Parâmetros!$C$5),"Sim","Não"))</f>
        <v/>
      </c>
      <c r="P1774" s="45" t="str">
        <f aca="false">IF($E1774="","",IF($G1774="","",IF($G1774="NOK",$F1774,0)))</f>
        <v/>
      </c>
      <c r="Q1774" s="46" t="str">
        <f aca="false">IF($E1774="","",IF($O1774&lt;&gt;"Sim","",COUNTIF($O$3:$O1774,"Sim")))</f>
        <v/>
      </c>
      <c r="R1774" s="47" t="n">
        <f aca="false">IF($P1774="",0,$P1774)</f>
        <v>0</v>
      </c>
    </row>
    <row r="1775" customFormat="false" ht="18" hidden="false" customHeight="true" outlineLevel="0" collapsed="false">
      <c r="A1775" s="39"/>
      <c r="B1775" s="41"/>
      <c r="C1775" s="40"/>
      <c r="D1775" s="40"/>
      <c r="E1775" s="40"/>
      <c r="F1775" s="42"/>
      <c r="G1775" s="39"/>
      <c r="H1775" s="40"/>
      <c r="I1775" s="40"/>
      <c r="J1775" s="40"/>
      <c r="K1775" s="41"/>
      <c r="L1775" s="39"/>
      <c r="M1775" s="48" t="str">
        <f aca="false">IF($E1775="","",IFERROR(INDEX(Parâmetros!$C$15:$C$20,MATCH($P1775,Parâmetros!$B$15:$B$20,0)),""))</f>
        <v/>
      </c>
      <c r="N1775" s="46" t="str">
        <f aca="false">IF($E1775="","",IF($P1775="","",IF($P1775&gt;=8,"Alta",IF($P1775&gt;=5,"Média","Baixa"))))</f>
        <v/>
      </c>
      <c r="O1775" s="46" t="str">
        <f aca="false">IF($E1775="","",IF(AND(Parâmetros!$C$5&gt;0,$P1775&lt;&gt;"",$P1775&gt;=Parâmetros!$C$5),"Sim","Não"))</f>
        <v/>
      </c>
      <c r="P1775" s="45" t="str">
        <f aca="false">IF($E1775="","",IF($G1775="","",IF($G1775="NOK",$F1775,0)))</f>
        <v/>
      </c>
      <c r="Q1775" s="46" t="str">
        <f aca="false">IF($E1775="","",IF($O1775&lt;&gt;"Sim","",COUNTIF($O$3:$O1775,"Sim")))</f>
        <v/>
      </c>
      <c r="R1775" s="47" t="n">
        <f aca="false">IF($P1775="",0,$P1775)</f>
        <v>0</v>
      </c>
    </row>
    <row r="1776" customFormat="false" ht="18" hidden="false" customHeight="true" outlineLevel="0" collapsed="false">
      <c r="A1776" s="39"/>
      <c r="B1776" s="41"/>
      <c r="C1776" s="40"/>
      <c r="D1776" s="40"/>
      <c r="E1776" s="40"/>
      <c r="F1776" s="42"/>
      <c r="G1776" s="39"/>
      <c r="H1776" s="40"/>
      <c r="I1776" s="40"/>
      <c r="J1776" s="40"/>
      <c r="K1776" s="41"/>
      <c r="L1776" s="39"/>
      <c r="M1776" s="48" t="str">
        <f aca="false">IF($E1776="","",IFERROR(INDEX(Parâmetros!$C$15:$C$20,MATCH($P1776,Parâmetros!$B$15:$B$20,0)),""))</f>
        <v/>
      </c>
      <c r="N1776" s="46" t="str">
        <f aca="false">IF($E1776="","",IF($P1776="","",IF($P1776&gt;=8,"Alta",IF($P1776&gt;=5,"Média","Baixa"))))</f>
        <v/>
      </c>
      <c r="O1776" s="46" t="str">
        <f aca="false">IF($E1776="","",IF(AND(Parâmetros!$C$5&gt;0,$P1776&lt;&gt;"",$P1776&gt;=Parâmetros!$C$5),"Sim","Não"))</f>
        <v/>
      </c>
      <c r="P1776" s="45" t="str">
        <f aca="false">IF($E1776="","",IF($G1776="","",IF($G1776="NOK",$F1776,0)))</f>
        <v/>
      </c>
      <c r="Q1776" s="46" t="str">
        <f aca="false">IF($E1776="","",IF($O1776&lt;&gt;"Sim","",COUNTIF($O$3:$O1776,"Sim")))</f>
        <v/>
      </c>
      <c r="R1776" s="47" t="n">
        <f aca="false">IF($P1776="",0,$P1776)</f>
        <v>0</v>
      </c>
    </row>
    <row r="1777" customFormat="false" ht="18" hidden="false" customHeight="true" outlineLevel="0" collapsed="false">
      <c r="A1777" s="39"/>
      <c r="B1777" s="41"/>
      <c r="C1777" s="40"/>
      <c r="D1777" s="40"/>
      <c r="E1777" s="40"/>
      <c r="F1777" s="42"/>
      <c r="G1777" s="39"/>
      <c r="H1777" s="40"/>
      <c r="I1777" s="40"/>
      <c r="J1777" s="40"/>
      <c r="K1777" s="41"/>
      <c r="L1777" s="39"/>
      <c r="M1777" s="48" t="str">
        <f aca="false">IF($E1777="","",IFERROR(INDEX(Parâmetros!$C$15:$C$20,MATCH($P1777,Parâmetros!$B$15:$B$20,0)),""))</f>
        <v/>
      </c>
      <c r="N1777" s="46" t="str">
        <f aca="false">IF($E1777="","",IF($P1777="","",IF($P1777&gt;=8,"Alta",IF($P1777&gt;=5,"Média","Baixa"))))</f>
        <v/>
      </c>
      <c r="O1777" s="46" t="str">
        <f aca="false">IF($E1777="","",IF(AND(Parâmetros!$C$5&gt;0,$P1777&lt;&gt;"",$P1777&gt;=Parâmetros!$C$5),"Sim","Não"))</f>
        <v/>
      </c>
      <c r="P1777" s="45" t="str">
        <f aca="false">IF($E1777="","",IF($G1777="","",IF($G1777="NOK",$F1777,0)))</f>
        <v/>
      </c>
      <c r="Q1777" s="46" t="str">
        <f aca="false">IF($E1777="","",IF($O1777&lt;&gt;"Sim","",COUNTIF($O$3:$O1777,"Sim")))</f>
        <v/>
      </c>
      <c r="R1777" s="47" t="n">
        <f aca="false">IF($P1777="",0,$P1777)</f>
        <v>0</v>
      </c>
    </row>
    <row r="1778" customFormat="false" ht="18" hidden="false" customHeight="true" outlineLevel="0" collapsed="false">
      <c r="A1778" s="39"/>
      <c r="B1778" s="41"/>
      <c r="C1778" s="40"/>
      <c r="D1778" s="40"/>
      <c r="E1778" s="40"/>
      <c r="F1778" s="42"/>
      <c r="G1778" s="39"/>
      <c r="H1778" s="40"/>
      <c r="I1778" s="40"/>
      <c r="J1778" s="40"/>
      <c r="K1778" s="41"/>
      <c r="L1778" s="39"/>
      <c r="M1778" s="48" t="str">
        <f aca="false">IF($E1778="","",IFERROR(INDEX(Parâmetros!$C$15:$C$20,MATCH($P1778,Parâmetros!$B$15:$B$20,0)),""))</f>
        <v/>
      </c>
      <c r="N1778" s="46" t="str">
        <f aca="false">IF($E1778="","",IF($P1778="","",IF($P1778&gt;=8,"Alta",IF($P1778&gt;=5,"Média","Baixa"))))</f>
        <v/>
      </c>
      <c r="O1778" s="46" t="str">
        <f aca="false">IF($E1778="","",IF(AND(Parâmetros!$C$5&gt;0,$P1778&lt;&gt;"",$P1778&gt;=Parâmetros!$C$5),"Sim","Não"))</f>
        <v/>
      </c>
      <c r="P1778" s="45" t="str">
        <f aca="false">IF($E1778="","",IF($G1778="","",IF($G1778="NOK",$F1778,0)))</f>
        <v/>
      </c>
      <c r="Q1778" s="46" t="str">
        <f aca="false">IF($E1778="","",IF($O1778&lt;&gt;"Sim","",COUNTIF($O$3:$O1778,"Sim")))</f>
        <v/>
      </c>
      <c r="R1778" s="47" t="n">
        <f aca="false">IF($P1778="",0,$P1778)</f>
        <v>0</v>
      </c>
    </row>
    <row r="1779" customFormat="false" ht="18" hidden="false" customHeight="true" outlineLevel="0" collapsed="false">
      <c r="A1779" s="39"/>
      <c r="B1779" s="41"/>
      <c r="C1779" s="40"/>
      <c r="D1779" s="40"/>
      <c r="E1779" s="40"/>
      <c r="F1779" s="42"/>
      <c r="G1779" s="39"/>
      <c r="H1779" s="40"/>
      <c r="I1779" s="40"/>
      <c r="J1779" s="40"/>
      <c r="K1779" s="41"/>
      <c r="L1779" s="39"/>
      <c r="M1779" s="48" t="str">
        <f aca="false">IF($E1779="","",IFERROR(INDEX(Parâmetros!$C$15:$C$20,MATCH($P1779,Parâmetros!$B$15:$B$20,0)),""))</f>
        <v/>
      </c>
      <c r="N1779" s="46" t="str">
        <f aca="false">IF($E1779="","",IF($P1779="","",IF($P1779&gt;=8,"Alta",IF($P1779&gt;=5,"Média","Baixa"))))</f>
        <v/>
      </c>
      <c r="O1779" s="46" t="str">
        <f aca="false">IF($E1779="","",IF(AND(Parâmetros!$C$5&gt;0,$P1779&lt;&gt;"",$P1779&gt;=Parâmetros!$C$5),"Sim","Não"))</f>
        <v/>
      </c>
      <c r="P1779" s="45" t="str">
        <f aca="false">IF($E1779="","",IF($G1779="","",IF($G1779="NOK",$F1779,0)))</f>
        <v/>
      </c>
      <c r="Q1779" s="46" t="str">
        <f aca="false">IF($E1779="","",IF($O1779&lt;&gt;"Sim","",COUNTIF($O$3:$O1779,"Sim")))</f>
        <v/>
      </c>
      <c r="R1779" s="47" t="n">
        <f aca="false">IF($P1779="",0,$P1779)</f>
        <v>0</v>
      </c>
    </row>
    <row r="1780" customFormat="false" ht="18" hidden="false" customHeight="true" outlineLevel="0" collapsed="false">
      <c r="A1780" s="39"/>
      <c r="B1780" s="41"/>
      <c r="C1780" s="40"/>
      <c r="D1780" s="40"/>
      <c r="E1780" s="40"/>
      <c r="F1780" s="42"/>
      <c r="G1780" s="39"/>
      <c r="H1780" s="40"/>
      <c r="I1780" s="40"/>
      <c r="J1780" s="40"/>
      <c r="K1780" s="41"/>
      <c r="L1780" s="39"/>
      <c r="M1780" s="48" t="str">
        <f aca="false">IF($E1780="","",IFERROR(INDEX(Parâmetros!$C$15:$C$20,MATCH($P1780,Parâmetros!$B$15:$B$20,0)),""))</f>
        <v/>
      </c>
      <c r="N1780" s="46" t="str">
        <f aca="false">IF($E1780="","",IF($P1780="","",IF($P1780&gt;=8,"Alta",IF($P1780&gt;=5,"Média","Baixa"))))</f>
        <v/>
      </c>
      <c r="O1780" s="46" t="str">
        <f aca="false">IF($E1780="","",IF(AND(Parâmetros!$C$5&gt;0,$P1780&lt;&gt;"",$P1780&gt;=Parâmetros!$C$5),"Sim","Não"))</f>
        <v/>
      </c>
      <c r="P1780" s="45" t="str">
        <f aca="false">IF($E1780="","",IF($G1780="","",IF($G1780="NOK",$F1780,0)))</f>
        <v/>
      </c>
      <c r="Q1780" s="46" t="str">
        <f aca="false">IF($E1780="","",IF($O1780&lt;&gt;"Sim","",COUNTIF($O$3:$O1780,"Sim")))</f>
        <v/>
      </c>
      <c r="R1780" s="47" t="n">
        <f aca="false">IF($P1780="",0,$P1780)</f>
        <v>0</v>
      </c>
    </row>
    <row r="1781" customFormat="false" ht="18" hidden="false" customHeight="true" outlineLevel="0" collapsed="false">
      <c r="A1781" s="39"/>
      <c r="B1781" s="41"/>
      <c r="C1781" s="40"/>
      <c r="D1781" s="40"/>
      <c r="E1781" s="40"/>
      <c r="F1781" s="42"/>
      <c r="G1781" s="39"/>
      <c r="H1781" s="40"/>
      <c r="I1781" s="40"/>
      <c r="J1781" s="40"/>
      <c r="K1781" s="41"/>
      <c r="L1781" s="39"/>
      <c r="M1781" s="48" t="str">
        <f aca="false">IF($E1781="","",IFERROR(INDEX(Parâmetros!$C$15:$C$20,MATCH($P1781,Parâmetros!$B$15:$B$20,0)),""))</f>
        <v/>
      </c>
      <c r="N1781" s="46" t="str">
        <f aca="false">IF($E1781="","",IF($P1781="","",IF($P1781&gt;=8,"Alta",IF($P1781&gt;=5,"Média","Baixa"))))</f>
        <v/>
      </c>
      <c r="O1781" s="46" t="str">
        <f aca="false">IF($E1781="","",IF(AND(Parâmetros!$C$5&gt;0,$P1781&lt;&gt;"",$P1781&gt;=Parâmetros!$C$5),"Sim","Não"))</f>
        <v/>
      </c>
      <c r="P1781" s="45" t="str">
        <f aca="false">IF($E1781="","",IF($G1781="","",IF($G1781="NOK",$F1781,0)))</f>
        <v/>
      </c>
      <c r="Q1781" s="46" t="str">
        <f aca="false">IF($E1781="","",IF($O1781&lt;&gt;"Sim","",COUNTIF($O$3:$O1781,"Sim")))</f>
        <v/>
      </c>
      <c r="R1781" s="47" t="n">
        <f aca="false">IF($P1781="",0,$P1781)</f>
        <v>0</v>
      </c>
    </row>
    <row r="1782" customFormat="false" ht="18" hidden="false" customHeight="true" outlineLevel="0" collapsed="false">
      <c r="A1782" s="39"/>
      <c r="B1782" s="41"/>
      <c r="C1782" s="40"/>
      <c r="D1782" s="40"/>
      <c r="E1782" s="40"/>
      <c r="F1782" s="42"/>
      <c r="G1782" s="39"/>
      <c r="H1782" s="40"/>
      <c r="I1782" s="40"/>
      <c r="J1782" s="40"/>
      <c r="K1782" s="41"/>
      <c r="L1782" s="39"/>
      <c r="M1782" s="48" t="str">
        <f aca="false">IF($E1782="","",IFERROR(INDEX(Parâmetros!$C$15:$C$20,MATCH($P1782,Parâmetros!$B$15:$B$20,0)),""))</f>
        <v/>
      </c>
      <c r="N1782" s="46" t="str">
        <f aca="false">IF($E1782="","",IF($P1782="","",IF($P1782&gt;=8,"Alta",IF($P1782&gt;=5,"Média","Baixa"))))</f>
        <v/>
      </c>
      <c r="O1782" s="46" t="str">
        <f aca="false">IF($E1782="","",IF(AND(Parâmetros!$C$5&gt;0,$P1782&lt;&gt;"",$P1782&gt;=Parâmetros!$C$5),"Sim","Não"))</f>
        <v/>
      </c>
      <c r="P1782" s="45" t="str">
        <f aca="false">IF($E1782="","",IF($G1782="","",IF($G1782="NOK",$F1782,0)))</f>
        <v/>
      </c>
      <c r="Q1782" s="46" t="str">
        <f aca="false">IF($E1782="","",IF($O1782&lt;&gt;"Sim","",COUNTIF($O$3:$O1782,"Sim")))</f>
        <v/>
      </c>
      <c r="R1782" s="47" t="n">
        <f aca="false">IF($P1782="",0,$P1782)</f>
        <v>0</v>
      </c>
    </row>
    <row r="1783" customFormat="false" ht="18" hidden="false" customHeight="true" outlineLevel="0" collapsed="false">
      <c r="A1783" s="39"/>
      <c r="B1783" s="41"/>
      <c r="C1783" s="40"/>
      <c r="D1783" s="40"/>
      <c r="E1783" s="40"/>
      <c r="F1783" s="42"/>
      <c r="G1783" s="39"/>
      <c r="H1783" s="40"/>
      <c r="I1783" s="40"/>
      <c r="J1783" s="40"/>
      <c r="K1783" s="41"/>
      <c r="L1783" s="39"/>
      <c r="M1783" s="48" t="str">
        <f aca="false">IF($E1783="","",IFERROR(INDEX(Parâmetros!$C$15:$C$20,MATCH($P1783,Parâmetros!$B$15:$B$20,0)),""))</f>
        <v/>
      </c>
      <c r="N1783" s="46" t="str">
        <f aca="false">IF($E1783="","",IF($P1783="","",IF($P1783&gt;=8,"Alta",IF($P1783&gt;=5,"Média","Baixa"))))</f>
        <v/>
      </c>
      <c r="O1783" s="46" t="str">
        <f aca="false">IF($E1783="","",IF(AND(Parâmetros!$C$5&gt;0,$P1783&lt;&gt;"",$P1783&gt;=Parâmetros!$C$5),"Sim","Não"))</f>
        <v/>
      </c>
      <c r="P1783" s="45" t="str">
        <f aca="false">IF($E1783="","",IF($G1783="","",IF($G1783="NOK",$F1783,0)))</f>
        <v/>
      </c>
      <c r="Q1783" s="46" t="str">
        <f aca="false">IF($E1783="","",IF($O1783&lt;&gt;"Sim","",COUNTIF($O$3:$O1783,"Sim")))</f>
        <v/>
      </c>
      <c r="R1783" s="47" t="n">
        <f aca="false">IF($P1783="",0,$P1783)</f>
        <v>0</v>
      </c>
    </row>
    <row r="1784" customFormat="false" ht="18" hidden="false" customHeight="true" outlineLevel="0" collapsed="false">
      <c r="A1784" s="39"/>
      <c r="B1784" s="41"/>
      <c r="C1784" s="40"/>
      <c r="D1784" s="40"/>
      <c r="E1784" s="40"/>
      <c r="F1784" s="42"/>
      <c r="G1784" s="39"/>
      <c r="H1784" s="40"/>
      <c r="I1784" s="40"/>
      <c r="J1784" s="40"/>
      <c r="K1784" s="41"/>
      <c r="L1784" s="39"/>
      <c r="M1784" s="48" t="str">
        <f aca="false">IF($E1784="","",IFERROR(INDEX(Parâmetros!$C$15:$C$20,MATCH($P1784,Parâmetros!$B$15:$B$20,0)),""))</f>
        <v/>
      </c>
      <c r="N1784" s="46" t="str">
        <f aca="false">IF($E1784="","",IF($P1784="","",IF($P1784&gt;=8,"Alta",IF($P1784&gt;=5,"Média","Baixa"))))</f>
        <v/>
      </c>
      <c r="O1784" s="46" t="str">
        <f aca="false">IF($E1784="","",IF(AND(Parâmetros!$C$5&gt;0,$P1784&lt;&gt;"",$P1784&gt;=Parâmetros!$C$5),"Sim","Não"))</f>
        <v/>
      </c>
      <c r="P1784" s="45" t="str">
        <f aca="false">IF($E1784="","",IF($G1784="","",IF($G1784="NOK",$F1784,0)))</f>
        <v/>
      </c>
      <c r="Q1784" s="46" t="str">
        <f aca="false">IF($E1784="","",IF($O1784&lt;&gt;"Sim","",COUNTIF($O$3:$O1784,"Sim")))</f>
        <v/>
      </c>
      <c r="R1784" s="47" t="n">
        <f aca="false">IF($P1784="",0,$P1784)</f>
        <v>0</v>
      </c>
    </row>
    <row r="1785" customFormat="false" ht="18" hidden="false" customHeight="true" outlineLevel="0" collapsed="false">
      <c r="A1785" s="39"/>
      <c r="B1785" s="41"/>
      <c r="C1785" s="40"/>
      <c r="D1785" s="40"/>
      <c r="E1785" s="40"/>
      <c r="F1785" s="42"/>
      <c r="G1785" s="39"/>
      <c r="H1785" s="40"/>
      <c r="I1785" s="40"/>
      <c r="J1785" s="40"/>
      <c r="K1785" s="41"/>
      <c r="L1785" s="39"/>
      <c r="M1785" s="48" t="str">
        <f aca="false">IF($E1785="","",IFERROR(INDEX(Parâmetros!$C$15:$C$20,MATCH($P1785,Parâmetros!$B$15:$B$20,0)),""))</f>
        <v/>
      </c>
      <c r="N1785" s="46" t="str">
        <f aca="false">IF($E1785="","",IF($P1785="","",IF($P1785&gt;=8,"Alta",IF($P1785&gt;=5,"Média","Baixa"))))</f>
        <v/>
      </c>
      <c r="O1785" s="46" t="str">
        <f aca="false">IF($E1785="","",IF(AND(Parâmetros!$C$5&gt;0,$P1785&lt;&gt;"",$P1785&gt;=Parâmetros!$C$5),"Sim","Não"))</f>
        <v/>
      </c>
      <c r="P1785" s="45" t="str">
        <f aca="false">IF($E1785="","",IF($G1785="","",IF($G1785="NOK",$F1785,0)))</f>
        <v/>
      </c>
      <c r="Q1785" s="46" t="str">
        <f aca="false">IF($E1785="","",IF($O1785&lt;&gt;"Sim","",COUNTIF($O$3:$O1785,"Sim")))</f>
        <v/>
      </c>
      <c r="R1785" s="47" t="n">
        <f aca="false">IF($P1785="",0,$P1785)</f>
        <v>0</v>
      </c>
    </row>
    <row r="1786" customFormat="false" ht="18" hidden="false" customHeight="true" outlineLevel="0" collapsed="false">
      <c r="A1786" s="39"/>
      <c r="B1786" s="41"/>
      <c r="C1786" s="40"/>
      <c r="D1786" s="40"/>
      <c r="E1786" s="40"/>
      <c r="F1786" s="42"/>
      <c r="G1786" s="39"/>
      <c r="H1786" s="40"/>
      <c r="I1786" s="40"/>
      <c r="J1786" s="40"/>
      <c r="K1786" s="41"/>
      <c r="L1786" s="39"/>
      <c r="M1786" s="48" t="str">
        <f aca="false">IF($E1786="","",IFERROR(INDEX(Parâmetros!$C$15:$C$20,MATCH($P1786,Parâmetros!$B$15:$B$20,0)),""))</f>
        <v/>
      </c>
      <c r="N1786" s="46" t="str">
        <f aca="false">IF($E1786="","",IF($P1786="","",IF($P1786&gt;=8,"Alta",IF($P1786&gt;=5,"Média","Baixa"))))</f>
        <v/>
      </c>
      <c r="O1786" s="46" t="str">
        <f aca="false">IF($E1786="","",IF(AND(Parâmetros!$C$5&gt;0,$P1786&lt;&gt;"",$P1786&gt;=Parâmetros!$C$5),"Sim","Não"))</f>
        <v/>
      </c>
      <c r="P1786" s="45" t="str">
        <f aca="false">IF($E1786="","",IF($G1786="","",IF($G1786="NOK",$F1786,0)))</f>
        <v/>
      </c>
      <c r="Q1786" s="46" t="str">
        <f aca="false">IF($E1786="","",IF($O1786&lt;&gt;"Sim","",COUNTIF($O$3:$O1786,"Sim")))</f>
        <v/>
      </c>
      <c r="R1786" s="47" t="n">
        <f aca="false">IF($P1786="",0,$P1786)</f>
        <v>0</v>
      </c>
    </row>
    <row r="1787" customFormat="false" ht="18" hidden="false" customHeight="true" outlineLevel="0" collapsed="false">
      <c r="A1787" s="39"/>
      <c r="B1787" s="41"/>
      <c r="C1787" s="40"/>
      <c r="D1787" s="40"/>
      <c r="E1787" s="40"/>
      <c r="F1787" s="42"/>
      <c r="G1787" s="39"/>
      <c r="H1787" s="40"/>
      <c r="I1787" s="40"/>
      <c r="J1787" s="40"/>
      <c r="K1787" s="41"/>
      <c r="L1787" s="39"/>
      <c r="M1787" s="48" t="str">
        <f aca="false">IF($E1787="","",IFERROR(INDEX(Parâmetros!$C$15:$C$20,MATCH($P1787,Parâmetros!$B$15:$B$20,0)),""))</f>
        <v/>
      </c>
      <c r="N1787" s="46" t="str">
        <f aca="false">IF($E1787="","",IF($P1787="","",IF($P1787&gt;=8,"Alta",IF($P1787&gt;=5,"Média","Baixa"))))</f>
        <v/>
      </c>
      <c r="O1787" s="46" t="str">
        <f aca="false">IF($E1787="","",IF(AND(Parâmetros!$C$5&gt;0,$P1787&lt;&gt;"",$P1787&gt;=Parâmetros!$C$5),"Sim","Não"))</f>
        <v/>
      </c>
      <c r="P1787" s="45" t="str">
        <f aca="false">IF($E1787="","",IF($G1787="","",IF($G1787="NOK",$F1787,0)))</f>
        <v/>
      </c>
      <c r="Q1787" s="46" t="str">
        <f aca="false">IF($E1787="","",IF($O1787&lt;&gt;"Sim","",COUNTIF($O$3:$O1787,"Sim")))</f>
        <v/>
      </c>
      <c r="R1787" s="47" t="n">
        <f aca="false">IF($P1787="",0,$P1787)</f>
        <v>0</v>
      </c>
    </row>
    <row r="1788" customFormat="false" ht="18" hidden="false" customHeight="true" outlineLevel="0" collapsed="false">
      <c r="A1788" s="39"/>
      <c r="B1788" s="41"/>
      <c r="C1788" s="40"/>
      <c r="D1788" s="40"/>
      <c r="E1788" s="40"/>
      <c r="F1788" s="42"/>
      <c r="G1788" s="39"/>
      <c r="H1788" s="40"/>
      <c r="I1788" s="40"/>
      <c r="J1788" s="40"/>
      <c r="K1788" s="41"/>
      <c r="L1788" s="39"/>
      <c r="M1788" s="48" t="str">
        <f aca="false">IF($E1788="","",IFERROR(INDEX(Parâmetros!$C$15:$C$20,MATCH($P1788,Parâmetros!$B$15:$B$20,0)),""))</f>
        <v/>
      </c>
      <c r="N1788" s="46" t="str">
        <f aca="false">IF($E1788="","",IF($P1788="","",IF($P1788&gt;=8,"Alta",IF($P1788&gt;=5,"Média","Baixa"))))</f>
        <v/>
      </c>
      <c r="O1788" s="46" t="str">
        <f aca="false">IF($E1788="","",IF(AND(Parâmetros!$C$5&gt;0,$P1788&lt;&gt;"",$P1788&gt;=Parâmetros!$C$5),"Sim","Não"))</f>
        <v/>
      </c>
      <c r="P1788" s="45" t="str">
        <f aca="false">IF($E1788="","",IF($G1788="","",IF($G1788="NOK",$F1788,0)))</f>
        <v/>
      </c>
      <c r="Q1788" s="46" t="str">
        <f aca="false">IF($E1788="","",IF($O1788&lt;&gt;"Sim","",COUNTIF($O$3:$O1788,"Sim")))</f>
        <v/>
      </c>
      <c r="R1788" s="47" t="n">
        <f aca="false">IF($P1788="",0,$P1788)</f>
        <v>0</v>
      </c>
    </row>
    <row r="1789" customFormat="false" ht="18" hidden="false" customHeight="true" outlineLevel="0" collapsed="false">
      <c r="A1789" s="39"/>
      <c r="B1789" s="41"/>
      <c r="C1789" s="40"/>
      <c r="D1789" s="40"/>
      <c r="E1789" s="40"/>
      <c r="F1789" s="42"/>
      <c r="G1789" s="39"/>
      <c r="H1789" s="40"/>
      <c r="I1789" s="40"/>
      <c r="J1789" s="40"/>
      <c r="K1789" s="41"/>
      <c r="L1789" s="39"/>
      <c r="M1789" s="48" t="str">
        <f aca="false">IF($E1789="","",IFERROR(INDEX(Parâmetros!$C$15:$C$20,MATCH($P1789,Parâmetros!$B$15:$B$20,0)),""))</f>
        <v/>
      </c>
      <c r="N1789" s="46" t="str">
        <f aca="false">IF($E1789="","",IF($P1789="","",IF($P1789&gt;=8,"Alta",IF($P1789&gt;=5,"Média","Baixa"))))</f>
        <v/>
      </c>
      <c r="O1789" s="46" t="str">
        <f aca="false">IF($E1789="","",IF(AND(Parâmetros!$C$5&gt;0,$P1789&lt;&gt;"",$P1789&gt;=Parâmetros!$C$5),"Sim","Não"))</f>
        <v/>
      </c>
      <c r="P1789" s="45" t="str">
        <f aca="false">IF($E1789="","",IF($G1789="","",IF($G1789="NOK",$F1789,0)))</f>
        <v/>
      </c>
      <c r="Q1789" s="46" t="str">
        <f aca="false">IF($E1789="","",IF($O1789&lt;&gt;"Sim","",COUNTIF($O$3:$O1789,"Sim")))</f>
        <v/>
      </c>
      <c r="R1789" s="47" t="n">
        <f aca="false">IF($P1789="",0,$P1789)</f>
        <v>0</v>
      </c>
    </row>
    <row r="1790" customFormat="false" ht="18" hidden="false" customHeight="true" outlineLevel="0" collapsed="false">
      <c r="A1790" s="39"/>
      <c r="B1790" s="41"/>
      <c r="C1790" s="40"/>
      <c r="D1790" s="40"/>
      <c r="E1790" s="40"/>
      <c r="F1790" s="42"/>
      <c r="G1790" s="39"/>
      <c r="H1790" s="40"/>
      <c r="I1790" s="40"/>
      <c r="J1790" s="40"/>
      <c r="K1790" s="41"/>
      <c r="L1790" s="39"/>
      <c r="M1790" s="48" t="str">
        <f aca="false">IF($E1790="","",IFERROR(INDEX(Parâmetros!$C$15:$C$20,MATCH($P1790,Parâmetros!$B$15:$B$20,0)),""))</f>
        <v/>
      </c>
      <c r="N1790" s="46" t="str">
        <f aca="false">IF($E1790="","",IF($P1790="","",IF($P1790&gt;=8,"Alta",IF($P1790&gt;=5,"Média","Baixa"))))</f>
        <v/>
      </c>
      <c r="O1790" s="46" t="str">
        <f aca="false">IF($E1790="","",IF(AND(Parâmetros!$C$5&gt;0,$P1790&lt;&gt;"",$P1790&gt;=Parâmetros!$C$5),"Sim","Não"))</f>
        <v/>
      </c>
      <c r="P1790" s="45" t="str">
        <f aca="false">IF($E1790="","",IF($G1790="","",IF($G1790="NOK",$F1790,0)))</f>
        <v/>
      </c>
      <c r="Q1790" s="46" t="str">
        <f aca="false">IF($E1790="","",IF($O1790&lt;&gt;"Sim","",COUNTIF($O$3:$O1790,"Sim")))</f>
        <v/>
      </c>
      <c r="R1790" s="47" t="n">
        <f aca="false">IF($P1790="",0,$P1790)</f>
        <v>0</v>
      </c>
    </row>
    <row r="1791" customFormat="false" ht="18" hidden="false" customHeight="true" outlineLevel="0" collapsed="false">
      <c r="A1791" s="39"/>
      <c r="B1791" s="41"/>
      <c r="C1791" s="40"/>
      <c r="D1791" s="40"/>
      <c r="E1791" s="40"/>
      <c r="F1791" s="42"/>
      <c r="G1791" s="39"/>
      <c r="H1791" s="40"/>
      <c r="I1791" s="40"/>
      <c r="J1791" s="40"/>
      <c r="K1791" s="41"/>
      <c r="L1791" s="39"/>
      <c r="M1791" s="48" t="str">
        <f aca="false">IF($E1791="","",IFERROR(INDEX(Parâmetros!$C$15:$C$20,MATCH($P1791,Parâmetros!$B$15:$B$20,0)),""))</f>
        <v/>
      </c>
      <c r="N1791" s="46" t="str">
        <f aca="false">IF($E1791="","",IF($P1791="","",IF($P1791&gt;=8,"Alta",IF($P1791&gt;=5,"Média","Baixa"))))</f>
        <v/>
      </c>
      <c r="O1791" s="46" t="str">
        <f aca="false">IF($E1791="","",IF(AND(Parâmetros!$C$5&gt;0,$P1791&lt;&gt;"",$P1791&gt;=Parâmetros!$C$5),"Sim","Não"))</f>
        <v/>
      </c>
      <c r="P1791" s="45" t="str">
        <f aca="false">IF($E1791="","",IF($G1791="","",IF($G1791="NOK",$F1791,0)))</f>
        <v/>
      </c>
      <c r="Q1791" s="46" t="str">
        <f aca="false">IF($E1791="","",IF($O1791&lt;&gt;"Sim","",COUNTIF($O$3:$O1791,"Sim")))</f>
        <v/>
      </c>
      <c r="R1791" s="47" t="n">
        <f aca="false">IF($P1791="",0,$P1791)</f>
        <v>0</v>
      </c>
    </row>
    <row r="1792" customFormat="false" ht="18" hidden="false" customHeight="true" outlineLevel="0" collapsed="false">
      <c r="A1792" s="39"/>
      <c r="B1792" s="41"/>
      <c r="C1792" s="40"/>
      <c r="D1792" s="40"/>
      <c r="E1792" s="40"/>
      <c r="F1792" s="42"/>
      <c r="G1792" s="39"/>
      <c r="H1792" s="40"/>
      <c r="I1792" s="40"/>
      <c r="J1792" s="40"/>
      <c r="K1792" s="41"/>
      <c r="L1792" s="39"/>
      <c r="M1792" s="48" t="str">
        <f aca="false">IF($E1792="","",IFERROR(INDEX(Parâmetros!$C$15:$C$20,MATCH($P1792,Parâmetros!$B$15:$B$20,0)),""))</f>
        <v/>
      </c>
      <c r="N1792" s="46" t="str">
        <f aca="false">IF($E1792="","",IF($P1792="","",IF($P1792&gt;=8,"Alta",IF($P1792&gt;=5,"Média","Baixa"))))</f>
        <v/>
      </c>
      <c r="O1792" s="46" t="str">
        <f aca="false">IF($E1792="","",IF(AND(Parâmetros!$C$5&gt;0,$P1792&lt;&gt;"",$P1792&gt;=Parâmetros!$C$5),"Sim","Não"))</f>
        <v/>
      </c>
      <c r="P1792" s="45" t="str">
        <f aca="false">IF($E1792="","",IF($G1792="","",IF($G1792="NOK",$F1792,0)))</f>
        <v/>
      </c>
      <c r="Q1792" s="46" t="str">
        <f aca="false">IF($E1792="","",IF($O1792&lt;&gt;"Sim","",COUNTIF($O$3:$O1792,"Sim")))</f>
        <v/>
      </c>
      <c r="R1792" s="47" t="n">
        <f aca="false">IF($P1792="",0,$P1792)</f>
        <v>0</v>
      </c>
    </row>
    <row r="1793" customFormat="false" ht="18" hidden="false" customHeight="true" outlineLevel="0" collapsed="false">
      <c r="A1793" s="39"/>
      <c r="B1793" s="41"/>
      <c r="C1793" s="40"/>
      <c r="D1793" s="40"/>
      <c r="E1793" s="40"/>
      <c r="F1793" s="42"/>
      <c r="G1793" s="39"/>
      <c r="H1793" s="40"/>
      <c r="I1793" s="40"/>
      <c r="J1793" s="40"/>
      <c r="K1793" s="41"/>
      <c r="L1793" s="39"/>
      <c r="M1793" s="48" t="str">
        <f aca="false">IF($E1793="","",IFERROR(INDEX(Parâmetros!$C$15:$C$20,MATCH($P1793,Parâmetros!$B$15:$B$20,0)),""))</f>
        <v/>
      </c>
      <c r="N1793" s="46" t="str">
        <f aca="false">IF($E1793="","",IF($P1793="","",IF($P1793&gt;=8,"Alta",IF($P1793&gt;=5,"Média","Baixa"))))</f>
        <v/>
      </c>
      <c r="O1793" s="46" t="str">
        <f aca="false">IF($E1793="","",IF(AND(Parâmetros!$C$5&gt;0,$P1793&lt;&gt;"",$P1793&gt;=Parâmetros!$C$5),"Sim","Não"))</f>
        <v/>
      </c>
      <c r="P1793" s="45" t="str">
        <f aca="false">IF($E1793="","",IF($G1793="","",IF($G1793="NOK",$F1793,0)))</f>
        <v/>
      </c>
      <c r="Q1793" s="46" t="str">
        <f aca="false">IF($E1793="","",IF($O1793&lt;&gt;"Sim","",COUNTIF($O$3:$O1793,"Sim")))</f>
        <v/>
      </c>
      <c r="R1793" s="47" t="n">
        <f aca="false">IF($P1793="",0,$P1793)</f>
        <v>0</v>
      </c>
    </row>
    <row r="1794" customFormat="false" ht="18" hidden="false" customHeight="true" outlineLevel="0" collapsed="false">
      <c r="A1794" s="39"/>
      <c r="B1794" s="41"/>
      <c r="C1794" s="40"/>
      <c r="D1794" s="40"/>
      <c r="E1794" s="40"/>
      <c r="F1794" s="42"/>
      <c r="G1794" s="39"/>
      <c r="H1794" s="40"/>
      <c r="I1794" s="40"/>
      <c r="J1794" s="40"/>
      <c r="K1794" s="41"/>
      <c r="L1794" s="39"/>
      <c r="M1794" s="48" t="str">
        <f aca="false">IF($E1794="","",IFERROR(INDEX(Parâmetros!$C$15:$C$20,MATCH($P1794,Parâmetros!$B$15:$B$20,0)),""))</f>
        <v/>
      </c>
      <c r="N1794" s="46" t="str">
        <f aca="false">IF($E1794="","",IF($P1794="","",IF($P1794&gt;=8,"Alta",IF($P1794&gt;=5,"Média","Baixa"))))</f>
        <v/>
      </c>
      <c r="O1794" s="46" t="str">
        <f aca="false">IF($E1794="","",IF(AND(Parâmetros!$C$5&gt;0,$P1794&lt;&gt;"",$P1794&gt;=Parâmetros!$C$5),"Sim","Não"))</f>
        <v/>
      </c>
      <c r="P1794" s="45" t="str">
        <f aca="false">IF($E1794="","",IF($G1794="","",IF($G1794="NOK",$F1794,0)))</f>
        <v/>
      </c>
      <c r="Q1794" s="46" t="str">
        <f aca="false">IF($E1794="","",IF($O1794&lt;&gt;"Sim","",COUNTIF($O$3:$O1794,"Sim")))</f>
        <v/>
      </c>
      <c r="R1794" s="47" t="n">
        <f aca="false">IF($P1794="",0,$P1794)</f>
        <v>0</v>
      </c>
    </row>
    <row r="1795" customFormat="false" ht="18" hidden="false" customHeight="true" outlineLevel="0" collapsed="false">
      <c r="A1795" s="39"/>
      <c r="B1795" s="41"/>
      <c r="C1795" s="40"/>
      <c r="D1795" s="40"/>
      <c r="E1795" s="40"/>
      <c r="F1795" s="42"/>
      <c r="G1795" s="39"/>
      <c r="H1795" s="40"/>
      <c r="I1795" s="40"/>
      <c r="J1795" s="40"/>
      <c r="K1795" s="41"/>
      <c r="L1795" s="39"/>
      <c r="M1795" s="48" t="str">
        <f aca="false">IF($E1795="","",IFERROR(INDEX(Parâmetros!$C$15:$C$20,MATCH($P1795,Parâmetros!$B$15:$B$20,0)),""))</f>
        <v/>
      </c>
      <c r="N1795" s="46" t="str">
        <f aca="false">IF($E1795="","",IF($P1795="","",IF($P1795&gt;=8,"Alta",IF($P1795&gt;=5,"Média","Baixa"))))</f>
        <v/>
      </c>
      <c r="O1795" s="46" t="str">
        <f aca="false">IF($E1795="","",IF(AND(Parâmetros!$C$5&gt;0,$P1795&lt;&gt;"",$P1795&gt;=Parâmetros!$C$5),"Sim","Não"))</f>
        <v/>
      </c>
      <c r="P1795" s="45" t="str">
        <f aca="false">IF($E1795="","",IF($G1795="","",IF($G1795="NOK",$F1795,0)))</f>
        <v/>
      </c>
      <c r="Q1795" s="46" t="str">
        <f aca="false">IF($E1795="","",IF($O1795&lt;&gt;"Sim","",COUNTIF($O$3:$O1795,"Sim")))</f>
        <v/>
      </c>
      <c r="R1795" s="47" t="n">
        <f aca="false">IF($P1795="",0,$P1795)</f>
        <v>0</v>
      </c>
    </row>
    <row r="1796" customFormat="false" ht="18" hidden="false" customHeight="true" outlineLevel="0" collapsed="false">
      <c r="A1796" s="39"/>
      <c r="B1796" s="41"/>
      <c r="C1796" s="40"/>
      <c r="D1796" s="40"/>
      <c r="E1796" s="40"/>
      <c r="F1796" s="42"/>
      <c r="G1796" s="39"/>
      <c r="H1796" s="40"/>
      <c r="I1796" s="40"/>
      <c r="J1796" s="40"/>
      <c r="K1796" s="41"/>
      <c r="L1796" s="39"/>
      <c r="M1796" s="48" t="str">
        <f aca="false">IF($E1796="","",IFERROR(INDEX(Parâmetros!$C$15:$C$20,MATCH($P1796,Parâmetros!$B$15:$B$20,0)),""))</f>
        <v/>
      </c>
      <c r="N1796" s="46" t="str">
        <f aca="false">IF($E1796="","",IF($P1796="","",IF($P1796&gt;=8,"Alta",IF($P1796&gt;=5,"Média","Baixa"))))</f>
        <v/>
      </c>
      <c r="O1796" s="46" t="str">
        <f aca="false">IF($E1796="","",IF(AND(Parâmetros!$C$5&gt;0,$P1796&lt;&gt;"",$P1796&gt;=Parâmetros!$C$5),"Sim","Não"))</f>
        <v/>
      </c>
      <c r="P1796" s="45" t="str">
        <f aca="false">IF($E1796="","",IF($G1796="","",IF($G1796="NOK",$F1796,0)))</f>
        <v/>
      </c>
      <c r="Q1796" s="46" t="str">
        <f aca="false">IF($E1796="","",IF($O1796&lt;&gt;"Sim","",COUNTIF($O$3:$O1796,"Sim")))</f>
        <v/>
      </c>
      <c r="R1796" s="47" t="n">
        <f aca="false">IF($P1796="",0,$P1796)</f>
        <v>0</v>
      </c>
    </row>
    <row r="1797" customFormat="false" ht="18" hidden="false" customHeight="true" outlineLevel="0" collapsed="false">
      <c r="A1797" s="39"/>
      <c r="B1797" s="41"/>
      <c r="C1797" s="40"/>
      <c r="D1797" s="40"/>
      <c r="E1797" s="40"/>
      <c r="F1797" s="42"/>
      <c r="G1797" s="39"/>
      <c r="H1797" s="40"/>
      <c r="I1797" s="40"/>
      <c r="J1797" s="40"/>
      <c r="K1797" s="41"/>
      <c r="L1797" s="39"/>
      <c r="M1797" s="48" t="str">
        <f aca="false">IF($E1797="","",IFERROR(INDEX(Parâmetros!$C$15:$C$20,MATCH($P1797,Parâmetros!$B$15:$B$20,0)),""))</f>
        <v/>
      </c>
      <c r="N1797" s="46" t="str">
        <f aca="false">IF($E1797="","",IF($P1797="","",IF($P1797&gt;=8,"Alta",IF($P1797&gt;=5,"Média","Baixa"))))</f>
        <v/>
      </c>
      <c r="O1797" s="46" t="str">
        <f aca="false">IF($E1797="","",IF(AND(Parâmetros!$C$5&gt;0,$P1797&lt;&gt;"",$P1797&gt;=Parâmetros!$C$5),"Sim","Não"))</f>
        <v/>
      </c>
      <c r="P1797" s="45" t="str">
        <f aca="false">IF($E1797="","",IF($G1797="","",IF($G1797="NOK",$F1797,0)))</f>
        <v/>
      </c>
      <c r="Q1797" s="46" t="str">
        <f aca="false">IF($E1797="","",IF($O1797&lt;&gt;"Sim","",COUNTIF($O$3:$O1797,"Sim")))</f>
        <v/>
      </c>
      <c r="R1797" s="47" t="n">
        <f aca="false">IF($P1797="",0,$P1797)</f>
        <v>0</v>
      </c>
    </row>
    <row r="1798" customFormat="false" ht="18" hidden="false" customHeight="true" outlineLevel="0" collapsed="false">
      <c r="A1798" s="39"/>
      <c r="B1798" s="41"/>
      <c r="C1798" s="40"/>
      <c r="D1798" s="40"/>
      <c r="E1798" s="40"/>
      <c r="F1798" s="42"/>
      <c r="G1798" s="39"/>
      <c r="H1798" s="40"/>
      <c r="I1798" s="40"/>
      <c r="J1798" s="40"/>
      <c r="K1798" s="41"/>
      <c r="L1798" s="39"/>
      <c r="M1798" s="48" t="str">
        <f aca="false">IF($E1798="","",IFERROR(INDEX(Parâmetros!$C$15:$C$20,MATCH($P1798,Parâmetros!$B$15:$B$20,0)),""))</f>
        <v/>
      </c>
      <c r="N1798" s="46" t="str">
        <f aca="false">IF($E1798="","",IF($P1798="","",IF($P1798&gt;=8,"Alta",IF($P1798&gt;=5,"Média","Baixa"))))</f>
        <v/>
      </c>
      <c r="O1798" s="46" t="str">
        <f aca="false">IF($E1798="","",IF(AND(Parâmetros!$C$5&gt;0,$P1798&lt;&gt;"",$P1798&gt;=Parâmetros!$C$5),"Sim","Não"))</f>
        <v/>
      </c>
      <c r="P1798" s="45" t="str">
        <f aca="false">IF($E1798="","",IF($G1798="","",IF($G1798="NOK",$F1798,0)))</f>
        <v/>
      </c>
      <c r="Q1798" s="46" t="str">
        <f aca="false">IF($E1798="","",IF($O1798&lt;&gt;"Sim","",COUNTIF($O$3:$O1798,"Sim")))</f>
        <v/>
      </c>
      <c r="R1798" s="47" t="n">
        <f aca="false">IF($P1798="",0,$P1798)</f>
        <v>0</v>
      </c>
    </row>
    <row r="1799" customFormat="false" ht="18" hidden="false" customHeight="true" outlineLevel="0" collapsed="false">
      <c r="A1799" s="39"/>
      <c r="B1799" s="41"/>
      <c r="C1799" s="40"/>
      <c r="D1799" s="40"/>
      <c r="E1799" s="40"/>
      <c r="F1799" s="42"/>
      <c r="G1799" s="39"/>
      <c r="H1799" s="40"/>
      <c r="I1799" s="40"/>
      <c r="J1799" s="40"/>
      <c r="K1799" s="41"/>
      <c r="L1799" s="39"/>
      <c r="M1799" s="48" t="str">
        <f aca="false">IF($E1799="","",IFERROR(INDEX(Parâmetros!$C$15:$C$20,MATCH($P1799,Parâmetros!$B$15:$B$20,0)),""))</f>
        <v/>
      </c>
      <c r="N1799" s="46" t="str">
        <f aca="false">IF($E1799="","",IF($P1799="","",IF($P1799&gt;=8,"Alta",IF($P1799&gt;=5,"Média","Baixa"))))</f>
        <v/>
      </c>
      <c r="O1799" s="46" t="str">
        <f aca="false">IF($E1799="","",IF(AND(Parâmetros!$C$5&gt;0,$P1799&lt;&gt;"",$P1799&gt;=Parâmetros!$C$5),"Sim","Não"))</f>
        <v/>
      </c>
      <c r="P1799" s="45" t="str">
        <f aca="false">IF($E1799="","",IF($G1799="","",IF($G1799="NOK",$F1799,0)))</f>
        <v/>
      </c>
      <c r="Q1799" s="46" t="str">
        <f aca="false">IF($E1799="","",IF($O1799&lt;&gt;"Sim","",COUNTIF($O$3:$O1799,"Sim")))</f>
        <v/>
      </c>
      <c r="R1799" s="47" t="n">
        <f aca="false">IF($P1799="",0,$P1799)</f>
        <v>0</v>
      </c>
    </row>
    <row r="1800" customFormat="false" ht="18" hidden="false" customHeight="true" outlineLevel="0" collapsed="false">
      <c r="A1800" s="39"/>
      <c r="B1800" s="41"/>
      <c r="C1800" s="40"/>
      <c r="D1800" s="40"/>
      <c r="E1800" s="40"/>
      <c r="F1800" s="42"/>
      <c r="G1800" s="39"/>
      <c r="H1800" s="40"/>
      <c r="I1800" s="40"/>
      <c r="J1800" s="40"/>
      <c r="K1800" s="41"/>
      <c r="L1800" s="39"/>
      <c r="M1800" s="48" t="str">
        <f aca="false">IF($E1800="","",IFERROR(INDEX(Parâmetros!$C$15:$C$20,MATCH($P1800,Parâmetros!$B$15:$B$20,0)),""))</f>
        <v/>
      </c>
      <c r="N1800" s="46" t="str">
        <f aca="false">IF($E1800="","",IF($P1800="","",IF($P1800&gt;=8,"Alta",IF($P1800&gt;=5,"Média","Baixa"))))</f>
        <v/>
      </c>
      <c r="O1800" s="46" t="str">
        <f aca="false">IF($E1800="","",IF(AND(Parâmetros!$C$5&gt;0,$P1800&lt;&gt;"",$P1800&gt;=Parâmetros!$C$5),"Sim","Não"))</f>
        <v/>
      </c>
      <c r="P1800" s="45" t="str">
        <f aca="false">IF($E1800="","",IF($G1800="","",IF($G1800="NOK",$F1800,0)))</f>
        <v/>
      </c>
      <c r="Q1800" s="46" t="str">
        <f aca="false">IF($E1800="","",IF($O1800&lt;&gt;"Sim","",COUNTIF($O$3:$O1800,"Sim")))</f>
        <v/>
      </c>
      <c r="R1800" s="47" t="n">
        <f aca="false">IF($P1800="",0,$P1800)</f>
        <v>0</v>
      </c>
    </row>
    <row r="1801" customFormat="false" ht="18" hidden="false" customHeight="true" outlineLevel="0" collapsed="false">
      <c r="A1801" s="39"/>
      <c r="B1801" s="41"/>
      <c r="C1801" s="40"/>
      <c r="D1801" s="40"/>
      <c r="E1801" s="40"/>
      <c r="F1801" s="42"/>
      <c r="G1801" s="39"/>
      <c r="H1801" s="40"/>
      <c r="I1801" s="40"/>
      <c r="J1801" s="40"/>
      <c r="K1801" s="41"/>
      <c r="L1801" s="39"/>
      <c r="M1801" s="48" t="str">
        <f aca="false">IF($E1801="","",IFERROR(INDEX(Parâmetros!$C$15:$C$20,MATCH($P1801,Parâmetros!$B$15:$B$20,0)),""))</f>
        <v/>
      </c>
      <c r="N1801" s="46" t="str">
        <f aca="false">IF($E1801="","",IF($P1801="","",IF($P1801&gt;=8,"Alta",IF($P1801&gt;=5,"Média","Baixa"))))</f>
        <v/>
      </c>
      <c r="O1801" s="46" t="str">
        <f aca="false">IF($E1801="","",IF(AND(Parâmetros!$C$5&gt;0,$P1801&lt;&gt;"",$P1801&gt;=Parâmetros!$C$5),"Sim","Não"))</f>
        <v/>
      </c>
      <c r="P1801" s="45" t="str">
        <f aca="false">IF($E1801="","",IF($G1801="","",IF($G1801="NOK",$F1801,0)))</f>
        <v/>
      </c>
      <c r="Q1801" s="46" t="str">
        <f aca="false">IF($E1801="","",IF($O1801&lt;&gt;"Sim","",COUNTIF($O$3:$O1801,"Sim")))</f>
        <v/>
      </c>
      <c r="R1801" s="47" t="n">
        <f aca="false">IF($P1801="",0,$P1801)</f>
        <v>0</v>
      </c>
    </row>
    <row r="1802" customFormat="false" ht="18" hidden="false" customHeight="true" outlineLevel="0" collapsed="false">
      <c r="A1802" s="39"/>
      <c r="B1802" s="41"/>
      <c r="C1802" s="40"/>
      <c r="D1802" s="40"/>
      <c r="E1802" s="40"/>
      <c r="F1802" s="42"/>
      <c r="G1802" s="39"/>
      <c r="H1802" s="40"/>
      <c r="I1802" s="40"/>
      <c r="J1802" s="40"/>
      <c r="K1802" s="41"/>
      <c r="L1802" s="39"/>
      <c r="M1802" s="48" t="str">
        <f aca="false">IF($E1802="","",IFERROR(INDEX(Parâmetros!$C$15:$C$20,MATCH($P1802,Parâmetros!$B$15:$B$20,0)),""))</f>
        <v/>
      </c>
      <c r="N1802" s="46" t="str">
        <f aca="false">IF($E1802="","",IF($P1802="","",IF($P1802&gt;=8,"Alta",IF($P1802&gt;=5,"Média","Baixa"))))</f>
        <v/>
      </c>
      <c r="O1802" s="46" t="str">
        <f aca="false">IF($E1802="","",IF(AND(Parâmetros!$C$5&gt;0,$P1802&lt;&gt;"",$P1802&gt;=Parâmetros!$C$5),"Sim","Não"))</f>
        <v/>
      </c>
      <c r="P1802" s="45" t="str">
        <f aca="false">IF($E1802="","",IF($G1802="","",IF($G1802="NOK",$F1802,0)))</f>
        <v/>
      </c>
      <c r="Q1802" s="46" t="str">
        <f aca="false">IF($E1802="","",IF($O1802&lt;&gt;"Sim","",COUNTIF($O$3:$O1802,"Sim")))</f>
        <v/>
      </c>
      <c r="R1802" s="47" t="n">
        <f aca="false">IF($P1802="",0,$P1802)</f>
        <v>0</v>
      </c>
    </row>
    <row r="1803" customFormat="false" ht="18" hidden="false" customHeight="true" outlineLevel="0" collapsed="false">
      <c r="A1803" s="39"/>
      <c r="B1803" s="41"/>
      <c r="C1803" s="40"/>
      <c r="D1803" s="40"/>
      <c r="E1803" s="40"/>
      <c r="F1803" s="42"/>
      <c r="G1803" s="39"/>
      <c r="H1803" s="40"/>
      <c r="I1803" s="40"/>
      <c r="J1803" s="40"/>
      <c r="K1803" s="41"/>
      <c r="L1803" s="39"/>
      <c r="M1803" s="48" t="str">
        <f aca="false">IF($E1803="","",IFERROR(INDEX(Parâmetros!$C$15:$C$20,MATCH($P1803,Parâmetros!$B$15:$B$20,0)),""))</f>
        <v/>
      </c>
      <c r="N1803" s="46" t="str">
        <f aca="false">IF($E1803="","",IF($P1803="","",IF($P1803&gt;=8,"Alta",IF($P1803&gt;=5,"Média","Baixa"))))</f>
        <v/>
      </c>
      <c r="O1803" s="46" t="str">
        <f aca="false">IF($E1803="","",IF(AND(Parâmetros!$C$5&gt;0,$P1803&lt;&gt;"",$P1803&gt;=Parâmetros!$C$5),"Sim","Não"))</f>
        <v/>
      </c>
      <c r="P1803" s="45" t="str">
        <f aca="false">IF($E1803="","",IF($G1803="","",IF($G1803="NOK",$F1803,0)))</f>
        <v/>
      </c>
      <c r="Q1803" s="46" t="str">
        <f aca="false">IF($E1803="","",IF($O1803&lt;&gt;"Sim","",COUNTIF($O$3:$O1803,"Sim")))</f>
        <v/>
      </c>
      <c r="R1803" s="47" t="n">
        <f aca="false">IF($P1803="",0,$P1803)</f>
        <v>0</v>
      </c>
    </row>
    <row r="1804" customFormat="false" ht="18" hidden="false" customHeight="true" outlineLevel="0" collapsed="false">
      <c r="A1804" s="39"/>
      <c r="B1804" s="41"/>
      <c r="C1804" s="40"/>
      <c r="D1804" s="40"/>
      <c r="E1804" s="40"/>
      <c r="F1804" s="42"/>
      <c r="G1804" s="39"/>
      <c r="H1804" s="40"/>
      <c r="I1804" s="40"/>
      <c r="J1804" s="40"/>
      <c r="K1804" s="41"/>
      <c r="L1804" s="39"/>
      <c r="M1804" s="48" t="str">
        <f aca="false">IF($E1804="","",IFERROR(INDEX(Parâmetros!$C$15:$C$20,MATCH($P1804,Parâmetros!$B$15:$B$20,0)),""))</f>
        <v/>
      </c>
      <c r="N1804" s="46" t="str">
        <f aca="false">IF($E1804="","",IF($P1804="","",IF($P1804&gt;=8,"Alta",IF($P1804&gt;=5,"Média","Baixa"))))</f>
        <v/>
      </c>
      <c r="O1804" s="46" t="str">
        <f aca="false">IF($E1804="","",IF(AND(Parâmetros!$C$5&gt;0,$P1804&lt;&gt;"",$P1804&gt;=Parâmetros!$C$5),"Sim","Não"))</f>
        <v/>
      </c>
      <c r="P1804" s="45" t="str">
        <f aca="false">IF($E1804="","",IF($G1804="","",IF($G1804="NOK",$F1804,0)))</f>
        <v/>
      </c>
      <c r="Q1804" s="46" t="str">
        <f aca="false">IF($E1804="","",IF($O1804&lt;&gt;"Sim","",COUNTIF($O$3:$O1804,"Sim")))</f>
        <v/>
      </c>
      <c r="R1804" s="47" t="n">
        <f aca="false">IF($P1804="",0,$P1804)</f>
        <v>0</v>
      </c>
    </row>
    <row r="1805" customFormat="false" ht="18" hidden="false" customHeight="true" outlineLevel="0" collapsed="false">
      <c r="A1805" s="39"/>
      <c r="B1805" s="41"/>
      <c r="C1805" s="40"/>
      <c r="D1805" s="40"/>
      <c r="E1805" s="40"/>
      <c r="F1805" s="42"/>
      <c r="G1805" s="39"/>
      <c r="H1805" s="40"/>
      <c r="I1805" s="40"/>
      <c r="J1805" s="40"/>
      <c r="K1805" s="41"/>
      <c r="L1805" s="39"/>
      <c r="M1805" s="48" t="str">
        <f aca="false">IF($E1805="","",IFERROR(INDEX(Parâmetros!$C$15:$C$20,MATCH($P1805,Parâmetros!$B$15:$B$20,0)),""))</f>
        <v/>
      </c>
      <c r="N1805" s="46" t="str">
        <f aca="false">IF($E1805="","",IF($P1805="","",IF($P1805&gt;=8,"Alta",IF($P1805&gt;=5,"Média","Baixa"))))</f>
        <v/>
      </c>
      <c r="O1805" s="46" t="str">
        <f aca="false">IF($E1805="","",IF(AND(Parâmetros!$C$5&gt;0,$P1805&lt;&gt;"",$P1805&gt;=Parâmetros!$C$5),"Sim","Não"))</f>
        <v/>
      </c>
      <c r="P1805" s="45" t="str">
        <f aca="false">IF($E1805="","",IF($G1805="","",IF($G1805="NOK",$F1805,0)))</f>
        <v/>
      </c>
      <c r="Q1805" s="46" t="str">
        <f aca="false">IF($E1805="","",IF($O1805&lt;&gt;"Sim","",COUNTIF($O$3:$O1805,"Sim")))</f>
        <v/>
      </c>
      <c r="R1805" s="47" t="n">
        <f aca="false">IF($P1805="",0,$P1805)</f>
        <v>0</v>
      </c>
    </row>
    <row r="1806" customFormat="false" ht="18" hidden="false" customHeight="true" outlineLevel="0" collapsed="false">
      <c r="A1806" s="39"/>
      <c r="B1806" s="41"/>
      <c r="C1806" s="40"/>
      <c r="D1806" s="40"/>
      <c r="E1806" s="40"/>
      <c r="F1806" s="42"/>
      <c r="G1806" s="39"/>
      <c r="H1806" s="40"/>
      <c r="I1806" s="40"/>
      <c r="J1806" s="40"/>
      <c r="K1806" s="41"/>
      <c r="L1806" s="39"/>
      <c r="M1806" s="48" t="str">
        <f aca="false">IF($E1806="","",IFERROR(INDEX(Parâmetros!$C$15:$C$20,MATCH($P1806,Parâmetros!$B$15:$B$20,0)),""))</f>
        <v/>
      </c>
      <c r="N1806" s="46" t="str">
        <f aca="false">IF($E1806="","",IF($P1806="","",IF($P1806&gt;=8,"Alta",IF($P1806&gt;=5,"Média","Baixa"))))</f>
        <v/>
      </c>
      <c r="O1806" s="46" t="str">
        <f aca="false">IF($E1806="","",IF(AND(Parâmetros!$C$5&gt;0,$P1806&lt;&gt;"",$P1806&gt;=Parâmetros!$C$5),"Sim","Não"))</f>
        <v/>
      </c>
      <c r="P1806" s="45" t="str">
        <f aca="false">IF($E1806="","",IF($G1806="","",IF($G1806="NOK",$F1806,0)))</f>
        <v/>
      </c>
      <c r="Q1806" s="46" t="str">
        <f aca="false">IF($E1806="","",IF($O1806&lt;&gt;"Sim","",COUNTIF($O$3:$O1806,"Sim")))</f>
        <v/>
      </c>
      <c r="R1806" s="47" t="n">
        <f aca="false">IF($P1806="",0,$P1806)</f>
        <v>0</v>
      </c>
    </row>
    <row r="1807" customFormat="false" ht="18" hidden="false" customHeight="true" outlineLevel="0" collapsed="false">
      <c r="A1807" s="39"/>
      <c r="B1807" s="41"/>
      <c r="C1807" s="40"/>
      <c r="D1807" s="40"/>
      <c r="E1807" s="40"/>
      <c r="F1807" s="42"/>
      <c r="G1807" s="39"/>
      <c r="H1807" s="40"/>
      <c r="I1807" s="40"/>
      <c r="J1807" s="40"/>
      <c r="K1807" s="41"/>
      <c r="L1807" s="39"/>
      <c r="M1807" s="48" t="str">
        <f aca="false">IF($E1807="","",IFERROR(INDEX(Parâmetros!$C$15:$C$20,MATCH($P1807,Parâmetros!$B$15:$B$20,0)),""))</f>
        <v/>
      </c>
      <c r="N1807" s="46" t="str">
        <f aca="false">IF($E1807="","",IF($P1807="","",IF($P1807&gt;=8,"Alta",IF($P1807&gt;=5,"Média","Baixa"))))</f>
        <v/>
      </c>
      <c r="O1807" s="46" t="str">
        <f aca="false">IF($E1807="","",IF(AND(Parâmetros!$C$5&gt;0,$P1807&lt;&gt;"",$P1807&gt;=Parâmetros!$C$5),"Sim","Não"))</f>
        <v/>
      </c>
      <c r="P1807" s="45" t="str">
        <f aca="false">IF($E1807="","",IF($G1807="","",IF($G1807="NOK",$F1807,0)))</f>
        <v/>
      </c>
      <c r="Q1807" s="46" t="str">
        <f aca="false">IF($E1807="","",IF($O1807&lt;&gt;"Sim","",COUNTIF($O$3:$O1807,"Sim")))</f>
        <v/>
      </c>
      <c r="R1807" s="47" t="n">
        <f aca="false">IF($P1807="",0,$P1807)</f>
        <v>0</v>
      </c>
    </row>
    <row r="1808" customFormat="false" ht="18" hidden="false" customHeight="true" outlineLevel="0" collapsed="false">
      <c r="A1808" s="39"/>
      <c r="B1808" s="41"/>
      <c r="C1808" s="40"/>
      <c r="D1808" s="40"/>
      <c r="E1808" s="40"/>
      <c r="F1808" s="42"/>
      <c r="G1808" s="39"/>
      <c r="H1808" s="40"/>
      <c r="I1808" s="40"/>
      <c r="J1808" s="40"/>
      <c r="K1808" s="41"/>
      <c r="L1808" s="39"/>
      <c r="M1808" s="48" t="str">
        <f aca="false">IF($E1808="","",IFERROR(INDEX(Parâmetros!$C$15:$C$20,MATCH($P1808,Parâmetros!$B$15:$B$20,0)),""))</f>
        <v/>
      </c>
      <c r="N1808" s="46" t="str">
        <f aca="false">IF($E1808="","",IF($P1808="","",IF($P1808&gt;=8,"Alta",IF($P1808&gt;=5,"Média","Baixa"))))</f>
        <v/>
      </c>
      <c r="O1808" s="46" t="str">
        <f aca="false">IF($E1808="","",IF(AND(Parâmetros!$C$5&gt;0,$P1808&lt;&gt;"",$P1808&gt;=Parâmetros!$C$5),"Sim","Não"))</f>
        <v/>
      </c>
      <c r="P1808" s="45" t="str">
        <f aca="false">IF($E1808="","",IF($G1808="","",IF($G1808="NOK",$F1808,0)))</f>
        <v/>
      </c>
      <c r="Q1808" s="46" t="str">
        <f aca="false">IF($E1808="","",IF($O1808&lt;&gt;"Sim","",COUNTIF($O$3:$O1808,"Sim")))</f>
        <v/>
      </c>
      <c r="R1808" s="47" t="n">
        <f aca="false">IF($P1808="",0,$P1808)</f>
        <v>0</v>
      </c>
    </row>
    <row r="1809" customFormat="false" ht="18" hidden="false" customHeight="true" outlineLevel="0" collapsed="false">
      <c r="A1809" s="39"/>
      <c r="B1809" s="41"/>
      <c r="C1809" s="40"/>
      <c r="D1809" s="40"/>
      <c r="E1809" s="40"/>
      <c r="F1809" s="42"/>
      <c r="G1809" s="39"/>
      <c r="H1809" s="40"/>
      <c r="I1809" s="40"/>
      <c r="J1809" s="40"/>
      <c r="K1809" s="41"/>
      <c r="L1809" s="39"/>
      <c r="M1809" s="48" t="str">
        <f aca="false">IF($E1809="","",IFERROR(INDEX(Parâmetros!$C$15:$C$20,MATCH($P1809,Parâmetros!$B$15:$B$20,0)),""))</f>
        <v/>
      </c>
      <c r="N1809" s="46" t="str">
        <f aca="false">IF($E1809="","",IF($P1809="","",IF($P1809&gt;=8,"Alta",IF($P1809&gt;=5,"Média","Baixa"))))</f>
        <v/>
      </c>
      <c r="O1809" s="46" t="str">
        <f aca="false">IF($E1809="","",IF(AND(Parâmetros!$C$5&gt;0,$P1809&lt;&gt;"",$P1809&gt;=Parâmetros!$C$5),"Sim","Não"))</f>
        <v/>
      </c>
      <c r="P1809" s="45" t="str">
        <f aca="false">IF($E1809="","",IF($G1809="","",IF($G1809="NOK",$F1809,0)))</f>
        <v/>
      </c>
      <c r="Q1809" s="46" t="str">
        <f aca="false">IF($E1809="","",IF($O1809&lt;&gt;"Sim","",COUNTIF($O$3:$O1809,"Sim")))</f>
        <v/>
      </c>
      <c r="R1809" s="47" t="n">
        <f aca="false">IF($P1809="",0,$P1809)</f>
        <v>0</v>
      </c>
    </row>
    <row r="1810" customFormat="false" ht="18" hidden="false" customHeight="true" outlineLevel="0" collapsed="false">
      <c r="A1810" s="39"/>
      <c r="B1810" s="41"/>
      <c r="C1810" s="40"/>
      <c r="D1810" s="40"/>
      <c r="E1810" s="40"/>
      <c r="F1810" s="42"/>
      <c r="G1810" s="39"/>
      <c r="H1810" s="40"/>
      <c r="I1810" s="40"/>
      <c r="J1810" s="40"/>
      <c r="K1810" s="41"/>
      <c r="L1810" s="39"/>
      <c r="M1810" s="48" t="str">
        <f aca="false">IF($E1810="","",IFERROR(INDEX(Parâmetros!$C$15:$C$20,MATCH($P1810,Parâmetros!$B$15:$B$20,0)),""))</f>
        <v/>
      </c>
      <c r="N1810" s="46" t="str">
        <f aca="false">IF($E1810="","",IF($P1810="","",IF($P1810&gt;=8,"Alta",IF($P1810&gt;=5,"Média","Baixa"))))</f>
        <v/>
      </c>
      <c r="O1810" s="46" t="str">
        <f aca="false">IF($E1810="","",IF(AND(Parâmetros!$C$5&gt;0,$P1810&lt;&gt;"",$P1810&gt;=Parâmetros!$C$5),"Sim","Não"))</f>
        <v/>
      </c>
      <c r="P1810" s="45" t="str">
        <f aca="false">IF($E1810="","",IF($G1810="","",IF($G1810="NOK",$F1810,0)))</f>
        <v/>
      </c>
      <c r="Q1810" s="46" t="str">
        <f aca="false">IF($E1810="","",IF($O1810&lt;&gt;"Sim","",COUNTIF($O$3:$O1810,"Sim")))</f>
        <v/>
      </c>
      <c r="R1810" s="47" t="n">
        <f aca="false">IF($P1810="",0,$P1810)</f>
        <v>0</v>
      </c>
    </row>
    <row r="1811" customFormat="false" ht="18" hidden="false" customHeight="true" outlineLevel="0" collapsed="false">
      <c r="A1811" s="39"/>
      <c r="B1811" s="41"/>
      <c r="C1811" s="40"/>
      <c r="D1811" s="40"/>
      <c r="E1811" s="40"/>
      <c r="F1811" s="42"/>
      <c r="G1811" s="39"/>
      <c r="H1811" s="40"/>
      <c r="I1811" s="40"/>
      <c r="J1811" s="40"/>
      <c r="K1811" s="41"/>
      <c r="L1811" s="39"/>
      <c r="M1811" s="48" t="str">
        <f aca="false">IF($E1811="","",IFERROR(INDEX(Parâmetros!$C$15:$C$20,MATCH($P1811,Parâmetros!$B$15:$B$20,0)),""))</f>
        <v/>
      </c>
      <c r="N1811" s="46" t="str">
        <f aca="false">IF($E1811="","",IF($P1811="","",IF($P1811&gt;=8,"Alta",IF($P1811&gt;=5,"Média","Baixa"))))</f>
        <v/>
      </c>
      <c r="O1811" s="46" t="str">
        <f aca="false">IF($E1811="","",IF(AND(Parâmetros!$C$5&gt;0,$P1811&lt;&gt;"",$P1811&gt;=Parâmetros!$C$5),"Sim","Não"))</f>
        <v/>
      </c>
      <c r="P1811" s="45" t="str">
        <f aca="false">IF($E1811="","",IF($G1811="","",IF($G1811="NOK",$F1811,0)))</f>
        <v/>
      </c>
      <c r="Q1811" s="46" t="str">
        <f aca="false">IF($E1811="","",IF($O1811&lt;&gt;"Sim","",COUNTIF($O$3:$O1811,"Sim")))</f>
        <v/>
      </c>
      <c r="R1811" s="47" t="n">
        <f aca="false">IF($P1811="",0,$P1811)</f>
        <v>0</v>
      </c>
    </row>
    <row r="1812" customFormat="false" ht="18" hidden="false" customHeight="true" outlineLevel="0" collapsed="false">
      <c r="A1812" s="39"/>
      <c r="B1812" s="41"/>
      <c r="C1812" s="40"/>
      <c r="D1812" s="40"/>
      <c r="E1812" s="40"/>
      <c r="F1812" s="42"/>
      <c r="G1812" s="39"/>
      <c r="H1812" s="40"/>
      <c r="I1812" s="40"/>
      <c r="J1812" s="40"/>
      <c r="K1812" s="41"/>
      <c r="L1812" s="39"/>
      <c r="M1812" s="48" t="str">
        <f aca="false">IF($E1812="","",IFERROR(INDEX(Parâmetros!$C$15:$C$20,MATCH($P1812,Parâmetros!$B$15:$B$20,0)),""))</f>
        <v/>
      </c>
      <c r="N1812" s="46" t="str">
        <f aca="false">IF($E1812="","",IF($P1812="","",IF($P1812&gt;=8,"Alta",IF($P1812&gt;=5,"Média","Baixa"))))</f>
        <v/>
      </c>
      <c r="O1812" s="46" t="str">
        <f aca="false">IF($E1812="","",IF(AND(Parâmetros!$C$5&gt;0,$P1812&lt;&gt;"",$P1812&gt;=Parâmetros!$C$5),"Sim","Não"))</f>
        <v/>
      </c>
      <c r="P1812" s="45" t="str">
        <f aca="false">IF($E1812="","",IF($G1812="","",IF($G1812="NOK",$F1812,0)))</f>
        <v/>
      </c>
      <c r="Q1812" s="46" t="str">
        <f aca="false">IF($E1812="","",IF($O1812&lt;&gt;"Sim","",COUNTIF($O$3:$O1812,"Sim")))</f>
        <v/>
      </c>
      <c r="R1812" s="47" t="n">
        <f aca="false">IF($P1812="",0,$P1812)</f>
        <v>0</v>
      </c>
    </row>
    <row r="1813" customFormat="false" ht="18" hidden="false" customHeight="true" outlineLevel="0" collapsed="false">
      <c r="A1813" s="39"/>
      <c r="B1813" s="41"/>
      <c r="C1813" s="40"/>
      <c r="D1813" s="40"/>
      <c r="E1813" s="40"/>
      <c r="F1813" s="42"/>
      <c r="G1813" s="39"/>
      <c r="H1813" s="40"/>
      <c r="I1813" s="40"/>
      <c r="J1813" s="40"/>
      <c r="K1813" s="41"/>
      <c r="L1813" s="39"/>
      <c r="M1813" s="48" t="str">
        <f aca="false">IF($E1813="","",IFERROR(INDEX(Parâmetros!$C$15:$C$20,MATCH($P1813,Parâmetros!$B$15:$B$20,0)),""))</f>
        <v/>
      </c>
      <c r="N1813" s="46" t="str">
        <f aca="false">IF($E1813="","",IF($P1813="","",IF($P1813&gt;=8,"Alta",IF($P1813&gt;=5,"Média","Baixa"))))</f>
        <v/>
      </c>
      <c r="O1813" s="46" t="str">
        <f aca="false">IF($E1813="","",IF(AND(Parâmetros!$C$5&gt;0,$P1813&lt;&gt;"",$P1813&gt;=Parâmetros!$C$5),"Sim","Não"))</f>
        <v/>
      </c>
      <c r="P1813" s="45" t="str">
        <f aca="false">IF($E1813="","",IF($G1813="","",IF($G1813="NOK",$F1813,0)))</f>
        <v/>
      </c>
      <c r="Q1813" s="46" t="str">
        <f aca="false">IF($E1813="","",IF($O1813&lt;&gt;"Sim","",COUNTIF($O$3:$O1813,"Sim")))</f>
        <v/>
      </c>
      <c r="R1813" s="47" t="n">
        <f aca="false">IF($P1813="",0,$P1813)</f>
        <v>0</v>
      </c>
    </row>
    <row r="1814" customFormat="false" ht="18" hidden="false" customHeight="true" outlineLevel="0" collapsed="false">
      <c r="A1814" s="39"/>
      <c r="B1814" s="41"/>
      <c r="C1814" s="40"/>
      <c r="D1814" s="40"/>
      <c r="E1814" s="40"/>
      <c r="F1814" s="42"/>
      <c r="G1814" s="39"/>
      <c r="H1814" s="40"/>
      <c r="I1814" s="40"/>
      <c r="J1814" s="40"/>
      <c r="K1814" s="41"/>
      <c r="L1814" s="39"/>
      <c r="M1814" s="48" t="str">
        <f aca="false">IF($E1814="","",IFERROR(INDEX(Parâmetros!$C$15:$C$20,MATCH($P1814,Parâmetros!$B$15:$B$20,0)),""))</f>
        <v/>
      </c>
      <c r="N1814" s="46" t="str">
        <f aca="false">IF($E1814="","",IF($P1814="","",IF($P1814&gt;=8,"Alta",IF($P1814&gt;=5,"Média","Baixa"))))</f>
        <v/>
      </c>
      <c r="O1814" s="46" t="str">
        <f aca="false">IF($E1814="","",IF(AND(Parâmetros!$C$5&gt;0,$P1814&lt;&gt;"",$P1814&gt;=Parâmetros!$C$5),"Sim","Não"))</f>
        <v/>
      </c>
      <c r="P1814" s="45" t="str">
        <f aca="false">IF($E1814="","",IF($G1814="","",IF($G1814="NOK",$F1814,0)))</f>
        <v/>
      </c>
      <c r="Q1814" s="46" t="str">
        <f aca="false">IF($E1814="","",IF($O1814&lt;&gt;"Sim","",COUNTIF($O$3:$O1814,"Sim")))</f>
        <v/>
      </c>
      <c r="R1814" s="47" t="n">
        <f aca="false">IF($P1814="",0,$P1814)</f>
        <v>0</v>
      </c>
    </row>
    <row r="1815" customFormat="false" ht="18" hidden="false" customHeight="true" outlineLevel="0" collapsed="false">
      <c r="A1815" s="39"/>
      <c r="B1815" s="41"/>
      <c r="C1815" s="40"/>
      <c r="D1815" s="40"/>
      <c r="E1815" s="40"/>
      <c r="F1815" s="42"/>
      <c r="G1815" s="39"/>
      <c r="H1815" s="40"/>
      <c r="I1815" s="40"/>
      <c r="J1815" s="40"/>
      <c r="K1815" s="41"/>
      <c r="L1815" s="39"/>
      <c r="M1815" s="48" t="str">
        <f aca="false">IF($E1815="","",IFERROR(INDEX(Parâmetros!$C$15:$C$20,MATCH($P1815,Parâmetros!$B$15:$B$20,0)),""))</f>
        <v/>
      </c>
      <c r="N1815" s="46" t="str">
        <f aca="false">IF($E1815="","",IF($P1815="","",IF($P1815&gt;=8,"Alta",IF($P1815&gt;=5,"Média","Baixa"))))</f>
        <v/>
      </c>
      <c r="O1815" s="46" t="str">
        <f aca="false">IF($E1815="","",IF(AND(Parâmetros!$C$5&gt;0,$P1815&lt;&gt;"",$P1815&gt;=Parâmetros!$C$5),"Sim","Não"))</f>
        <v/>
      </c>
      <c r="P1815" s="45" t="str">
        <f aca="false">IF($E1815="","",IF($G1815="","",IF($G1815="NOK",$F1815,0)))</f>
        <v/>
      </c>
      <c r="Q1815" s="46" t="str">
        <f aca="false">IF($E1815="","",IF($O1815&lt;&gt;"Sim","",COUNTIF($O$3:$O1815,"Sim")))</f>
        <v/>
      </c>
      <c r="R1815" s="47" t="n">
        <f aca="false">IF($P1815="",0,$P1815)</f>
        <v>0</v>
      </c>
    </row>
    <row r="1816" customFormat="false" ht="18" hidden="false" customHeight="true" outlineLevel="0" collapsed="false">
      <c r="A1816" s="39"/>
      <c r="B1816" s="41"/>
      <c r="C1816" s="40"/>
      <c r="D1816" s="40"/>
      <c r="E1816" s="40"/>
      <c r="F1816" s="42"/>
      <c r="G1816" s="39"/>
      <c r="H1816" s="40"/>
      <c r="I1816" s="40"/>
      <c r="J1816" s="40"/>
      <c r="K1816" s="41"/>
      <c r="L1816" s="39"/>
      <c r="M1816" s="48" t="str">
        <f aca="false">IF($E1816="","",IFERROR(INDEX(Parâmetros!$C$15:$C$20,MATCH($P1816,Parâmetros!$B$15:$B$20,0)),""))</f>
        <v/>
      </c>
      <c r="N1816" s="46" t="str">
        <f aca="false">IF($E1816="","",IF($P1816="","",IF($P1816&gt;=8,"Alta",IF($P1816&gt;=5,"Média","Baixa"))))</f>
        <v/>
      </c>
      <c r="O1816" s="46" t="str">
        <f aca="false">IF($E1816="","",IF(AND(Parâmetros!$C$5&gt;0,$P1816&lt;&gt;"",$P1816&gt;=Parâmetros!$C$5),"Sim","Não"))</f>
        <v/>
      </c>
      <c r="P1816" s="45" t="str">
        <f aca="false">IF($E1816="","",IF($G1816="","",IF($G1816="NOK",$F1816,0)))</f>
        <v/>
      </c>
      <c r="Q1816" s="46" t="str">
        <f aca="false">IF($E1816="","",IF($O1816&lt;&gt;"Sim","",COUNTIF($O$3:$O1816,"Sim")))</f>
        <v/>
      </c>
      <c r="R1816" s="47" t="n">
        <f aca="false">IF($P1816="",0,$P1816)</f>
        <v>0</v>
      </c>
    </row>
    <row r="1817" customFormat="false" ht="18" hidden="false" customHeight="true" outlineLevel="0" collapsed="false">
      <c r="A1817" s="39"/>
      <c r="B1817" s="41"/>
      <c r="C1817" s="40"/>
      <c r="D1817" s="40"/>
      <c r="E1817" s="40"/>
      <c r="F1817" s="42"/>
      <c r="G1817" s="39"/>
      <c r="H1817" s="40"/>
      <c r="I1817" s="40"/>
      <c r="J1817" s="40"/>
      <c r="K1817" s="41"/>
      <c r="L1817" s="39"/>
      <c r="M1817" s="48" t="str">
        <f aca="false">IF($E1817="","",IFERROR(INDEX(Parâmetros!$C$15:$C$20,MATCH($P1817,Parâmetros!$B$15:$B$20,0)),""))</f>
        <v/>
      </c>
      <c r="N1817" s="46" t="str">
        <f aca="false">IF($E1817="","",IF($P1817="","",IF($P1817&gt;=8,"Alta",IF($P1817&gt;=5,"Média","Baixa"))))</f>
        <v/>
      </c>
      <c r="O1817" s="46" t="str">
        <f aca="false">IF($E1817="","",IF(AND(Parâmetros!$C$5&gt;0,$P1817&lt;&gt;"",$P1817&gt;=Parâmetros!$C$5),"Sim","Não"))</f>
        <v/>
      </c>
      <c r="P1817" s="45" t="str">
        <f aca="false">IF($E1817="","",IF($G1817="","",IF($G1817="NOK",$F1817,0)))</f>
        <v/>
      </c>
      <c r="Q1817" s="46" t="str">
        <f aca="false">IF($E1817="","",IF($O1817&lt;&gt;"Sim","",COUNTIF($O$3:$O1817,"Sim")))</f>
        <v/>
      </c>
      <c r="R1817" s="47" t="n">
        <f aca="false">IF($P1817="",0,$P1817)</f>
        <v>0</v>
      </c>
    </row>
    <row r="1818" customFormat="false" ht="18" hidden="false" customHeight="true" outlineLevel="0" collapsed="false">
      <c r="A1818" s="39"/>
      <c r="B1818" s="41"/>
      <c r="C1818" s="40"/>
      <c r="D1818" s="40"/>
      <c r="E1818" s="40"/>
      <c r="F1818" s="42"/>
      <c r="G1818" s="39"/>
      <c r="H1818" s="40"/>
      <c r="I1818" s="40"/>
      <c r="J1818" s="40"/>
      <c r="K1818" s="41"/>
      <c r="L1818" s="39"/>
      <c r="M1818" s="48" t="str">
        <f aca="false">IF($E1818="","",IFERROR(INDEX(Parâmetros!$C$15:$C$20,MATCH($P1818,Parâmetros!$B$15:$B$20,0)),""))</f>
        <v/>
      </c>
      <c r="N1818" s="46" t="str">
        <f aca="false">IF($E1818="","",IF($P1818="","",IF($P1818&gt;=8,"Alta",IF($P1818&gt;=5,"Média","Baixa"))))</f>
        <v/>
      </c>
      <c r="O1818" s="46" t="str">
        <f aca="false">IF($E1818="","",IF(AND(Parâmetros!$C$5&gt;0,$P1818&lt;&gt;"",$P1818&gt;=Parâmetros!$C$5),"Sim","Não"))</f>
        <v/>
      </c>
      <c r="P1818" s="45" t="str">
        <f aca="false">IF($E1818="","",IF($G1818="","",IF($G1818="NOK",$F1818,0)))</f>
        <v/>
      </c>
      <c r="Q1818" s="46" t="str">
        <f aca="false">IF($E1818="","",IF($O1818&lt;&gt;"Sim","",COUNTIF($O$3:$O1818,"Sim")))</f>
        <v/>
      </c>
      <c r="R1818" s="47" t="n">
        <f aca="false">IF($P1818="",0,$P1818)</f>
        <v>0</v>
      </c>
    </row>
    <row r="1819" customFormat="false" ht="18" hidden="false" customHeight="true" outlineLevel="0" collapsed="false">
      <c r="A1819" s="39"/>
      <c r="B1819" s="41"/>
      <c r="C1819" s="40"/>
      <c r="D1819" s="40"/>
      <c r="E1819" s="40"/>
      <c r="F1819" s="42"/>
      <c r="G1819" s="39"/>
      <c r="H1819" s="40"/>
      <c r="I1819" s="40"/>
      <c r="J1819" s="40"/>
      <c r="K1819" s="41"/>
      <c r="L1819" s="39"/>
      <c r="M1819" s="48" t="str">
        <f aca="false">IF($E1819="","",IFERROR(INDEX(Parâmetros!$C$15:$C$20,MATCH($P1819,Parâmetros!$B$15:$B$20,0)),""))</f>
        <v/>
      </c>
      <c r="N1819" s="46" t="str">
        <f aca="false">IF($E1819="","",IF($P1819="","",IF($P1819&gt;=8,"Alta",IF($P1819&gt;=5,"Média","Baixa"))))</f>
        <v/>
      </c>
      <c r="O1819" s="46" t="str">
        <f aca="false">IF($E1819="","",IF(AND(Parâmetros!$C$5&gt;0,$P1819&lt;&gt;"",$P1819&gt;=Parâmetros!$C$5),"Sim","Não"))</f>
        <v/>
      </c>
      <c r="P1819" s="45" t="str">
        <f aca="false">IF($E1819="","",IF($G1819="","",IF($G1819="NOK",$F1819,0)))</f>
        <v/>
      </c>
      <c r="Q1819" s="46" t="str">
        <f aca="false">IF($E1819="","",IF($O1819&lt;&gt;"Sim","",COUNTIF($O$3:$O1819,"Sim")))</f>
        <v/>
      </c>
      <c r="R1819" s="47" t="n">
        <f aca="false">IF($P1819="",0,$P1819)</f>
        <v>0</v>
      </c>
    </row>
    <row r="1820" customFormat="false" ht="18" hidden="false" customHeight="true" outlineLevel="0" collapsed="false">
      <c r="A1820" s="39"/>
      <c r="B1820" s="41"/>
      <c r="C1820" s="40"/>
      <c r="D1820" s="40"/>
      <c r="E1820" s="40"/>
      <c r="F1820" s="42"/>
      <c r="G1820" s="39"/>
      <c r="H1820" s="40"/>
      <c r="I1820" s="40"/>
      <c r="J1820" s="40"/>
      <c r="K1820" s="41"/>
      <c r="L1820" s="39"/>
      <c r="M1820" s="48" t="str">
        <f aca="false">IF($E1820="","",IFERROR(INDEX(Parâmetros!$C$15:$C$20,MATCH($P1820,Parâmetros!$B$15:$B$20,0)),""))</f>
        <v/>
      </c>
      <c r="N1820" s="46" t="str">
        <f aca="false">IF($E1820="","",IF($P1820="","",IF($P1820&gt;=8,"Alta",IF($P1820&gt;=5,"Média","Baixa"))))</f>
        <v/>
      </c>
      <c r="O1820" s="46" t="str">
        <f aca="false">IF($E1820="","",IF(AND(Parâmetros!$C$5&gt;0,$P1820&lt;&gt;"",$P1820&gt;=Parâmetros!$C$5),"Sim","Não"))</f>
        <v/>
      </c>
      <c r="P1820" s="45" t="str">
        <f aca="false">IF($E1820="","",IF($G1820="","",IF($G1820="NOK",$F1820,0)))</f>
        <v/>
      </c>
      <c r="Q1820" s="46" t="str">
        <f aca="false">IF($E1820="","",IF($O1820&lt;&gt;"Sim","",COUNTIF($O$3:$O1820,"Sim")))</f>
        <v/>
      </c>
      <c r="R1820" s="47" t="n">
        <f aca="false">IF($P1820="",0,$P1820)</f>
        <v>0</v>
      </c>
    </row>
    <row r="1821" customFormat="false" ht="18" hidden="false" customHeight="true" outlineLevel="0" collapsed="false">
      <c r="A1821" s="39"/>
      <c r="B1821" s="41"/>
      <c r="C1821" s="40"/>
      <c r="D1821" s="40"/>
      <c r="E1821" s="40"/>
      <c r="F1821" s="42"/>
      <c r="G1821" s="39"/>
      <c r="H1821" s="40"/>
      <c r="I1821" s="40"/>
      <c r="J1821" s="40"/>
      <c r="K1821" s="41"/>
      <c r="L1821" s="39"/>
      <c r="M1821" s="48" t="str">
        <f aca="false">IF($E1821="","",IFERROR(INDEX(Parâmetros!$C$15:$C$20,MATCH($P1821,Parâmetros!$B$15:$B$20,0)),""))</f>
        <v/>
      </c>
      <c r="N1821" s="46" t="str">
        <f aca="false">IF($E1821="","",IF($P1821="","",IF($P1821&gt;=8,"Alta",IF($P1821&gt;=5,"Média","Baixa"))))</f>
        <v/>
      </c>
      <c r="O1821" s="46" t="str">
        <f aca="false">IF($E1821="","",IF(AND(Parâmetros!$C$5&gt;0,$P1821&lt;&gt;"",$P1821&gt;=Parâmetros!$C$5),"Sim","Não"))</f>
        <v/>
      </c>
      <c r="P1821" s="45" t="str">
        <f aca="false">IF($E1821="","",IF($G1821="","",IF($G1821="NOK",$F1821,0)))</f>
        <v/>
      </c>
      <c r="Q1821" s="46" t="str">
        <f aca="false">IF($E1821="","",IF($O1821&lt;&gt;"Sim","",COUNTIF($O$3:$O1821,"Sim")))</f>
        <v/>
      </c>
      <c r="R1821" s="47" t="n">
        <f aca="false">IF($P1821="",0,$P1821)</f>
        <v>0</v>
      </c>
    </row>
    <row r="1822" customFormat="false" ht="18" hidden="false" customHeight="true" outlineLevel="0" collapsed="false">
      <c r="A1822" s="39"/>
      <c r="B1822" s="41"/>
      <c r="C1822" s="40"/>
      <c r="D1822" s="40"/>
      <c r="E1822" s="40"/>
      <c r="F1822" s="42"/>
      <c r="G1822" s="39"/>
      <c r="H1822" s="40"/>
      <c r="I1822" s="40"/>
      <c r="J1822" s="40"/>
      <c r="K1822" s="41"/>
      <c r="L1822" s="39"/>
      <c r="M1822" s="48" t="str">
        <f aca="false">IF($E1822="","",IFERROR(INDEX(Parâmetros!$C$15:$C$20,MATCH($P1822,Parâmetros!$B$15:$B$20,0)),""))</f>
        <v/>
      </c>
      <c r="N1822" s="46" t="str">
        <f aca="false">IF($E1822="","",IF($P1822="","",IF($P1822&gt;=8,"Alta",IF($P1822&gt;=5,"Média","Baixa"))))</f>
        <v/>
      </c>
      <c r="O1822" s="46" t="str">
        <f aca="false">IF($E1822="","",IF(AND(Parâmetros!$C$5&gt;0,$P1822&lt;&gt;"",$P1822&gt;=Parâmetros!$C$5),"Sim","Não"))</f>
        <v/>
      </c>
      <c r="P1822" s="45" t="str">
        <f aca="false">IF($E1822="","",IF($G1822="","",IF($G1822="NOK",$F1822,0)))</f>
        <v/>
      </c>
      <c r="Q1822" s="46" t="str">
        <f aca="false">IF($E1822="","",IF($O1822&lt;&gt;"Sim","",COUNTIF($O$3:$O1822,"Sim")))</f>
        <v/>
      </c>
      <c r="R1822" s="47" t="n">
        <f aca="false">IF($P1822="",0,$P1822)</f>
        <v>0</v>
      </c>
    </row>
    <row r="1823" customFormat="false" ht="18" hidden="false" customHeight="true" outlineLevel="0" collapsed="false">
      <c r="A1823" s="39"/>
      <c r="B1823" s="41"/>
      <c r="C1823" s="40"/>
      <c r="D1823" s="40"/>
      <c r="E1823" s="40"/>
      <c r="F1823" s="42"/>
      <c r="G1823" s="39"/>
      <c r="H1823" s="40"/>
      <c r="I1823" s="40"/>
      <c r="J1823" s="40"/>
      <c r="K1823" s="41"/>
      <c r="L1823" s="39"/>
      <c r="M1823" s="48" t="str">
        <f aca="false">IF($E1823="","",IFERROR(INDEX(Parâmetros!$C$15:$C$20,MATCH($P1823,Parâmetros!$B$15:$B$20,0)),""))</f>
        <v/>
      </c>
      <c r="N1823" s="46" t="str">
        <f aca="false">IF($E1823="","",IF($P1823="","",IF($P1823&gt;=8,"Alta",IF($P1823&gt;=5,"Média","Baixa"))))</f>
        <v/>
      </c>
      <c r="O1823" s="46" t="str">
        <f aca="false">IF($E1823="","",IF(AND(Parâmetros!$C$5&gt;0,$P1823&lt;&gt;"",$P1823&gt;=Parâmetros!$C$5),"Sim","Não"))</f>
        <v/>
      </c>
      <c r="P1823" s="45" t="str">
        <f aca="false">IF($E1823="","",IF($G1823="","",IF($G1823="NOK",$F1823,0)))</f>
        <v/>
      </c>
      <c r="Q1823" s="46" t="str">
        <f aca="false">IF($E1823="","",IF($O1823&lt;&gt;"Sim","",COUNTIF($O$3:$O1823,"Sim")))</f>
        <v/>
      </c>
      <c r="R1823" s="47" t="n">
        <f aca="false">IF($P1823="",0,$P1823)</f>
        <v>0</v>
      </c>
    </row>
    <row r="1824" customFormat="false" ht="18" hidden="false" customHeight="true" outlineLevel="0" collapsed="false">
      <c r="A1824" s="39"/>
      <c r="B1824" s="41"/>
      <c r="C1824" s="40"/>
      <c r="D1824" s="40"/>
      <c r="E1824" s="40"/>
      <c r="F1824" s="42"/>
      <c r="G1824" s="39"/>
      <c r="H1824" s="40"/>
      <c r="I1824" s="40"/>
      <c r="J1824" s="40"/>
      <c r="K1824" s="41"/>
      <c r="L1824" s="39"/>
      <c r="M1824" s="48" t="str">
        <f aca="false">IF($E1824="","",IFERROR(INDEX(Parâmetros!$C$15:$C$20,MATCH($P1824,Parâmetros!$B$15:$B$20,0)),""))</f>
        <v/>
      </c>
      <c r="N1824" s="46" t="str">
        <f aca="false">IF($E1824="","",IF($P1824="","",IF($P1824&gt;=8,"Alta",IF($P1824&gt;=5,"Média","Baixa"))))</f>
        <v/>
      </c>
      <c r="O1824" s="46" t="str">
        <f aca="false">IF($E1824="","",IF(AND(Parâmetros!$C$5&gt;0,$P1824&lt;&gt;"",$P1824&gt;=Parâmetros!$C$5),"Sim","Não"))</f>
        <v/>
      </c>
      <c r="P1824" s="45" t="str">
        <f aca="false">IF($E1824="","",IF($G1824="","",IF($G1824="NOK",$F1824,0)))</f>
        <v/>
      </c>
      <c r="Q1824" s="46" t="str">
        <f aca="false">IF($E1824="","",IF($O1824&lt;&gt;"Sim","",COUNTIF($O$3:$O1824,"Sim")))</f>
        <v/>
      </c>
      <c r="R1824" s="47" t="n">
        <f aca="false">IF($P1824="",0,$P1824)</f>
        <v>0</v>
      </c>
    </row>
    <row r="1825" customFormat="false" ht="18" hidden="false" customHeight="true" outlineLevel="0" collapsed="false">
      <c r="A1825" s="39"/>
      <c r="B1825" s="41"/>
      <c r="C1825" s="40"/>
      <c r="D1825" s="40"/>
      <c r="E1825" s="40"/>
      <c r="F1825" s="42"/>
      <c r="G1825" s="39"/>
      <c r="H1825" s="40"/>
      <c r="I1825" s="40"/>
      <c r="J1825" s="40"/>
      <c r="K1825" s="41"/>
      <c r="L1825" s="39"/>
      <c r="M1825" s="48" t="str">
        <f aca="false">IF($E1825="","",IFERROR(INDEX(Parâmetros!$C$15:$C$20,MATCH($P1825,Parâmetros!$B$15:$B$20,0)),""))</f>
        <v/>
      </c>
      <c r="N1825" s="46" t="str">
        <f aca="false">IF($E1825="","",IF($P1825="","",IF($P1825&gt;=8,"Alta",IF($P1825&gt;=5,"Média","Baixa"))))</f>
        <v/>
      </c>
      <c r="O1825" s="46" t="str">
        <f aca="false">IF($E1825="","",IF(AND(Parâmetros!$C$5&gt;0,$P1825&lt;&gt;"",$P1825&gt;=Parâmetros!$C$5),"Sim","Não"))</f>
        <v/>
      </c>
      <c r="P1825" s="45" t="str">
        <f aca="false">IF($E1825="","",IF($G1825="","",IF($G1825="NOK",$F1825,0)))</f>
        <v/>
      </c>
      <c r="Q1825" s="46" t="str">
        <f aca="false">IF($E1825="","",IF($O1825&lt;&gt;"Sim","",COUNTIF($O$3:$O1825,"Sim")))</f>
        <v/>
      </c>
      <c r="R1825" s="47" t="n">
        <f aca="false">IF($P1825="",0,$P1825)</f>
        <v>0</v>
      </c>
    </row>
    <row r="1826" customFormat="false" ht="18" hidden="false" customHeight="true" outlineLevel="0" collapsed="false">
      <c r="A1826" s="39"/>
      <c r="B1826" s="41"/>
      <c r="C1826" s="40"/>
      <c r="D1826" s="40"/>
      <c r="E1826" s="40"/>
      <c r="F1826" s="42"/>
      <c r="G1826" s="39"/>
      <c r="H1826" s="40"/>
      <c r="I1826" s="40"/>
      <c r="J1826" s="40"/>
      <c r="K1826" s="41"/>
      <c r="L1826" s="39"/>
      <c r="M1826" s="48" t="str">
        <f aca="false">IF($E1826="","",IFERROR(INDEX(Parâmetros!$C$15:$C$20,MATCH($P1826,Parâmetros!$B$15:$B$20,0)),""))</f>
        <v/>
      </c>
      <c r="N1826" s="46" t="str">
        <f aca="false">IF($E1826="","",IF($P1826="","",IF($P1826&gt;=8,"Alta",IF($P1826&gt;=5,"Média","Baixa"))))</f>
        <v/>
      </c>
      <c r="O1826" s="46" t="str">
        <f aca="false">IF($E1826="","",IF(AND(Parâmetros!$C$5&gt;0,$P1826&lt;&gt;"",$P1826&gt;=Parâmetros!$C$5),"Sim","Não"))</f>
        <v/>
      </c>
      <c r="P1826" s="45" t="str">
        <f aca="false">IF($E1826="","",IF($G1826="","",IF($G1826="NOK",$F1826,0)))</f>
        <v/>
      </c>
      <c r="Q1826" s="46" t="str">
        <f aca="false">IF($E1826="","",IF($O1826&lt;&gt;"Sim","",COUNTIF($O$3:$O1826,"Sim")))</f>
        <v/>
      </c>
      <c r="R1826" s="47" t="n">
        <f aca="false">IF($P1826="",0,$P1826)</f>
        <v>0</v>
      </c>
    </row>
    <row r="1827" customFormat="false" ht="18" hidden="false" customHeight="true" outlineLevel="0" collapsed="false">
      <c r="A1827" s="39"/>
      <c r="B1827" s="41"/>
      <c r="C1827" s="40"/>
      <c r="D1827" s="40"/>
      <c r="E1827" s="40"/>
      <c r="F1827" s="42"/>
      <c r="G1827" s="39"/>
      <c r="H1827" s="40"/>
      <c r="I1827" s="40"/>
      <c r="J1827" s="40"/>
      <c r="K1827" s="41"/>
      <c r="L1827" s="39"/>
      <c r="M1827" s="48" t="str">
        <f aca="false">IF($E1827="","",IFERROR(INDEX(Parâmetros!$C$15:$C$20,MATCH($P1827,Parâmetros!$B$15:$B$20,0)),""))</f>
        <v/>
      </c>
      <c r="N1827" s="46" t="str">
        <f aca="false">IF($E1827="","",IF($P1827="","",IF($P1827&gt;=8,"Alta",IF($P1827&gt;=5,"Média","Baixa"))))</f>
        <v/>
      </c>
      <c r="O1827" s="46" t="str">
        <f aca="false">IF($E1827="","",IF(AND(Parâmetros!$C$5&gt;0,$P1827&lt;&gt;"",$P1827&gt;=Parâmetros!$C$5),"Sim","Não"))</f>
        <v/>
      </c>
      <c r="P1827" s="45" t="str">
        <f aca="false">IF($E1827="","",IF($G1827="","",IF($G1827="NOK",$F1827,0)))</f>
        <v/>
      </c>
      <c r="Q1827" s="46" t="str">
        <f aca="false">IF($E1827="","",IF($O1827&lt;&gt;"Sim","",COUNTIF($O$3:$O1827,"Sim")))</f>
        <v/>
      </c>
      <c r="R1827" s="47" t="n">
        <f aca="false">IF($P1827="",0,$P1827)</f>
        <v>0</v>
      </c>
    </row>
    <row r="1828" customFormat="false" ht="18" hidden="false" customHeight="true" outlineLevel="0" collapsed="false">
      <c r="A1828" s="39"/>
      <c r="B1828" s="41"/>
      <c r="C1828" s="40"/>
      <c r="D1828" s="40"/>
      <c r="E1828" s="40"/>
      <c r="F1828" s="42"/>
      <c r="G1828" s="39"/>
      <c r="H1828" s="40"/>
      <c r="I1828" s="40"/>
      <c r="J1828" s="40"/>
      <c r="K1828" s="41"/>
      <c r="L1828" s="39"/>
      <c r="M1828" s="48" t="str">
        <f aca="false">IF($E1828="","",IFERROR(INDEX(Parâmetros!$C$15:$C$20,MATCH($P1828,Parâmetros!$B$15:$B$20,0)),""))</f>
        <v/>
      </c>
      <c r="N1828" s="46" t="str">
        <f aca="false">IF($E1828="","",IF($P1828="","",IF($P1828&gt;=8,"Alta",IF($P1828&gt;=5,"Média","Baixa"))))</f>
        <v/>
      </c>
      <c r="O1828" s="46" t="str">
        <f aca="false">IF($E1828="","",IF(AND(Parâmetros!$C$5&gt;0,$P1828&lt;&gt;"",$P1828&gt;=Parâmetros!$C$5),"Sim","Não"))</f>
        <v/>
      </c>
      <c r="P1828" s="45" t="str">
        <f aca="false">IF($E1828="","",IF($G1828="","",IF($G1828="NOK",$F1828,0)))</f>
        <v/>
      </c>
      <c r="Q1828" s="46" t="str">
        <f aca="false">IF($E1828="","",IF($O1828&lt;&gt;"Sim","",COUNTIF($O$3:$O1828,"Sim")))</f>
        <v/>
      </c>
      <c r="R1828" s="47" t="n">
        <f aca="false">IF($P1828="",0,$P1828)</f>
        <v>0</v>
      </c>
    </row>
    <row r="1829" customFormat="false" ht="18" hidden="false" customHeight="true" outlineLevel="0" collapsed="false">
      <c r="A1829" s="39"/>
      <c r="B1829" s="41"/>
      <c r="C1829" s="40"/>
      <c r="D1829" s="40"/>
      <c r="E1829" s="40"/>
      <c r="F1829" s="42"/>
      <c r="G1829" s="39"/>
      <c r="H1829" s="40"/>
      <c r="I1829" s="40"/>
      <c r="J1829" s="40"/>
      <c r="K1829" s="41"/>
      <c r="L1829" s="39"/>
      <c r="M1829" s="48" t="str">
        <f aca="false">IF($E1829="","",IFERROR(INDEX(Parâmetros!$C$15:$C$20,MATCH($P1829,Parâmetros!$B$15:$B$20,0)),""))</f>
        <v/>
      </c>
      <c r="N1829" s="46" t="str">
        <f aca="false">IF($E1829="","",IF($P1829="","",IF($P1829&gt;=8,"Alta",IF($P1829&gt;=5,"Média","Baixa"))))</f>
        <v/>
      </c>
      <c r="O1829" s="46" t="str">
        <f aca="false">IF($E1829="","",IF(AND(Parâmetros!$C$5&gt;0,$P1829&lt;&gt;"",$P1829&gt;=Parâmetros!$C$5),"Sim","Não"))</f>
        <v/>
      </c>
      <c r="P1829" s="45" t="str">
        <f aca="false">IF($E1829="","",IF($G1829="","",IF($G1829="NOK",$F1829,0)))</f>
        <v/>
      </c>
      <c r="Q1829" s="46" t="str">
        <f aca="false">IF($E1829="","",IF($O1829&lt;&gt;"Sim","",COUNTIF($O$3:$O1829,"Sim")))</f>
        <v/>
      </c>
      <c r="R1829" s="47" t="n">
        <f aca="false">IF($P1829="",0,$P1829)</f>
        <v>0</v>
      </c>
    </row>
    <row r="1830" customFormat="false" ht="18" hidden="false" customHeight="true" outlineLevel="0" collapsed="false">
      <c r="A1830" s="39"/>
      <c r="B1830" s="41"/>
      <c r="C1830" s="40"/>
      <c r="D1830" s="40"/>
      <c r="E1830" s="40"/>
      <c r="F1830" s="42"/>
      <c r="G1830" s="39"/>
      <c r="H1830" s="40"/>
      <c r="I1830" s="40"/>
      <c r="J1830" s="40"/>
      <c r="K1830" s="41"/>
      <c r="L1830" s="39"/>
      <c r="M1830" s="48" t="str">
        <f aca="false">IF($E1830="","",IFERROR(INDEX(Parâmetros!$C$15:$C$20,MATCH($P1830,Parâmetros!$B$15:$B$20,0)),""))</f>
        <v/>
      </c>
      <c r="N1830" s="46" t="str">
        <f aca="false">IF($E1830="","",IF($P1830="","",IF($P1830&gt;=8,"Alta",IF($P1830&gt;=5,"Média","Baixa"))))</f>
        <v/>
      </c>
      <c r="O1830" s="46" t="str">
        <f aca="false">IF($E1830="","",IF(AND(Parâmetros!$C$5&gt;0,$P1830&lt;&gt;"",$P1830&gt;=Parâmetros!$C$5),"Sim","Não"))</f>
        <v/>
      </c>
      <c r="P1830" s="45" t="str">
        <f aca="false">IF($E1830="","",IF($G1830="","",IF($G1830="NOK",$F1830,0)))</f>
        <v/>
      </c>
      <c r="Q1830" s="46" t="str">
        <f aca="false">IF($E1830="","",IF($O1830&lt;&gt;"Sim","",COUNTIF($O$3:$O1830,"Sim")))</f>
        <v/>
      </c>
      <c r="R1830" s="47" t="n">
        <f aca="false">IF($P1830="",0,$P1830)</f>
        <v>0</v>
      </c>
    </row>
    <row r="1831" customFormat="false" ht="18" hidden="false" customHeight="true" outlineLevel="0" collapsed="false">
      <c r="A1831" s="39"/>
      <c r="B1831" s="41"/>
      <c r="C1831" s="40"/>
      <c r="D1831" s="40"/>
      <c r="E1831" s="40"/>
      <c r="F1831" s="42"/>
      <c r="G1831" s="39"/>
      <c r="H1831" s="40"/>
      <c r="I1831" s="40"/>
      <c r="J1831" s="40"/>
      <c r="K1831" s="41"/>
      <c r="L1831" s="39"/>
      <c r="M1831" s="48" t="str">
        <f aca="false">IF($E1831="","",IFERROR(INDEX(Parâmetros!$C$15:$C$20,MATCH($P1831,Parâmetros!$B$15:$B$20,0)),""))</f>
        <v/>
      </c>
      <c r="N1831" s="46" t="str">
        <f aca="false">IF($E1831="","",IF($P1831="","",IF($P1831&gt;=8,"Alta",IF($P1831&gt;=5,"Média","Baixa"))))</f>
        <v/>
      </c>
      <c r="O1831" s="46" t="str">
        <f aca="false">IF($E1831="","",IF(AND(Parâmetros!$C$5&gt;0,$P1831&lt;&gt;"",$P1831&gt;=Parâmetros!$C$5),"Sim","Não"))</f>
        <v/>
      </c>
      <c r="P1831" s="45" t="str">
        <f aca="false">IF($E1831="","",IF($G1831="","",IF($G1831="NOK",$F1831,0)))</f>
        <v/>
      </c>
      <c r="Q1831" s="46" t="str">
        <f aca="false">IF($E1831="","",IF($O1831&lt;&gt;"Sim","",COUNTIF($O$3:$O1831,"Sim")))</f>
        <v/>
      </c>
      <c r="R1831" s="47" t="n">
        <f aca="false">IF($P1831="",0,$P1831)</f>
        <v>0</v>
      </c>
    </row>
    <row r="1832" customFormat="false" ht="18" hidden="false" customHeight="true" outlineLevel="0" collapsed="false">
      <c r="A1832" s="39"/>
      <c r="B1832" s="41"/>
      <c r="C1832" s="40"/>
      <c r="D1832" s="40"/>
      <c r="E1832" s="40"/>
      <c r="F1832" s="42"/>
      <c r="G1832" s="39"/>
      <c r="H1832" s="40"/>
      <c r="I1832" s="40"/>
      <c r="J1832" s="40"/>
      <c r="K1832" s="41"/>
      <c r="L1832" s="39"/>
      <c r="M1832" s="48" t="str">
        <f aca="false">IF($E1832="","",IFERROR(INDEX(Parâmetros!$C$15:$C$20,MATCH($P1832,Parâmetros!$B$15:$B$20,0)),""))</f>
        <v/>
      </c>
      <c r="N1832" s="46" t="str">
        <f aca="false">IF($E1832="","",IF($P1832="","",IF($P1832&gt;=8,"Alta",IF($P1832&gt;=5,"Média","Baixa"))))</f>
        <v/>
      </c>
      <c r="O1832" s="46" t="str">
        <f aca="false">IF($E1832="","",IF(AND(Parâmetros!$C$5&gt;0,$P1832&lt;&gt;"",$P1832&gt;=Parâmetros!$C$5),"Sim","Não"))</f>
        <v/>
      </c>
      <c r="P1832" s="45" t="str">
        <f aca="false">IF($E1832="","",IF($G1832="","",IF($G1832="NOK",$F1832,0)))</f>
        <v/>
      </c>
      <c r="Q1832" s="46" t="str">
        <f aca="false">IF($E1832="","",IF($O1832&lt;&gt;"Sim","",COUNTIF($O$3:$O1832,"Sim")))</f>
        <v/>
      </c>
      <c r="R1832" s="47" t="n">
        <f aca="false">IF($P1832="",0,$P1832)</f>
        <v>0</v>
      </c>
    </row>
    <row r="1833" customFormat="false" ht="18" hidden="false" customHeight="true" outlineLevel="0" collapsed="false">
      <c r="A1833" s="39"/>
      <c r="B1833" s="41"/>
      <c r="C1833" s="40"/>
      <c r="D1833" s="40"/>
      <c r="E1833" s="40"/>
      <c r="F1833" s="42"/>
      <c r="G1833" s="39"/>
      <c r="H1833" s="40"/>
      <c r="I1833" s="40"/>
      <c r="J1833" s="40"/>
      <c r="K1833" s="41"/>
      <c r="L1833" s="39"/>
      <c r="M1833" s="48" t="str">
        <f aca="false">IF($E1833="","",IFERROR(INDEX(Parâmetros!$C$15:$C$20,MATCH($P1833,Parâmetros!$B$15:$B$20,0)),""))</f>
        <v/>
      </c>
      <c r="N1833" s="46" t="str">
        <f aca="false">IF($E1833="","",IF($P1833="","",IF($P1833&gt;=8,"Alta",IF($P1833&gt;=5,"Média","Baixa"))))</f>
        <v/>
      </c>
      <c r="O1833" s="46" t="str">
        <f aca="false">IF($E1833="","",IF(AND(Parâmetros!$C$5&gt;0,$P1833&lt;&gt;"",$P1833&gt;=Parâmetros!$C$5),"Sim","Não"))</f>
        <v/>
      </c>
      <c r="P1833" s="45" t="str">
        <f aca="false">IF($E1833="","",IF($G1833="","",IF($G1833="NOK",$F1833,0)))</f>
        <v/>
      </c>
      <c r="Q1833" s="46" t="str">
        <f aca="false">IF($E1833="","",IF($O1833&lt;&gt;"Sim","",COUNTIF($O$3:$O1833,"Sim")))</f>
        <v/>
      </c>
      <c r="R1833" s="47" t="n">
        <f aca="false">IF($P1833="",0,$P1833)</f>
        <v>0</v>
      </c>
    </row>
    <row r="1834" customFormat="false" ht="18" hidden="false" customHeight="true" outlineLevel="0" collapsed="false">
      <c r="A1834" s="39"/>
      <c r="B1834" s="41"/>
      <c r="C1834" s="40"/>
      <c r="D1834" s="40"/>
      <c r="E1834" s="40"/>
      <c r="F1834" s="42"/>
      <c r="G1834" s="39"/>
      <c r="H1834" s="40"/>
      <c r="I1834" s="40"/>
      <c r="J1834" s="40"/>
      <c r="K1834" s="41"/>
      <c r="L1834" s="39"/>
      <c r="M1834" s="48" t="str">
        <f aca="false">IF($E1834="","",IFERROR(INDEX(Parâmetros!$C$15:$C$20,MATCH($P1834,Parâmetros!$B$15:$B$20,0)),""))</f>
        <v/>
      </c>
      <c r="N1834" s="46" t="str">
        <f aca="false">IF($E1834="","",IF($P1834="","",IF($P1834&gt;=8,"Alta",IF($P1834&gt;=5,"Média","Baixa"))))</f>
        <v/>
      </c>
      <c r="O1834" s="46" t="str">
        <f aca="false">IF($E1834="","",IF(AND(Parâmetros!$C$5&gt;0,$P1834&lt;&gt;"",$P1834&gt;=Parâmetros!$C$5),"Sim","Não"))</f>
        <v/>
      </c>
      <c r="P1834" s="45" t="str">
        <f aca="false">IF($E1834="","",IF($G1834="","",IF($G1834="NOK",$F1834,0)))</f>
        <v/>
      </c>
      <c r="Q1834" s="46" t="str">
        <f aca="false">IF($E1834="","",IF($O1834&lt;&gt;"Sim","",COUNTIF($O$3:$O1834,"Sim")))</f>
        <v/>
      </c>
      <c r="R1834" s="47" t="n">
        <f aca="false">IF($P1834="",0,$P1834)</f>
        <v>0</v>
      </c>
    </row>
    <row r="1835" customFormat="false" ht="18" hidden="false" customHeight="true" outlineLevel="0" collapsed="false">
      <c r="A1835" s="39"/>
      <c r="B1835" s="41"/>
      <c r="C1835" s="40"/>
      <c r="D1835" s="40"/>
      <c r="E1835" s="40"/>
      <c r="F1835" s="42"/>
      <c r="G1835" s="39"/>
      <c r="H1835" s="40"/>
      <c r="I1835" s="40"/>
      <c r="J1835" s="40"/>
      <c r="K1835" s="41"/>
      <c r="L1835" s="39"/>
      <c r="M1835" s="48" t="str">
        <f aca="false">IF($E1835="","",IFERROR(INDEX(Parâmetros!$C$15:$C$20,MATCH($P1835,Parâmetros!$B$15:$B$20,0)),""))</f>
        <v/>
      </c>
      <c r="N1835" s="46" t="str">
        <f aca="false">IF($E1835="","",IF($P1835="","",IF($P1835&gt;=8,"Alta",IF($P1835&gt;=5,"Média","Baixa"))))</f>
        <v/>
      </c>
      <c r="O1835" s="46" t="str">
        <f aca="false">IF($E1835="","",IF(AND(Parâmetros!$C$5&gt;0,$P1835&lt;&gt;"",$P1835&gt;=Parâmetros!$C$5),"Sim","Não"))</f>
        <v/>
      </c>
      <c r="P1835" s="45" t="str">
        <f aca="false">IF($E1835="","",IF($G1835="","",IF($G1835="NOK",$F1835,0)))</f>
        <v/>
      </c>
      <c r="Q1835" s="46" t="str">
        <f aca="false">IF($E1835="","",IF($O1835&lt;&gt;"Sim","",COUNTIF($O$3:$O1835,"Sim")))</f>
        <v/>
      </c>
      <c r="R1835" s="47" t="n">
        <f aca="false">IF($P1835="",0,$P1835)</f>
        <v>0</v>
      </c>
    </row>
    <row r="1836" customFormat="false" ht="18" hidden="false" customHeight="true" outlineLevel="0" collapsed="false">
      <c r="A1836" s="39"/>
      <c r="B1836" s="41"/>
      <c r="C1836" s="40"/>
      <c r="D1836" s="40"/>
      <c r="E1836" s="40"/>
      <c r="F1836" s="42"/>
      <c r="G1836" s="39"/>
      <c r="H1836" s="40"/>
      <c r="I1836" s="40"/>
      <c r="J1836" s="40"/>
      <c r="K1836" s="41"/>
      <c r="L1836" s="39"/>
      <c r="M1836" s="48" t="str">
        <f aca="false">IF($E1836="","",IFERROR(INDEX(Parâmetros!$C$15:$C$20,MATCH($P1836,Parâmetros!$B$15:$B$20,0)),""))</f>
        <v/>
      </c>
      <c r="N1836" s="46" t="str">
        <f aca="false">IF($E1836="","",IF($P1836="","",IF($P1836&gt;=8,"Alta",IF($P1836&gt;=5,"Média","Baixa"))))</f>
        <v/>
      </c>
      <c r="O1836" s="46" t="str">
        <f aca="false">IF($E1836="","",IF(AND(Parâmetros!$C$5&gt;0,$P1836&lt;&gt;"",$P1836&gt;=Parâmetros!$C$5),"Sim","Não"))</f>
        <v/>
      </c>
      <c r="P1836" s="45" t="str">
        <f aca="false">IF($E1836="","",IF($G1836="","",IF($G1836="NOK",$F1836,0)))</f>
        <v/>
      </c>
      <c r="Q1836" s="46" t="str">
        <f aca="false">IF($E1836="","",IF($O1836&lt;&gt;"Sim","",COUNTIF($O$3:$O1836,"Sim")))</f>
        <v/>
      </c>
      <c r="R1836" s="47" t="n">
        <f aca="false">IF($P1836="",0,$P1836)</f>
        <v>0</v>
      </c>
    </row>
    <row r="1837" customFormat="false" ht="18" hidden="false" customHeight="true" outlineLevel="0" collapsed="false">
      <c r="A1837" s="39"/>
      <c r="B1837" s="41"/>
      <c r="C1837" s="40"/>
      <c r="D1837" s="40"/>
      <c r="E1837" s="40"/>
      <c r="F1837" s="42"/>
      <c r="G1837" s="39"/>
      <c r="H1837" s="40"/>
      <c r="I1837" s="40"/>
      <c r="J1837" s="40"/>
      <c r="K1837" s="41"/>
      <c r="L1837" s="39"/>
      <c r="M1837" s="48" t="str">
        <f aca="false">IF($E1837="","",IFERROR(INDEX(Parâmetros!$C$15:$C$20,MATCH($P1837,Parâmetros!$B$15:$B$20,0)),""))</f>
        <v/>
      </c>
      <c r="N1837" s="46" t="str">
        <f aca="false">IF($E1837="","",IF($P1837="","",IF($P1837&gt;=8,"Alta",IF($P1837&gt;=5,"Média","Baixa"))))</f>
        <v/>
      </c>
      <c r="O1837" s="46" t="str">
        <f aca="false">IF($E1837="","",IF(AND(Parâmetros!$C$5&gt;0,$P1837&lt;&gt;"",$P1837&gt;=Parâmetros!$C$5),"Sim","Não"))</f>
        <v/>
      </c>
      <c r="P1837" s="45" t="str">
        <f aca="false">IF($E1837="","",IF($G1837="","",IF($G1837="NOK",$F1837,0)))</f>
        <v/>
      </c>
      <c r="Q1837" s="46" t="str">
        <f aca="false">IF($E1837="","",IF($O1837&lt;&gt;"Sim","",COUNTIF($O$3:$O1837,"Sim")))</f>
        <v/>
      </c>
      <c r="R1837" s="47" t="n">
        <f aca="false">IF($P1837="",0,$P1837)</f>
        <v>0</v>
      </c>
    </row>
    <row r="1838" customFormat="false" ht="18" hidden="false" customHeight="true" outlineLevel="0" collapsed="false">
      <c r="A1838" s="39"/>
      <c r="B1838" s="41"/>
      <c r="C1838" s="40"/>
      <c r="D1838" s="40"/>
      <c r="E1838" s="40"/>
      <c r="F1838" s="42"/>
      <c r="G1838" s="39"/>
      <c r="H1838" s="40"/>
      <c r="I1838" s="40"/>
      <c r="J1838" s="40"/>
      <c r="K1838" s="41"/>
      <c r="L1838" s="39"/>
      <c r="M1838" s="48" t="str">
        <f aca="false">IF($E1838="","",IFERROR(INDEX(Parâmetros!$C$15:$C$20,MATCH($P1838,Parâmetros!$B$15:$B$20,0)),""))</f>
        <v/>
      </c>
      <c r="N1838" s="46" t="str">
        <f aca="false">IF($E1838="","",IF($P1838="","",IF($P1838&gt;=8,"Alta",IF($P1838&gt;=5,"Média","Baixa"))))</f>
        <v/>
      </c>
      <c r="O1838" s="46" t="str">
        <f aca="false">IF($E1838="","",IF(AND(Parâmetros!$C$5&gt;0,$P1838&lt;&gt;"",$P1838&gt;=Parâmetros!$C$5),"Sim","Não"))</f>
        <v/>
      </c>
      <c r="P1838" s="45" t="str">
        <f aca="false">IF($E1838="","",IF($G1838="","",IF($G1838="NOK",$F1838,0)))</f>
        <v/>
      </c>
      <c r="Q1838" s="46" t="str">
        <f aca="false">IF($E1838="","",IF($O1838&lt;&gt;"Sim","",COUNTIF($O$3:$O1838,"Sim")))</f>
        <v/>
      </c>
      <c r="R1838" s="47" t="n">
        <f aca="false">IF($P1838="",0,$P1838)</f>
        <v>0</v>
      </c>
    </row>
    <row r="1839" customFormat="false" ht="18" hidden="false" customHeight="true" outlineLevel="0" collapsed="false">
      <c r="A1839" s="39"/>
      <c r="B1839" s="41"/>
      <c r="C1839" s="40"/>
      <c r="D1839" s="40"/>
      <c r="E1839" s="40"/>
      <c r="F1839" s="42"/>
      <c r="G1839" s="39"/>
      <c r="H1839" s="40"/>
      <c r="I1839" s="40"/>
      <c r="J1839" s="40"/>
      <c r="K1839" s="41"/>
      <c r="L1839" s="39"/>
      <c r="M1839" s="48" t="str">
        <f aca="false">IF($E1839="","",IFERROR(INDEX(Parâmetros!$C$15:$C$20,MATCH($P1839,Parâmetros!$B$15:$B$20,0)),""))</f>
        <v/>
      </c>
      <c r="N1839" s="46" t="str">
        <f aca="false">IF($E1839="","",IF($P1839="","",IF($P1839&gt;=8,"Alta",IF($P1839&gt;=5,"Média","Baixa"))))</f>
        <v/>
      </c>
      <c r="O1839" s="46" t="str">
        <f aca="false">IF($E1839="","",IF(AND(Parâmetros!$C$5&gt;0,$P1839&lt;&gt;"",$P1839&gt;=Parâmetros!$C$5),"Sim","Não"))</f>
        <v/>
      </c>
      <c r="P1839" s="45" t="str">
        <f aca="false">IF($E1839="","",IF($G1839="","",IF($G1839="NOK",$F1839,0)))</f>
        <v/>
      </c>
      <c r="Q1839" s="46" t="str">
        <f aca="false">IF($E1839="","",IF($O1839&lt;&gt;"Sim","",COUNTIF($O$3:$O1839,"Sim")))</f>
        <v/>
      </c>
      <c r="R1839" s="47" t="n">
        <f aca="false">IF($P1839="",0,$P1839)</f>
        <v>0</v>
      </c>
    </row>
    <row r="1840" customFormat="false" ht="18" hidden="false" customHeight="true" outlineLevel="0" collapsed="false">
      <c r="A1840" s="39"/>
      <c r="B1840" s="41"/>
      <c r="C1840" s="40"/>
      <c r="D1840" s="40"/>
      <c r="E1840" s="40"/>
      <c r="F1840" s="42"/>
      <c r="G1840" s="39"/>
      <c r="H1840" s="40"/>
      <c r="I1840" s="40"/>
      <c r="J1840" s="40"/>
      <c r="K1840" s="41"/>
      <c r="L1840" s="39"/>
      <c r="M1840" s="48" t="str">
        <f aca="false">IF($E1840="","",IFERROR(INDEX(Parâmetros!$C$15:$C$20,MATCH($P1840,Parâmetros!$B$15:$B$20,0)),""))</f>
        <v/>
      </c>
      <c r="N1840" s="46" t="str">
        <f aca="false">IF($E1840="","",IF($P1840="","",IF($P1840&gt;=8,"Alta",IF($P1840&gt;=5,"Média","Baixa"))))</f>
        <v/>
      </c>
      <c r="O1840" s="46" t="str">
        <f aca="false">IF($E1840="","",IF(AND(Parâmetros!$C$5&gt;0,$P1840&lt;&gt;"",$P1840&gt;=Parâmetros!$C$5),"Sim","Não"))</f>
        <v/>
      </c>
      <c r="P1840" s="45" t="str">
        <f aca="false">IF($E1840="","",IF($G1840="","",IF($G1840="NOK",$F1840,0)))</f>
        <v/>
      </c>
      <c r="Q1840" s="46" t="str">
        <f aca="false">IF($E1840="","",IF($O1840&lt;&gt;"Sim","",COUNTIF($O$3:$O1840,"Sim")))</f>
        <v/>
      </c>
      <c r="R1840" s="47" t="n">
        <f aca="false">IF($P1840="",0,$P1840)</f>
        <v>0</v>
      </c>
    </row>
    <row r="1841" customFormat="false" ht="18" hidden="false" customHeight="true" outlineLevel="0" collapsed="false">
      <c r="A1841" s="39"/>
      <c r="B1841" s="41"/>
      <c r="C1841" s="40"/>
      <c r="D1841" s="40"/>
      <c r="E1841" s="40"/>
      <c r="F1841" s="42"/>
      <c r="G1841" s="39"/>
      <c r="H1841" s="40"/>
      <c r="I1841" s="40"/>
      <c r="J1841" s="40"/>
      <c r="K1841" s="41"/>
      <c r="L1841" s="39"/>
      <c r="M1841" s="48" t="str">
        <f aca="false">IF($E1841="","",IFERROR(INDEX(Parâmetros!$C$15:$C$20,MATCH($P1841,Parâmetros!$B$15:$B$20,0)),""))</f>
        <v/>
      </c>
      <c r="N1841" s="46" t="str">
        <f aca="false">IF($E1841="","",IF($P1841="","",IF($P1841&gt;=8,"Alta",IF($P1841&gt;=5,"Média","Baixa"))))</f>
        <v/>
      </c>
      <c r="O1841" s="46" t="str">
        <f aca="false">IF($E1841="","",IF(AND(Parâmetros!$C$5&gt;0,$P1841&lt;&gt;"",$P1841&gt;=Parâmetros!$C$5),"Sim","Não"))</f>
        <v/>
      </c>
      <c r="P1841" s="45" t="str">
        <f aca="false">IF($E1841="","",IF($G1841="","",IF($G1841="NOK",$F1841,0)))</f>
        <v/>
      </c>
      <c r="Q1841" s="46" t="str">
        <f aca="false">IF($E1841="","",IF($O1841&lt;&gt;"Sim","",COUNTIF($O$3:$O1841,"Sim")))</f>
        <v/>
      </c>
      <c r="R1841" s="47" t="n">
        <f aca="false">IF($P1841="",0,$P1841)</f>
        <v>0</v>
      </c>
    </row>
    <row r="1842" customFormat="false" ht="18" hidden="false" customHeight="true" outlineLevel="0" collapsed="false">
      <c r="A1842" s="39"/>
      <c r="B1842" s="41"/>
      <c r="C1842" s="40"/>
      <c r="D1842" s="40"/>
      <c r="E1842" s="40"/>
      <c r="F1842" s="42"/>
      <c r="G1842" s="39"/>
      <c r="H1842" s="40"/>
      <c r="I1842" s="40"/>
      <c r="J1842" s="40"/>
      <c r="K1842" s="41"/>
      <c r="L1842" s="39"/>
      <c r="M1842" s="48" t="str">
        <f aca="false">IF($E1842="","",IFERROR(INDEX(Parâmetros!$C$15:$C$20,MATCH($P1842,Parâmetros!$B$15:$B$20,0)),""))</f>
        <v/>
      </c>
      <c r="N1842" s="46" t="str">
        <f aca="false">IF($E1842="","",IF($P1842="","",IF($P1842&gt;=8,"Alta",IF($P1842&gt;=5,"Média","Baixa"))))</f>
        <v/>
      </c>
      <c r="O1842" s="46" t="str">
        <f aca="false">IF($E1842="","",IF(AND(Parâmetros!$C$5&gt;0,$P1842&lt;&gt;"",$P1842&gt;=Parâmetros!$C$5),"Sim","Não"))</f>
        <v/>
      </c>
      <c r="P1842" s="45" t="str">
        <f aca="false">IF($E1842="","",IF($G1842="","",IF($G1842="NOK",$F1842,0)))</f>
        <v/>
      </c>
      <c r="Q1842" s="46" t="str">
        <f aca="false">IF($E1842="","",IF($O1842&lt;&gt;"Sim","",COUNTIF($O$3:$O1842,"Sim")))</f>
        <v/>
      </c>
      <c r="R1842" s="47" t="n">
        <f aca="false">IF($P1842="",0,$P1842)</f>
        <v>0</v>
      </c>
    </row>
    <row r="1843" customFormat="false" ht="18" hidden="false" customHeight="true" outlineLevel="0" collapsed="false">
      <c r="A1843" s="39"/>
      <c r="B1843" s="41"/>
      <c r="C1843" s="40"/>
      <c r="D1843" s="40"/>
      <c r="E1843" s="40"/>
      <c r="F1843" s="42"/>
      <c r="G1843" s="39"/>
      <c r="H1843" s="40"/>
      <c r="I1843" s="40"/>
      <c r="J1843" s="40"/>
      <c r="K1843" s="41"/>
      <c r="L1843" s="39"/>
      <c r="M1843" s="48" t="str">
        <f aca="false">IF($E1843="","",IFERROR(INDEX(Parâmetros!$C$15:$C$20,MATCH($P1843,Parâmetros!$B$15:$B$20,0)),""))</f>
        <v/>
      </c>
      <c r="N1843" s="46" t="str">
        <f aca="false">IF($E1843="","",IF($P1843="","",IF($P1843&gt;=8,"Alta",IF($P1843&gt;=5,"Média","Baixa"))))</f>
        <v/>
      </c>
      <c r="O1843" s="46" t="str">
        <f aca="false">IF($E1843="","",IF(AND(Parâmetros!$C$5&gt;0,$P1843&lt;&gt;"",$P1843&gt;=Parâmetros!$C$5),"Sim","Não"))</f>
        <v/>
      </c>
      <c r="P1843" s="45" t="str">
        <f aca="false">IF($E1843="","",IF($G1843="","",IF($G1843="NOK",$F1843,0)))</f>
        <v/>
      </c>
      <c r="Q1843" s="46" t="str">
        <f aca="false">IF($E1843="","",IF($O1843&lt;&gt;"Sim","",COUNTIF($O$3:$O1843,"Sim")))</f>
        <v/>
      </c>
      <c r="R1843" s="47" t="n">
        <f aca="false">IF($P1843="",0,$P1843)</f>
        <v>0</v>
      </c>
    </row>
    <row r="1844" customFormat="false" ht="18" hidden="false" customHeight="true" outlineLevel="0" collapsed="false">
      <c r="A1844" s="39"/>
      <c r="B1844" s="41"/>
      <c r="C1844" s="40"/>
      <c r="D1844" s="40"/>
      <c r="E1844" s="40"/>
      <c r="F1844" s="42"/>
      <c r="G1844" s="39"/>
      <c r="H1844" s="40"/>
      <c r="I1844" s="40"/>
      <c r="J1844" s="40"/>
      <c r="K1844" s="41"/>
      <c r="L1844" s="39"/>
      <c r="M1844" s="48" t="str">
        <f aca="false">IF($E1844="","",IFERROR(INDEX(Parâmetros!$C$15:$C$20,MATCH($P1844,Parâmetros!$B$15:$B$20,0)),""))</f>
        <v/>
      </c>
      <c r="N1844" s="46" t="str">
        <f aca="false">IF($E1844="","",IF($P1844="","",IF($P1844&gt;=8,"Alta",IF($P1844&gt;=5,"Média","Baixa"))))</f>
        <v/>
      </c>
      <c r="O1844" s="46" t="str">
        <f aca="false">IF($E1844="","",IF(AND(Parâmetros!$C$5&gt;0,$P1844&lt;&gt;"",$P1844&gt;=Parâmetros!$C$5),"Sim","Não"))</f>
        <v/>
      </c>
      <c r="P1844" s="45" t="str">
        <f aca="false">IF($E1844="","",IF($G1844="","",IF($G1844="NOK",$F1844,0)))</f>
        <v/>
      </c>
      <c r="Q1844" s="46" t="str">
        <f aca="false">IF($E1844="","",IF($O1844&lt;&gt;"Sim","",COUNTIF($O$3:$O1844,"Sim")))</f>
        <v/>
      </c>
      <c r="R1844" s="47" t="n">
        <f aca="false">IF($P1844="",0,$P1844)</f>
        <v>0</v>
      </c>
    </row>
    <row r="1845" customFormat="false" ht="18" hidden="false" customHeight="true" outlineLevel="0" collapsed="false">
      <c r="A1845" s="39"/>
      <c r="B1845" s="41"/>
      <c r="C1845" s="40"/>
      <c r="D1845" s="40"/>
      <c r="E1845" s="40"/>
      <c r="F1845" s="42"/>
      <c r="G1845" s="39"/>
      <c r="H1845" s="40"/>
      <c r="I1845" s="40"/>
      <c r="J1845" s="40"/>
      <c r="K1845" s="41"/>
      <c r="L1845" s="39"/>
      <c r="M1845" s="48" t="str">
        <f aca="false">IF($E1845="","",IFERROR(INDEX(Parâmetros!$C$15:$C$20,MATCH($P1845,Parâmetros!$B$15:$B$20,0)),""))</f>
        <v/>
      </c>
      <c r="N1845" s="46" t="str">
        <f aca="false">IF($E1845="","",IF($P1845="","",IF($P1845&gt;=8,"Alta",IF($P1845&gt;=5,"Média","Baixa"))))</f>
        <v/>
      </c>
      <c r="O1845" s="46" t="str">
        <f aca="false">IF($E1845="","",IF(AND(Parâmetros!$C$5&gt;0,$P1845&lt;&gt;"",$P1845&gt;=Parâmetros!$C$5),"Sim","Não"))</f>
        <v/>
      </c>
      <c r="P1845" s="45" t="str">
        <f aca="false">IF($E1845="","",IF($G1845="","",IF($G1845="NOK",$F1845,0)))</f>
        <v/>
      </c>
      <c r="Q1845" s="46" t="str">
        <f aca="false">IF($E1845="","",IF($O1845&lt;&gt;"Sim","",COUNTIF($O$3:$O1845,"Sim")))</f>
        <v/>
      </c>
      <c r="R1845" s="47" t="n">
        <f aca="false">IF($P1845="",0,$P1845)</f>
        <v>0</v>
      </c>
    </row>
    <row r="1846" customFormat="false" ht="18" hidden="false" customHeight="true" outlineLevel="0" collapsed="false">
      <c r="A1846" s="39"/>
      <c r="B1846" s="41"/>
      <c r="C1846" s="40"/>
      <c r="D1846" s="40"/>
      <c r="E1846" s="40"/>
      <c r="F1846" s="42"/>
      <c r="G1846" s="39"/>
      <c r="H1846" s="40"/>
      <c r="I1846" s="40"/>
      <c r="J1846" s="40"/>
      <c r="K1846" s="41"/>
      <c r="L1846" s="39"/>
      <c r="M1846" s="48" t="str">
        <f aca="false">IF($E1846="","",IFERROR(INDEX(Parâmetros!$C$15:$C$20,MATCH($P1846,Parâmetros!$B$15:$B$20,0)),""))</f>
        <v/>
      </c>
      <c r="N1846" s="46" t="str">
        <f aca="false">IF($E1846="","",IF($P1846="","",IF($P1846&gt;=8,"Alta",IF($P1846&gt;=5,"Média","Baixa"))))</f>
        <v/>
      </c>
      <c r="O1846" s="46" t="str">
        <f aca="false">IF($E1846="","",IF(AND(Parâmetros!$C$5&gt;0,$P1846&lt;&gt;"",$P1846&gt;=Parâmetros!$C$5),"Sim","Não"))</f>
        <v/>
      </c>
      <c r="P1846" s="45" t="str">
        <f aca="false">IF($E1846="","",IF($G1846="","",IF($G1846="NOK",$F1846,0)))</f>
        <v/>
      </c>
      <c r="Q1846" s="46" t="str">
        <f aca="false">IF($E1846="","",IF($O1846&lt;&gt;"Sim","",COUNTIF($O$3:$O1846,"Sim")))</f>
        <v/>
      </c>
      <c r="R1846" s="47" t="n">
        <f aca="false">IF($P1846="",0,$P1846)</f>
        <v>0</v>
      </c>
    </row>
    <row r="1847" customFormat="false" ht="18" hidden="false" customHeight="true" outlineLevel="0" collapsed="false">
      <c r="A1847" s="39"/>
      <c r="B1847" s="41"/>
      <c r="C1847" s="40"/>
      <c r="D1847" s="40"/>
      <c r="E1847" s="40"/>
      <c r="F1847" s="42"/>
      <c r="G1847" s="39"/>
      <c r="H1847" s="40"/>
      <c r="I1847" s="40"/>
      <c r="J1847" s="40"/>
      <c r="K1847" s="41"/>
      <c r="L1847" s="39"/>
      <c r="M1847" s="48" t="str">
        <f aca="false">IF($E1847="","",IFERROR(INDEX(Parâmetros!$C$15:$C$20,MATCH($P1847,Parâmetros!$B$15:$B$20,0)),""))</f>
        <v/>
      </c>
      <c r="N1847" s="46" t="str">
        <f aca="false">IF($E1847="","",IF($P1847="","",IF($P1847&gt;=8,"Alta",IF($P1847&gt;=5,"Média","Baixa"))))</f>
        <v/>
      </c>
      <c r="O1847" s="46" t="str">
        <f aca="false">IF($E1847="","",IF(AND(Parâmetros!$C$5&gt;0,$P1847&lt;&gt;"",$P1847&gt;=Parâmetros!$C$5),"Sim","Não"))</f>
        <v/>
      </c>
      <c r="P1847" s="45" t="str">
        <f aca="false">IF($E1847="","",IF($G1847="","",IF($G1847="NOK",$F1847,0)))</f>
        <v/>
      </c>
      <c r="Q1847" s="46" t="str">
        <f aca="false">IF($E1847="","",IF($O1847&lt;&gt;"Sim","",COUNTIF($O$3:$O1847,"Sim")))</f>
        <v/>
      </c>
      <c r="R1847" s="47" t="n">
        <f aca="false">IF($P1847="",0,$P1847)</f>
        <v>0</v>
      </c>
    </row>
    <row r="1848" customFormat="false" ht="18" hidden="false" customHeight="true" outlineLevel="0" collapsed="false">
      <c r="A1848" s="39"/>
      <c r="B1848" s="41"/>
      <c r="C1848" s="40"/>
      <c r="D1848" s="40"/>
      <c r="E1848" s="40"/>
      <c r="F1848" s="42"/>
      <c r="G1848" s="39"/>
      <c r="H1848" s="40"/>
      <c r="I1848" s="40"/>
      <c r="J1848" s="40"/>
      <c r="K1848" s="41"/>
      <c r="L1848" s="39"/>
      <c r="M1848" s="48" t="str">
        <f aca="false">IF($E1848="","",IFERROR(INDEX(Parâmetros!$C$15:$C$20,MATCH($P1848,Parâmetros!$B$15:$B$20,0)),""))</f>
        <v/>
      </c>
      <c r="N1848" s="46" t="str">
        <f aca="false">IF($E1848="","",IF($P1848="","",IF($P1848&gt;=8,"Alta",IF($P1848&gt;=5,"Média","Baixa"))))</f>
        <v/>
      </c>
      <c r="O1848" s="46" t="str">
        <f aca="false">IF($E1848="","",IF(AND(Parâmetros!$C$5&gt;0,$P1848&lt;&gt;"",$P1848&gt;=Parâmetros!$C$5),"Sim","Não"))</f>
        <v/>
      </c>
      <c r="P1848" s="45" t="str">
        <f aca="false">IF($E1848="","",IF($G1848="","",IF($G1848="NOK",$F1848,0)))</f>
        <v/>
      </c>
      <c r="Q1848" s="46" t="str">
        <f aca="false">IF($E1848="","",IF($O1848&lt;&gt;"Sim","",COUNTIF($O$3:$O1848,"Sim")))</f>
        <v/>
      </c>
      <c r="R1848" s="47" t="n">
        <f aca="false">IF($P1848="",0,$P1848)</f>
        <v>0</v>
      </c>
    </row>
    <row r="1849" customFormat="false" ht="18" hidden="false" customHeight="true" outlineLevel="0" collapsed="false">
      <c r="A1849" s="39"/>
      <c r="B1849" s="41"/>
      <c r="C1849" s="40"/>
      <c r="D1849" s="40"/>
      <c r="E1849" s="40"/>
      <c r="F1849" s="42"/>
      <c r="G1849" s="39"/>
      <c r="H1849" s="40"/>
      <c r="I1849" s="40"/>
      <c r="J1849" s="40"/>
      <c r="K1849" s="41"/>
      <c r="L1849" s="39"/>
      <c r="M1849" s="48" t="str">
        <f aca="false">IF($E1849="","",IFERROR(INDEX(Parâmetros!$C$15:$C$20,MATCH($P1849,Parâmetros!$B$15:$B$20,0)),""))</f>
        <v/>
      </c>
      <c r="N1849" s="46" t="str">
        <f aca="false">IF($E1849="","",IF($P1849="","",IF($P1849&gt;=8,"Alta",IF($P1849&gt;=5,"Média","Baixa"))))</f>
        <v/>
      </c>
      <c r="O1849" s="46" t="str">
        <f aca="false">IF($E1849="","",IF(AND(Parâmetros!$C$5&gt;0,$P1849&lt;&gt;"",$P1849&gt;=Parâmetros!$C$5),"Sim","Não"))</f>
        <v/>
      </c>
      <c r="P1849" s="45" t="str">
        <f aca="false">IF($E1849="","",IF($G1849="","",IF($G1849="NOK",$F1849,0)))</f>
        <v/>
      </c>
      <c r="Q1849" s="46" t="str">
        <f aca="false">IF($E1849="","",IF($O1849&lt;&gt;"Sim","",COUNTIF($O$3:$O1849,"Sim")))</f>
        <v/>
      </c>
      <c r="R1849" s="47" t="n">
        <f aca="false">IF($P1849="",0,$P1849)</f>
        <v>0</v>
      </c>
    </row>
    <row r="1850" customFormat="false" ht="18" hidden="false" customHeight="true" outlineLevel="0" collapsed="false">
      <c r="A1850" s="39"/>
      <c r="B1850" s="41"/>
      <c r="C1850" s="40"/>
      <c r="D1850" s="40"/>
      <c r="E1850" s="40"/>
      <c r="F1850" s="42"/>
      <c r="G1850" s="39"/>
      <c r="H1850" s="40"/>
      <c r="I1850" s="40"/>
      <c r="J1850" s="40"/>
      <c r="K1850" s="41"/>
      <c r="L1850" s="39"/>
      <c r="M1850" s="48" t="str">
        <f aca="false">IF($E1850="","",IFERROR(INDEX(Parâmetros!$C$15:$C$20,MATCH($P1850,Parâmetros!$B$15:$B$20,0)),""))</f>
        <v/>
      </c>
      <c r="N1850" s="46" t="str">
        <f aca="false">IF($E1850="","",IF($P1850="","",IF($P1850&gt;=8,"Alta",IF($P1850&gt;=5,"Média","Baixa"))))</f>
        <v/>
      </c>
      <c r="O1850" s="46" t="str">
        <f aca="false">IF($E1850="","",IF(AND(Parâmetros!$C$5&gt;0,$P1850&lt;&gt;"",$P1850&gt;=Parâmetros!$C$5),"Sim","Não"))</f>
        <v/>
      </c>
      <c r="P1850" s="45" t="str">
        <f aca="false">IF($E1850="","",IF($G1850="","",IF($G1850="NOK",$F1850,0)))</f>
        <v/>
      </c>
      <c r="Q1850" s="46" t="str">
        <f aca="false">IF($E1850="","",IF($O1850&lt;&gt;"Sim","",COUNTIF($O$3:$O1850,"Sim")))</f>
        <v/>
      </c>
      <c r="R1850" s="47" t="n">
        <f aca="false">IF($P1850="",0,$P1850)</f>
        <v>0</v>
      </c>
    </row>
    <row r="1851" customFormat="false" ht="18" hidden="false" customHeight="true" outlineLevel="0" collapsed="false">
      <c r="A1851" s="39"/>
      <c r="B1851" s="41"/>
      <c r="C1851" s="40"/>
      <c r="D1851" s="40"/>
      <c r="E1851" s="40"/>
      <c r="F1851" s="42"/>
      <c r="G1851" s="39"/>
      <c r="H1851" s="40"/>
      <c r="I1851" s="40"/>
      <c r="J1851" s="40"/>
      <c r="K1851" s="41"/>
      <c r="L1851" s="39"/>
      <c r="M1851" s="48" t="str">
        <f aca="false">IF($E1851="","",IFERROR(INDEX(Parâmetros!$C$15:$C$20,MATCH($P1851,Parâmetros!$B$15:$B$20,0)),""))</f>
        <v/>
      </c>
      <c r="N1851" s="46" t="str">
        <f aca="false">IF($E1851="","",IF($P1851="","",IF($P1851&gt;=8,"Alta",IF($P1851&gt;=5,"Média","Baixa"))))</f>
        <v/>
      </c>
      <c r="O1851" s="46" t="str">
        <f aca="false">IF($E1851="","",IF(AND(Parâmetros!$C$5&gt;0,$P1851&lt;&gt;"",$P1851&gt;=Parâmetros!$C$5),"Sim","Não"))</f>
        <v/>
      </c>
      <c r="P1851" s="45" t="str">
        <f aca="false">IF($E1851="","",IF($G1851="","",IF($G1851="NOK",$F1851,0)))</f>
        <v/>
      </c>
      <c r="Q1851" s="46" t="str">
        <f aca="false">IF($E1851="","",IF($O1851&lt;&gt;"Sim","",COUNTIF($O$3:$O1851,"Sim")))</f>
        <v/>
      </c>
      <c r="R1851" s="47" t="n">
        <f aca="false">IF($P1851="",0,$P1851)</f>
        <v>0</v>
      </c>
    </row>
    <row r="1852" customFormat="false" ht="18" hidden="false" customHeight="true" outlineLevel="0" collapsed="false">
      <c r="A1852" s="39"/>
      <c r="B1852" s="41"/>
      <c r="C1852" s="40"/>
      <c r="D1852" s="40"/>
      <c r="E1852" s="40"/>
      <c r="F1852" s="42"/>
      <c r="G1852" s="39"/>
      <c r="H1852" s="40"/>
      <c r="I1852" s="40"/>
      <c r="J1852" s="40"/>
      <c r="K1852" s="41"/>
      <c r="L1852" s="39"/>
      <c r="M1852" s="48" t="str">
        <f aca="false">IF($E1852="","",IFERROR(INDEX(Parâmetros!$C$15:$C$20,MATCH($P1852,Parâmetros!$B$15:$B$20,0)),""))</f>
        <v/>
      </c>
      <c r="N1852" s="46" t="str">
        <f aca="false">IF($E1852="","",IF($P1852="","",IF($P1852&gt;=8,"Alta",IF($P1852&gt;=5,"Média","Baixa"))))</f>
        <v/>
      </c>
      <c r="O1852" s="46" t="str">
        <f aca="false">IF($E1852="","",IF(AND(Parâmetros!$C$5&gt;0,$P1852&lt;&gt;"",$P1852&gt;=Parâmetros!$C$5),"Sim","Não"))</f>
        <v/>
      </c>
      <c r="P1852" s="45" t="str">
        <f aca="false">IF($E1852="","",IF($G1852="","",IF($G1852="NOK",$F1852,0)))</f>
        <v/>
      </c>
      <c r="Q1852" s="46" t="str">
        <f aca="false">IF($E1852="","",IF($O1852&lt;&gt;"Sim","",COUNTIF($O$3:$O1852,"Sim")))</f>
        <v/>
      </c>
      <c r="R1852" s="47" t="n">
        <f aca="false">IF($P1852="",0,$P1852)</f>
        <v>0</v>
      </c>
    </row>
    <row r="1853" customFormat="false" ht="18" hidden="false" customHeight="true" outlineLevel="0" collapsed="false">
      <c r="A1853" s="39"/>
      <c r="B1853" s="41"/>
      <c r="C1853" s="40"/>
      <c r="D1853" s="40"/>
      <c r="E1853" s="40"/>
      <c r="F1853" s="42"/>
      <c r="G1853" s="39"/>
      <c r="H1853" s="40"/>
      <c r="I1853" s="40"/>
      <c r="J1853" s="40"/>
      <c r="K1853" s="41"/>
      <c r="L1853" s="39"/>
      <c r="M1853" s="48" t="str">
        <f aca="false">IF($E1853="","",IFERROR(INDEX(Parâmetros!$C$15:$C$20,MATCH($P1853,Parâmetros!$B$15:$B$20,0)),""))</f>
        <v/>
      </c>
      <c r="N1853" s="46" t="str">
        <f aca="false">IF($E1853="","",IF($P1853="","",IF($P1853&gt;=8,"Alta",IF($P1853&gt;=5,"Média","Baixa"))))</f>
        <v/>
      </c>
      <c r="O1853" s="46" t="str">
        <f aca="false">IF($E1853="","",IF(AND(Parâmetros!$C$5&gt;0,$P1853&lt;&gt;"",$P1853&gt;=Parâmetros!$C$5),"Sim","Não"))</f>
        <v/>
      </c>
      <c r="P1853" s="45" t="str">
        <f aca="false">IF($E1853="","",IF($G1853="","",IF($G1853="NOK",$F1853,0)))</f>
        <v/>
      </c>
      <c r="Q1853" s="46" t="str">
        <f aca="false">IF($E1853="","",IF($O1853&lt;&gt;"Sim","",COUNTIF($O$3:$O1853,"Sim")))</f>
        <v/>
      </c>
      <c r="R1853" s="47" t="n">
        <f aca="false">IF($P1853="",0,$P1853)</f>
        <v>0</v>
      </c>
    </row>
    <row r="1854" customFormat="false" ht="18" hidden="false" customHeight="true" outlineLevel="0" collapsed="false">
      <c r="A1854" s="39"/>
      <c r="B1854" s="41"/>
      <c r="C1854" s="40"/>
      <c r="D1854" s="40"/>
      <c r="E1854" s="40"/>
      <c r="F1854" s="42"/>
      <c r="G1854" s="39"/>
      <c r="H1854" s="40"/>
      <c r="I1854" s="40"/>
      <c r="J1854" s="40"/>
      <c r="K1854" s="41"/>
      <c r="L1854" s="39"/>
      <c r="M1854" s="48" t="str">
        <f aca="false">IF($E1854="","",IFERROR(INDEX(Parâmetros!$C$15:$C$20,MATCH($P1854,Parâmetros!$B$15:$B$20,0)),""))</f>
        <v/>
      </c>
      <c r="N1854" s="46" t="str">
        <f aca="false">IF($E1854="","",IF($P1854="","",IF($P1854&gt;=8,"Alta",IF($P1854&gt;=5,"Média","Baixa"))))</f>
        <v/>
      </c>
      <c r="O1854" s="46" t="str">
        <f aca="false">IF($E1854="","",IF(AND(Parâmetros!$C$5&gt;0,$P1854&lt;&gt;"",$P1854&gt;=Parâmetros!$C$5),"Sim","Não"))</f>
        <v/>
      </c>
      <c r="P1854" s="45" t="str">
        <f aca="false">IF($E1854="","",IF($G1854="","",IF($G1854="NOK",$F1854,0)))</f>
        <v/>
      </c>
      <c r="Q1854" s="46" t="str">
        <f aca="false">IF($E1854="","",IF($O1854&lt;&gt;"Sim","",COUNTIF($O$3:$O1854,"Sim")))</f>
        <v/>
      </c>
      <c r="R1854" s="47" t="n">
        <f aca="false">IF($P1854="",0,$P1854)</f>
        <v>0</v>
      </c>
    </row>
    <row r="1855" customFormat="false" ht="18" hidden="false" customHeight="true" outlineLevel="0" collapsed="false">
      <c r="A1855" s="39"/>
      <c r="B1855" s="41"/>
      <c r="C1855" s="40"/>
      <c r="D1855" s="40"/>
      <c r="E1855" s="40"/>
      <c r="F1855" s="42"/>
      <c r="G1855" s="39"/>
      <c r="H1855" s="40"/>
      <c r="I1855" s="40"/>
      <c r="J1855" s="40"/>
      <c r="K1855" s="41"/>
      <c r="L1855" s="39"/>
      <c r="M1855" s="48" t="str">
        <f aca="false">IF($E1855="","",IFERROR(INDEX(Parâmetros!$C$15:$C$20,MATCH($P1855,Parâmetros!$B$15:$B$20,0)),""))</f>
        <v/>
      </c>
      <c r="N1855" s="46" t="str">
        <f aca="false">IF($E1855="","",IF($P1855="","",IF($P1855&gt;=8,"Alta",IF($P1855&gt;=5,"Média","Baixa"))))</f>
        <v/>
      </c>
      <c r="O1855" s="46" t="str">
        <f aca="false">IF($E1855="","",IF(AND(Parâmetros!$C$5&gt;0,$P1855&lt;&gt;"",$P1855&gt;=Parâmetros!$C$5),"Sim","Não"))</f>
        <v/>
      </c>
      <c r="P1855" s="45" t="str">
        <f aca="false">IF($E1855="","",IF($G1855="","",IF($G1855="NOK",$F1855,0)))</f>
        <v/>
      </c>
      <c r="Q1855" s="46" t="str">
        <f aca="false">IF($E1855="","",IF($O1855&lt;&gt;"Sim","",COUNTIF($O$3:$O1855,"Sim")))</f>
        <v/>
      </c>
      <c r="R1855" s="47" t="n">
        <f aca="false">IF($P1855="",0,$P1855)</f>
        <v>0</v>
      </c>
    </row>
    <row r="1856" customFormat="false" ht="18" hidden="false" customHeight="true" outlineLevel="0" collapsed="false">
      <c r="A1856" s="39"/>
      <c r="B1856" s="41"/>
      <c r="C1856" s="40"/>
      <c r="D1856" s="40"/>
      <c r="E1856" s="40"/>
      <c r="F1856" s="42"/>
      <c r="G1856" s="39"/>
      <c r="H1856" s="40"/>
      <c r="I1856" s="40"/>
      <c r="J1856" s="40"/>
      <c r="K1856" s="41"/>
      <c r="L1856" s="39"/>
      <c r="M1856" s="48" t="str">
        <f aca="false">IF($E1856="","",IFERROR(INDEX(Parâmetros!$C$15:$C$20,MATCH($P1856,Parâmetros!$B$15:$B$20,0)),""))</f>
        <v/>
      </c>
      <c r="N1856" s="46" t="str">
        <f aca="false">IF($E1856="","",IF($P1856="","",IF($P1856&gt;=8,"Alta",IF($P1856&gt;=5,"Média","Baixa"))))</f>
        <v/>
      </c>
      <c r="O1856" s="46" t="str">
        <f aca="false">IF($E1856="","",IF(AND(Parâmetros!$C$5&gt;0,$P1856&lt;&gt;"",$P1856&gt;=Parâmetros!$C$5),"Sim","Não"))</f>
        <v/>
      </c>
      <c r="P1856" s="45" t="str">
        <f aca="false">IF($E1856="","",IF($G1856="","",IF($G1856="NOK",$F1856,0)))</f>
        <v/>
      </c>
      <c r="Q1856" s="46" t="str">
        <f aca="false">IF($E1856="","",IF($O1856&lt;&gt;"Sim","",COUNTIF($O$3:$O1856,"Sim")))</f>
        <v/>
      </c>
      <c r="R1856" s="47" t="n">
        <f aca="false">IF($P1856="",0,$P1856)</f>
        <v>0</v>
      </c>
    </row>
    <row r="1857" customFormat="false" ht="18" hidden="false" customHeight="true" outlineLevel="0" collapsed="false">
      <c r="A1857" s="39"/>
      <c r="B1857" s="41"/>
      <c r="C1857" s="40"/>
      <c r="D1857" s="40"/>
      <c r="E1857" s="40"/>
      <c r="F1857" s="42"/>
      <c r="G1857" s="39"/>
      <c r="H1857" s="40"/>
      <c r="I1857" s="40"/>
      <c r="J1857" s="40"/>
      <c r="K1857" s="41"/>
      <c r="L1857" s="39"/>
      <c r="M1857" s="48" t="str">
        <f aca="false">IF($E1857="","",IFERROR(INDEX(Parâmetros!$C$15:$C$20,MATCH($P1857,Parâmetros!$B$15:$B$20,0)),""))</f>
        <v/>
      </c>
      <c r="N1857" s="46" t="str">
        <f aca="false">IF($E1857="","",IF($P1857="","",IF($P1857&gt;=8,"Alta",IF($P1857&gt;=5,"Média","Baixa"))))</f>
        <v/>
      </c>
      <c r="O1857" s="46" t="str">
        <f aca="false">IF($E1857="","",IF(AND(Parâmetros!$C$5&gt;0,$P1857&lt;&gt;"",$P1857&gt;=Parâmetros!$C$5),"Sim","Não"))</f>
        <v/>
      </c>
      <c r="P1857" s="45" t="str">
        <f aca="false">IF($E1857="","",IF($G1857="","",IF($G1857="NOK",$F1857,0)))</f>
        <v/>
      </c>
      <c r="Q1857" s="46" t="str">
        <f aca="false">IF($E1857="","",IF($O1857&lt;&gt;"Sim","",COUNTIF($O$3:$O1857,"Sim")))</f>
        <v/>
      </c>
      <c r="R1857" s="47" t="n">
        <f aca="false">IF($P1857="",0,$P1857)</f>
        <v>0</v>
      </c>
    </row>
    <row r="1858" customFormat="false" ht="18" hidden="false" customHeight="true" outlineLevel="0" collapsed="false">
      <c r="A1858" s="39"/>
      <c r="B1858" s="41"/>
      <c r="C1858" s="40"/>
      <c r="D1858" s="40"/>
      <c r="E1858" s="40"/>
      <c r="F1858" s="42"/>
      <c r="G1858" s="39"/>
      <c r="H1858" s="40"/>
      <c r="I1858" s="40"/>
      <c r="J1858" s="40"/>
      <c r="K1858" s="41"/>
      <c r="L1858" s="39"/>
      <c r="M1858" s="48" t="str">
        <f aca="false">IF($E1858="","",IFERROR(INDEX(Parâmetros!$C$15:$C$20,MATCH($P1858,Parâmetros!$B$15:$B$20,0)),""))</f>
        <v/>
      </c>
      <c r="N1858" s="46" t="str">
        <f aca="false">IF($E1858="","",IF($P1858="","",IF($P1858&gt;=8,"Alta",IF($P1858&gt;=5,"Média","Baixa"))))</f>
        <v/>
      </c>
      <c r="O1858" s="46" t="str">
        <f aca="false">IF($E1858="","",IF(AND(Parâmetros!$C$5&gt;0,$P1858&lt;&gt;"",$P1858&gt;=Parâmetros!$C$5),"Sim","Não"))</f>
        <v/>
      </c>
      <c r="P1858" s="45" t="str">
        <f aca="false">IF($E1858="","",IF($G1858="","",IF($G1858="NOK",$F1858,0)))</f>
        <v/>
      </c>
      <c r="Q1858" s="46" t="str">
        <f aca="false">IF($E1858="","",IF($O1858&lt;&gt;"Sim","",COUNTIF($O$3:$O1858,"Sim")))</f>
        <v/>
      </c>
      <c r="R1858" s="47" t="n">
        <f aca="false">IF($P1858="",0,$P1858)</f>
        <v>0</v>
      </c>
    </row>
    <row r="1859" customFormat="false" ht="18" hidden="false" customHeight="true" outlineLevel="0" collapsed="false">
      <c r="A1859" s="39"/>
      <c r="B1859" s="41"/>
      <c r="C1859" s="40"/>
      <c r="D1859" s="40"/>
      <c r="E1859" s="40"/>
      <c r="F1859" s="42"/>
      <c r="G1859" s="39"/>
      <c r="H1859" s="40"/>
      <c r="I1859" s="40"/>
      <c r="J1859" s="40"/>
      <c r="K1859" s="41"/>
      <c r="L1859" s="39"/>
      <c r="M1859" s="48" t="str">
        <f aca="false">IF($E1859="","",IFERROR(INDEX(Parâmetros!$C$15:$C$20,MATCH($P1859,Parâmetros!$B$15:$B$20,0)),""))</f>
        <v/>
      </c>
      <c r="N1859" s="46" t="str">
        <f aca="false">IF($E1859="","",IF($P1859="","",IF($P1859&gt;=8,"Alta",IF($P1859&gt;=5,"Média","Baixa"))))</f>
        <v/>
      </c>
      <c r="O1859" s="46" t="str">
        <f aca="false">IF($E1859="","",IF(AND(Parâmetros!$C$5&gt;0,$P1859&lt;&gt;"",$P1859&gt;=Parâmetros!$C$5),"Sim","Não"))</f>
        <v/>
      </c>
      <c r="P1859" s="45" t="str">
        <f aca="false">IF($E1859="","",IF($G1859="","",IF($G1859="NOK",$F1859,0)))</f>
        <v/>
      </c>
      <c r="Q1859" s="46" t="str">
        <f aca="false">IF($E1859="","",IF($O1859&lt;&gt;"Sim","",COUNTIF($O$3:$O1859,"Sim")))</f>
        <v/>
      </c>
      <c r="R1859" s="47" t="n">
        <f aca="false">IF($P1859="",0,$P1859)</f>
        <v>0</v>
      </c>
    </row>
    <row r="1860" customFormat="false" ht="18" hidden="false" customHeight="true" outlineLevel="0" collapsed="false">
      <c r="A1860" s="39"/>
      <c r="B1860" s="41"/>
      <c r="C1860" s="40"/>
      <c r="D1860" s="40"/>
      <c r="E1860" s="40"/>
      <c r="F1860" s="42"/>
      <c r="G1860" s="39"/>
      <c r="H1860" s="40"/>
      <c r="I1860" s="40"/>
      <c r="J1860" s="40"/>
      <c r="K1860" s="41"/>
      <c r="L1860" s="39"/>
      <c r="M1860" s="48" t="str">
        <f aca="false">IF($E1860="","",IFERROR(INDEX(Parâmetros!$C$15:$C$20,MATCH($P1860,Parâmetros!$B$15:$B$20,0)),""))</f>
        <v/>
      </c>
      <c r="N1860" s="46" t="str">
        <f aca="false">IF($E1860="","",IF($P1860="","",IF($P1860&gt;=8,"Alta",IF($P1860&gt;=5,"Média","Baixa"))))</f>
        <v/>
      </c>
      <c r="O1860" s="46" t="str">
        <f aca="false">IF($E1860="","",IF(AND(Parâmetros!$C$5&gt;0,$P1860&lt;&gt;"",$P1860&gt;=Parâmetros!$C$5),"Sim","Não"))</f>
        <v/>
      </c>
      <c r="P1860" s="45" t="str">
        <f aca="false">IF($E1860="","",IF($G1860="","",IF($G1860="NOK",$F1860,0)))</f>
        <v/>
      </c>
      <c r="Q1860" s="46" t="str">
        <f aca="false">IF($E1860="","",IF($O1860&lt;&gt;"Sim","",COUNTIF($O$3:$O1860,"Sim")))</f>
        <v/>
      </c>
      <c r="R1860" s="47" t="n">
        <f aca="false">IF($P1860="",0,$P1860)</f>
        <v>0</v>
      </c>
    </row>
    <row r="1861" customFormat="false" ht="18" hidden="false" customHeight="true" outlineLevel="0" collapsed="false">
      <c r="A1861" s="39"/>
      <c r="B1861" s="41"/>
      <c r="C1861" s="40"/>
      <c r="D1861" s="40"/>
      <c r="E1861" s="40"/>
      <c r="F1861" s="42"/>
      <c r="G1861" s="39"/>
      <c r="H1861" s="40"/>
      <c r="I1861" s="40"/>
      <c r="J1861" s="40"/>
      <c r="K1861" s="41"/>
      <c r="L1861" s="39"/>
      <c r="M1861" s="48" t="str">
        <f aca="false">IF($E1861="","",IFERROR(INDEX(Parâmetros!$C$15:$C$20,MATCH($P1861,Parâmetros!$B$15:$B$20,0)),""))</f>
        <v/>
      </c>
      <c r="N1861" s="46" t="str">
        <f aca="false">IF($E1861="","",IF($P1861="","",IF($P1861&gt;=8,"Alta",IF($P1861&gt;=5,"Média","Baixa"))))</f>
        <v/>
      </c>
      <c r="O1861" s="46" t="str">
        <f aca="false">IF($E1861="","",IF(AND(Parâmetros!$C$5&gt;0,$P1861&lt;&gt;"",$P1861&gt;=Parâmetros!$C$5),"Sim","Não"))</f>
        <v/>
      </c>
      <c r="P1861" s="45" t="str">
        <f aca="false">IF($E1861="","",IF($G1861="","",IF($G1861="NOK",$F1861,0)))</f>
        <v/>
      </c>
      <c r="Q1861" s="46" t="str">
        <f aca="false">IF($E1861="","",IF($O1861&lt;&gt;"Sim","",COUNTIF($O$3:$O1861,"Sim")))</f>
        <v/>
      </c>
      <c r="R1861" s="47" t="n">
        <f aca="false">IF($P1861="",0,$P1861)</f>
        <v>0</v>
      </c>
    </row>
    <row r="1862" customFormat="false" ht="18" hidden="false" customHeight="true" outlineLevel="0" collapsed="false">
      <c r="A1862" s="39"/>
      <c r="B1862" s="41"/>
      <c r="C1862" s="40"/>
      <c r="D1862" s="40"/>
      <c r="E1862" s="40"/>
      <c r="F1862" s="42"/>
      <c r="G1862" s="39"/>
      <c r="H1862" s="40"/>
      <c r="I1862" s="40"/>
      <c r="J1862" s="40"/>
      <c r="K1862" s="41"/>
      <c r="L1862" s="39"/>
      <c r="M1862" s="48" t="str">
        <f aca="false">IF($E1862="","",IFERROR(INDEX(Parâmetros!$C$15:$C$20,MATCH($P1862,Parâmetros!$B$15:$B$20,0)),""))</f>
        <v/>
      </c>
      <c r="N1862" s="46" t="str">
        <f aca="false">IF($E1862="","",IF($P1862="","",IF($P1862&gt;=8,"Alta",IF($P1862&gt;=5,"Média","Baixa"))))</f>
        <v/>
      </c>
      <c r="O1862" s="46" t="str">
        <f aca="false">IF($E1862="","",IF(AND(Parâmetros!$C$5&gt;0,$P1862&lt;&gt;"",$P1862&gt;=Parâmetros!$C$5),"Sim","Não"))</f>
        <v/>
      </c>
      <c r="P1862" s="45" t="str">
        <f aca="false">IF($E1862="","",IF($G1862="","",IF($G1862="NOK",$F1862,0)))</f>
        <v/>
      </c>
      <c r="Q1862" s="46" t="str">
        <f aca="false">IF($E1862="","",IF($O1862&lt;&gt;"Sim","",COUNTIF($O$3:$O1862,"Sim")))</f>
        <v/>
      </c>
      <c r="R1862" s="47" t="n">
        <f aca="false">IF($P1862="",0,$P1862)</f>
        <v>0</v>
      </c>
    </row>
    <row r="1863" customFormat="false" ht="18" hidden="false" customHeight="true" outlineLevel="0" collapsed="false">
      <c r="A1863" s="39"/>
      <c r="B1863" s="41"/>
      <c r="C1863" s="40"/>
      <c r="D1863" s="40"/>
      <c r="E1863" s="40"/>
      <c r="F1863" s="42"/>
      <c r="G1863" s="39"/>
      <c r="H1863" s="40"/>
      <c r="I1863" s="40"/>
      <c r="J1863" s="40"/>
      <c r="K1863" s="41"/>
      <c r="L1863" s="39"/>
      <c r="M1863" s="48" t="str">
        <f aca="false">IF($E1863="","",IFERROR(INDEX(Parâmetros!$C$15:$C$20,MATCH($P1863,Parâmetros!$B$15:$B$20,0)),""))</f>
        <v/>
      </c>
      <c r="N1863" s="46" t="str">
        <f aca="false">IF($E1863="","",IF($P1863="","",IF($P1863&gt;=8,"Alta",IF($P1863&gt;=5,"Média","Baixa"))))</f>
        <v/>
      </c>
      <c r="O1863" s="46" t="str">
        <f aca="false">IF($E1863="","",IF(AND(Parâmetros!$C$5&gt;0,$P1863&lt;&gt;"",$P1863&gt;=Parâmetros!$C$5),"Sim","Não"))</f>
        <v/>
      </c>
      <c r="P1863" s="45" t="str">
        <f aca="false">IF($E1863="","",IF($G1863="","",IF($G1863="NOK",$F1863,0)))</f>
        <v/>
      </c>
      <c r="Q1863" s="46" t="str">
        <f aca="false">IF($E1863="","",IF($O1863&lt;&gt;"Sim","",COUNTIF($O$3:$O1863,"Sim")))</f>
        <v/>
      </c>
      <c r="R1863" s="47" t="n">
        <f aca="false">IF($P1863="",0,$P1863)</f>
        <v>0</v>
      </c>
    </row>
    <row r="1864" customFormat="false" ht="18" hidden="false" customHeight="true" outlineLevel="0" collapsed="false">
      <c r="A1864" s="39"/>
      <c r="B1864" s="41"/>
      <c r="C1864" s="40"/>
      <c r="D1864" s="40"/>
      <c r="E1864" s="40"/>
      <c r="F1864" s="42"/>
      <c r="G1864" s="39"/>
      <c r="H1864" s="40"/>
      <c r="I1864" s="40"/>
      <c r="J1864" s="40"/>
      <c r="K1864" s="41"/>
      <c r="L1864" s="39"/>
      <c r="M1864" s="48" t="str">
        <f aca="false">IF($E1864="","",IFERROR(INDEX(Parâmetros!$C$15:$C$20,MATCH($P1864,Parâmetros!$B$15:$B$20,0)),""))</f>
        <v/>
      </c>
      <c r="N1864" s="46" t="str">
        <f aca="false">IF($E1864="","",IF($P1864="","",IF($P1864&gt;=8,"Alta",IF($P1864&gt;=5,"Média","Baixa"))))</f>
        <v/>
      </c>
      <c r="O1864" s="46" t="str">
        <f aca="false">IF($E1864="","",IF(AND(Parâmetros!$C$5&gt;0,$P1864&lt;&gt;"",$P1864&gt;=Parâmetros!$C$5),"Sim","Não"))</f>
        <v/>
      </c>
      <c r="P1864" s="45" t="str">
        <f aca="false">IF($E1864="","",IF($G1864="","",IF($G1864="NOK",$F1864,0)))</f>
        <v/>
      </c>
      <c r="Q1864" s="46" t="str">
        <f aca="false">IF($E1864="","",IF($O1864&lt;&gt;"Sim","",COUNTIF($O$3:$O1864,"Sim")))</f>
        <v/>
      </c>
      <c r="R1864" s="47" t="n">
        <f aca="false">IF($P1864="",0,$P1864)</f>
        <v>0</v>
      </c>
    </row>
    <row r="1865" customFormat="false" ht="18" hidden="false" customHeight="true" outlineLevel="0" collapsed="false">
      <c r="A1865" s="39"/>
      <c r="B1865" s="41"/>
      <c r="C1865" s="40"/>
      <c r="D1865" s="40"/>
      <c r="E1865" s="40"/>
      <c r="F1865" s="42"/>
      <c r="G1865" s="39"/>
      <c r="H1865" s="40"/>
      <c r="I1865" s="40"/>
      <c r="J1865" s="40"/>
      <c r="K1865" s="41"/>
      <c r="L1865" s="39"/>
      <c r="M1865" s="48" t="str">
        <f aca="false">IF($E1865="","",IFERROR(INDEX(Parâmetros!$C$15:$C$20,MATCH($P1865,Parâmetros!$B$15:$B$20,0)),""))</f>
        <v/>
      </c>
      <c r="N1865" s="46" t="str">
        <f aca="false">IF($E1865="","",IF($P1865="","",IF($P1865&gt;=8,"Alta",IF($P1865&gt;=5,"Média","Baixa"))))</f>
        <v/>
      </c>
      <c r="O1865" s="46" t="str">
        <f aca="false">IF($E1865="","",IF(AND(Parâmetros!$C$5&gt;0,$P1865&lt;&gt;"",$P1865&gt;=Parâmetros!$C$5),"Sim","Não"))</f>
        <v/>
      </c>
      <c r="P1865" s="45" t="str">
        <f aca="false">IF($E1865="","",IF($G1865="","",IF($G1865="NOK",$F1865,0)))</f>
        <v/>
      </c>
      <c r="Q1865" s="46" t="str">
        <f aca="false">IF($E1865="","",IF($O1865&lt;&gt;"Sim","",COUNTIF($O$3:$O1865,"Sim")))</f>
        <v/>
      </c>
      <c r="R1865" s="47" t="n">
        <f aca="false">IF($P1865="",0,$P1865)</f>
        <v>0</v>
      </c>
    </row>
    <row r="1866" customFormat="false" ht="18" hidden="false" customHeight="true" outlineLevel="0" collapsed="false">
      <c r="A1866" s="39"/>
      <c r="B1866" s="41"/>
      <c r="C1866" s="40"/>
      <c r="D1866" s="40"/>
      <c r="E1866" s="40"/>
      <c r="F1866" s="42"/>
      <c r="G1866" s="39"/>
      <c r="H1866" s="40"/>
      <c r="I1866" s="40"/>
      <c r="J1866" s="40"/>
      <c r="K1866" s="41"/>
      <c r="L1866" s="39"/>
      <c r="M1866" s="48" t="str">
        <f aca="false">IF($E1866="","",IFERROR(INDEX(Parâmetros!$C$15:$C$20,MATCH($P1866,Parâmetros!$B$15:$B$20,0)),""))</f>
        <v/>
      </c>
      <c r="N1866" s="46" t="str">
        <f aca="false">IF($E1866="","",IF($P1866="","",IF($P1866&gt;=8,"Alta",IF($P1866&gt;=5,"Média","Baixa"))))</f>
        <v/>
      </c>
      <c r="O1866" s="46" t="str">
        <f aca="false">IF($E1866="","",IF(AND(Parâmetros!$C$5&gt;0,$P1866&lt;&gt;"",$P1866&gt;=Parâmetros!$C$5),"Sim","Não"))</f>
        <v/>
      </c>
      <c r="P1866" s="45" t="str">
        <f aca="false">IF($E1866="","",IF($G1866="","",IF($G1866="NOK",$F1866,0)))</f>
        <v/>
      </c>
      <c r="Q1866" s="46" t="str">
        <f aca="false">IF($E1866="","",IF($O1866&lt;&gt;"Sim","",COUNTIF($O$3:$O1866,"Sim")))</f>
        <v/>
      </c>
      <c r="R1866" s="47" t="n">
        <f aca="false">IF($P1866="",0,$P1866)</f>
        <v>0</v>
      </c>
    </row>
    <row r="1867" customFormat="false" ht="18" hidden="false" customHeight="true" outlineLevel="0" collapsed="false">
      <c r="A1867" s="39"/>
      <c r="B1867" s="41"/>
      <c r="C1867" s="40"/>
      <c r="D1867" s="40"/>
      <c r="E1867" s="40"/>
      <c r="F1867" s="42"/>
      <c r="G1867" s="39"/>
      <c r="H1867" s="40"/>
      <c r="I1867" s="40"/>
      <c r="J1867" s="40"/>
      <c r="K1867" s="41"/>
      <c r="L1867" s="39"/>
      <c r="M1867" s="48" t="str">
        <f aca="false">IF($E1867="","",IFERROR(INDEX(Parâmetros!$C$15:$C$20,MATCH($P1867,Parâmetros!$B$15:$B$20,0)),""))</f>
        <v/>
      </c>
      <c r="N1867" s="46" t="str">
        <f aca="false">IF($E1867="","",IF($P1867="","",IF($P1867&gt;=8,"Alta",IF($P1867&gt;=5,"Média","Baixa"))))</f>
        <v/>
      </c>
      <c r="O1867" s="46" t="str">
        <f aca="false">IF($E1867="","",IF(AND(Parâmetros!$C$5&gt;0,$P1867&lt;&gt;"",$P1867&gt;=Parâmetros!$C$5),"Sim","Não"))</f>
        <v/>
      </c>
      <c r="P1867" s="45" t="str">
        <f aca="false">IF($E1867="","",IF($G1867="","",IF($G1867="NOK",$F1867,0)))</f>
        <v/>
      </c>
      <c r="Q1867" s="46" t="str">
        <f aca="false">IF($E1867="","",IF($O1867&lt;&gt;"Sim","",COUNTIF($O$3:$O1867,"Sim")))</f>
        <v/>
      </c>
      <c r="R1867" s="47" t="n">
        <f aca="false">IF($P1867="",0,$P1867)</f>
        <v>0</v>
      </c>
    </row>
    <row r="1868" customFormat="false" ht="18" hidden="false" customHeight="true" outlineLevel="0" collapsed="false">
      <c r="A1868" s="39"/>
      <c r="B1868" s="41"/>
      <c r="C1868" s="40"/>
      <c r="D1868" s="40"/>
      <c r="E1868" s="40"/>
      <c r="F1868" s="42"/>
      <c r="G1868" s="39"/>
      <c r="H1868" s="40"/>
      <c r="I1868" s="40"/>
      <c r="J1868" s="40"/>
      <c r="K1868" s="41"/>
      <c r="L1868" s="39"/>
      <c r="M1868" s="48" t="str">
        <f aca="false">IF($E1868="","",IFERROR(INDEX(Parâmetros!$C$15:$C$20,MATCH($P1868,Parâmetros!$B$15:$B$20,0)),""))</f>
        <v/>
      </c>
      <c r="N1868" s="46" t="str">
        <f aca="false">IF($E1868="","",IF($P1868="","",IF($P1868&gt;=8,"Alta",IF($P1868&gt;=5,"Média","Baixa"))))</f>
        <v/>
      </c>
      <c r="O1868" s="46" t="str">
        <f aca="false">IF($E1868="","",IF(AND(Parâmetros!$C$5&gt;0,$P1868&lt;&gt;"",$P1868&gt;=Parâmetros!$C$5),"Sim","Não"))</f>
        <v/>
      </c>
      <c r="P1868" s="45" t="str">
        <f aca="false">IF($E1868="","",IF($G1868="","",IF($G1868="NOK",$F1868,0)))</f>
        <v/>
      </c>
      <c r="Q1868" s="46" t="str">
        <f aca="false">IF($E1868="","",IF($O1868&lt;&gt;"Sim","",COUNTIF($O$3:$O1868,"Sim")))</f>
        <v/>
      </c>
      <c r="R1868" s="47" t="n">
        <f aca="false">IF($P1868="",0,$P1868)</f>
        <v>0</v>
      </c>
    </row>
    <row r="1869" customFormat="false" ht="18" hidden="false" customHeight="true" outlineLevel="0" collapsed="false">
      <c r="A1869" s="39"/>
      <c r="B1869" s="41"/>
      <c r="C1869" s="40"/>
      <c r="D1869" s="40"/>
      <c r="E1869" s="40"/>
      <c r="F1869" s="42"/>
      <c r="G1869" s="39"/>
      <c r="H1869" s="40"/>
      <c r="I1869" s="40"/>
      <c r="J1869" s="40"/>
      <c r="K1869" s="41"/>
      <c r="L1869" s="39"/>
      <c r="M1869" s="48" t="str">
        <f aca="false">IF($E1869="","",IFERROR(INDEX(Parâmetros!$C$15:$C$20,MATCH($P1869,Parâmetros!$B$15:$B$20,0)),""))</f>
        <v/>
      </c>
      <c r="N1869" s="46" t="str">
        <f aca="false">IF($E1869="","",IF($P1869="","",IF($P1869&gt;=8,"Alta",IF($P1869&gt;=5,"Média","Baixa"))))</f>
        <v/>
      </c>
      <c r="O1869" s="46" t="str">
        <f aca="false">IF($E1869="","",IF(AND(Parâmetros!$C$5&gt;0,$P1869&lt;&gt;"",$P1869&gt;=Parâmetros!$C$5),"Sim","Não"))</f>
        <v/>
      </c>
      <c r="P1869" s="45" t="str">
        <f aca="false">IF($E1869="","",IF($G1869="","",IF($G1869="NOK",$F1869,0)))</f>
        <v/>
      </c>
      <c r="Q1869" s="46" t="str">
        <f aca="false">IF($E1869="","",IF($O1869&lt;&gt;"Sim","",COUNTIF($O$3:$O1869,"Sim")))</f>
        <v/>
      </c>
      <c r="R1869" s="47" t="n">
        <f aca="false">IF($P1869="",0,$P1869)</f>
        <v>0</v>
      </c>
    </row>
    <row r="1870" customFormat="false" ht="18" hidden="false" customHeight="true" outlineLevel="0" collapsed="false">
      <c r="A1870" s="39"/>
      <c r="B1870" s="41"/>
      <c r="C1870" s="40"/>
      <c r="D1870" s="40"/>
      <c r="E1870" s="40"/>
      <c r="F1870" s="42"/>
      <c r="G1870" s="39"/>
      <c r="H1870" s="40"/>
      <c r="I1870" s="40"/>
      <c r="J1870" s="40"/>
      <c r="K1870" s="41"/>
      <c r="L1870" s="39"/>
      <c r="M1870" s="48" t="str">
        <f aca="false">IF($E1870="","",IFERROR(INDEX(Parâmetros!$C$15:$C$20,MATCH($P1870,Parâmetros!$B$15:$B$20,0)),""))</f>
        <v/>
      </c>
      <c r="N1870" s="46" t="str">
        <f aca="false">IF($E1870="","",IF($P1870="","",IF($P1870&gt;=8,"Alta",IF($P1870&gt;=5,"Média","Baixa"))))</f>
        <v/>
      </c>
      <c r="O1870" s="46" t="str">
        <f aca="false">IF($E1870="","",IF(AND(Parâmetros!$C$5&gt;0,$P1870&lt;&gt;"",$P1870&gt;=Parâmetros!$C$5),"Sim","Não"))</f>
        <v/>
      </c>
      <c r="P1870" s="45" t="str">
        <f aca="false">IF($E1870="","",IF($G1870="","",IF($G1870="NOK",$F1870,0)))</f>
        <v/>
      </c>
      <c r="Q1870" s="46" t="str">
        <f aca="false">IF($E1870="","",IF($O1870&lt;&gt;"Sim","",COUNTIF($O$3:$O1870,"Sim")))</f>
        <v/>
      </c>
      <c r="R1870" s="47" t="n">
        <f aca="false">IF($P1870="",0,$P1870)</f>
        <v>0</v>
      </c>
    </row>
    <row r="1871" customFormat="false" ht="18" hidden="false" customHeight="true" outlineLevel="0" collapsed="false">
      <c r="A1871" s="39"/>
      <c r="B1871" s="41"/>
      <c r="C1871" s="40"/>
      <c r="D1871" s="40"/>
      <c r="E1871" s="40"/>
      <c r="F1871" s="42"/>
      <c r="G1871" s="39"/>
      <c r="H1871" s="40"/>
      <c r="I1871" s="40"/>
      <c r="J1871" s="40"/>
      <c r="K1871" s="41"/>
      <c r="L1871" s="39"/>
      <c r="M1871" s="48" t="str">
        <f aca="false">IF($E1871="","",IFERROR(INDEX(Parâmetros!$C$15:$C$20,MATCH($P1871,Parâmetros!$B$15:$B$20,0)),""))</f>
        <v/>
      </c>
      <c r="N1871" s="46" t="str">
        <f aca="false">IF($E1871="","",IF($P1871="","",IF($P1871&gt;=8,"Alta",IF($P1871&gt;=5,"Média","Baixa"))))</f>
        <v/>
      </c>
      <c r="O1871" s="46" t="str">
        <f aca="false">IF($E1871="","",IF(AND(Parâmetros!$C$5&gt;0,$P1871&lt;&gt;"",$P1871&gt;=Parâmetros!$C$5),"Sim","Não"))</f>
        <v/>
      </c>
      <c r="P1871" s="45" t="str">
        <f aca="false">IF($E1871="","",IF($G1871="","",IF($G1871="NOK",$F1871,0)))</f>
        <v/>
      </c>
      <c r="Q1871" s="46" t="str">
        <f aca="false">IF($E1871="","",IF($O1871&lt;&gt;"Sim","",COUNTIF($O$3:$O1871,"Sim")))</f>
        <v/>
      </c>
      <c r="R1871" s="47" t="n">
        <f aca="false">IF($P1871="",0,$P1871)</f>
        <v>0</v>
      </c>
    </row>
    <row r="1872" customFormat="false" ht="18" hidden="false" customHeight="true" outlineLevel="0" collapsed="false">
      <c r="A1872" s="39"/>
      <c r="B1872" s="41"/>
      <c r="C1872" s="40"/>
      <c r="D1872" s="40"/>
      <c r="E1872" s="40"/>
      <c r="F1872" s="42"/>
      <c r="G1872" s="39"/>
      <c r="H1872" s="40"/>
      <c r="I1872" s="40"/>
      <c r="J1872" s="40"/>
      <c r="K1872" s="41"/>
      <c r="L1872" s="39"/>
      <c r="M1872" s="48" t="str">
        <f aca="false">IF($E1872="","",IFERROR(INDEX(Parâmetros!$C$15:$C$20,MATCH($P1872,Parâmetros!$B$15:$B$20,0)),""))</f>
        <v/>
      </c>
      <c r="N1872" s="46" t="str">
        <f aca="false">IF($E1872="","",IF($P1872="","",IF($P1872&gt;=8,"Alta",IF($P1872&gt;=5,"Média","Baixa"))))</f>
        <v/>
      </c>
      <c r="O1872" s="46" t="str">
        <f aca="false">IF($E1872="","",IF(AND(Parâmetros!$C$5&gt;0,$P1872&lt;&gt;"",$P1872&gt;=Parâmetros!$C$5),"Sim","Não"))</f>
        <v/>
      </c>
      <c r="P1872" s="45" t="str">
        <f aca="false">IF($E1872="","",IF($G1872="","",IF($G1872="NOK",$F1872,0)))</f>
        <v/>
      </c>
      <c r="Q1872" s="46" t="str">
        <f aca="false">IF($E1872="","",IF($O1872&lt;&gt;"Sim","",COUNTIF($O$3:$O1872,"Sim")))</f>
        <v/>
      </c>
      <c r="R1872" s="47" t="n">
        <f aca="false">IF($P1872="",0,$P1872)</f>
        <v>0</v>
      </c>
    </row>
    <row r="1873" customFormat="false" ht="18" hidden="false" customHeight="true" outlineLevel="0" collapsed="false">
      <c r="A1873" s="39"/>
      <c r="B1873" s="41"/>
      <c r="C1873" s="40"/>
      <c r="D1873" s="40"/>
      <c r="E1873" s="40"/>
      <c r="F1873" s="42"/>
      <c r="G1873" s="39"/>
      <c r="H1873" s="40"/>
      <c r="I1873" s="40"/>
      <c r="J1873" s="40"/>
      <c r="K1873" s="41"/>
      <c r="L1873" s="39"/>
      <c r="M1873" s="48" t="str">
        <f aca="false">IF($E1873="","",IFERROR(INDEX(Parâmetros!$C$15:$C$20,MATCH($P1873,Parâmetros!$B$15:$B$20,0)),""))</f>
        <v/>
      </c>
      <c r="N1873" s="46" t="str">
        <f aca="false">IF($E1873="","",IF($P1873="","",IF($P1873&gt;=8,"Alta",IF($P1873&gt;=5,"Média","Baixa"))))</f>
        <v/>
      </c>
      <c r="O1873" s="46" t="str">
        <f aca="false">IF($E1873="","",IF(AND(Parâmetros!$C$5&gt;0,$P1873&lt;&gt;"",$P1873&gt;=Parâmetros!$C$5),"Sim","Não"))</f>
        <v/>
      </c>
      <c r="P1873" s="45" t="str">
        <f aca="false">IF($E1873="","",IF($G1873="","",IF($G1873="NOK",$F1873,0)))</f>
        <v/>
      </c>
      <c r="Q1873" s="46" t="str">
        <f aca="false">IF($E1873="","",IF($O1873&lt;&gt;"Sim","",COUNTIF($O$3:$O1873,"Sim")))</f>
        <v/>
      </c>
      <c r="R1873" s="47" t="n">
        <f aca="false">IF($P1873="",0,$P1873)</f>
        <v>0</v>
      </c>
    </row>
    <row r="1874" customFormat="false" ht="18" hidden="false" customHeight="true" outlineLevel="0" collapsed="false">
      <c r="A1874" s="39"/>
      <c r="B1874" s="41"/>
      <c r="C1874" s="40"/>
      <c r="D1874" s="40"/>
      <c r="E1874" s="40"/>
      <c r="F1874" s="42"/>
      <c r="G1874" s="39"/>
      <c r="H1874" s="40"/>
      <c r="I1874" s="40"/>
      <c r="J1874" s="40"/>
      <c r="K1874" s="41"/>
      <c r="L1874" s="39"/>
      <c r="M1874" s="48" t="str">
        <f aca="false">IF($E1874="","",IFERROR(INDEX(Parâmetros!$C$15:$C$20,MATCH($P1874,Parâmetros!$B$15:$B$20,0)),""))</f>
        <v/>
      </c>
      <c r="N1874" s="46" t="str">
        <f aca="false">IF($E1874="","",IF($P1874="","",IF($P1874&gt;=8,"Alta",IF($P1874&gt;=5,"Média","Baixa"))))</f>
        <v/>
      </c>
      <c r="O1874" s="46" t="str">
        <f aca="false">IF($E1874="","",IF(AND(Parâmetros!$C$5&gt;0,$P1874&lt;&gt;"",$P1874&gt;=Parâmetros!$C$5),"Sim","Não"))</f>
        <v/>
      </c>
      <c r="P1874" s="45" t="str">
        <f aca="false">IF($E1874="","",IF($G1874="","",IF($G1874="NOK",$F1874,0)))</f>
        <v/>
      </c>
      <c r="Q1874" s="46" t="str">
        <f aca="false">IF($E1874="","",IF($O1874&lt;&gt;"Sim","",COUNTIF($O$3:$O1874,"Sim")))</f>
        <v/>
      </c>
      <c r="R1874" s="47" t="n">
        <f aca="false">IF($P1874="",0,$P1874)</f>
        <v>0</v>
      </c>
    </row>
    <row r="1875" customFormat="false" ht="18" hidden="false" customHeight="true" outlineLevel="0" collapsed="false">
      <c r="A1875" s="39"/>
      <c r="B1875" s="41"/>
      <c r="C1875" s="40"/>
      <c r="D1875" s="40"/>
      <c r="E1875" s="40"/>
      <c r="F1875" s="42"/>
      <c r="G1875" s="39"/>
      <c r="H1875" s="40"/>
      <c r="I1875" s="40"/>
      <c r="J1875" s="40"/>
      <c r="K1875" s="41"/>
      <c r="L1875" s="39"/>
      <c r="M1875" s="48" t="str">
        <f aca="false">IF($E1875="","",IFERROR(INDEX(Parâmetros!$C$15:$C$20,MATCH($P1875,Parâmetros!$B$15:$B$20,0)),""))</f>
        <v/>
      </c>
      <c r="N1875" s="46" t="str">
        <f aca="false">IF($E1875="","",IF($P1875="","",IF($P1875&gt;=8,"Alta",IF($P1875&gt;=5,"Média","Baixa"))))</f>
        <v/>
      </c>
      <c r="O1875" s="46" t="str">
        <f aca="false">IF($E1875="","",IF(AND(Parâmetros!$C$5&gt;0,$P1875&lt;&gt;"",$P1875&gt;=Parâmetros!$C$5),"Sim","Não"))</f>
        <v/>
      </c>
      <c r="P1875" s="45" t="str">
        <f aca="false">IF($E1875="","",IF($G1875="","",IF($G1875="NOK",$F1875,0)))</f>
        <v/>
      </c>
      <c r="Q1875" s="46" t="str">
        <f aca="false">IF($E1875="","",IF($O1875&lt;&gt;"Sim","",COUNTIF($O$3:$O1875,"Sim")))</f>
        <v/>
      </c>
      <c r="R1875" s="47" t="n">
        <f aca="false">IF($P1875="",0,$P1875)</f>
        <v>0</v>
      </c>
    </row>
    <row r="1876" customFormat="false" ht="18" hidden="false" customHeight="true" outlineLevel="0" collapsed="false">
      <c r="A1876" s="39"/>
      <c r="B1876" s="41"/>
      <c r="C1876" s="40"/>
      <c r="D1876" s="40"/>
      <c r="E1876" s="40"/>
      <c r="F1876" s="42"/>
      <c r="G1876" s="39"/>
      <c r="H1876" s="40"/>
      <c r="I1876" s="40"/>
      <c r="J1876" s="40"/>
      <c r="K1876" s="41"/>
      <c r="L1876" s="39"/>
      <c r="M1876" s="48" t="str">
        <f aca="false">IF($E1876="","",IFERROR(INDEX(Parâmetros!$C$15:$C$20,MATCH($P1876,Parâmetros!$B$15:$B$20,0)),""))</f>
        <v/>
      </c>
      <c r="N1876" s="46" t="str">
        <f aca="false">IF($E1876="","",IF($P1876="","",IF($P1876&gt;=8,"Alta",IF($P1876&gt;=5,"Média","Baixa"))))</f>
        <v/>
      </c>
      <c r="O1876" s="46" t="str">
        <f aca="false">IF($E1876="","",IF(AND(Parâmetros!$C$5&gt;0,$P1876&lt;&gt;"",$P1876&gt;=Parâmetros!$C$5),"Sim","Não"))</f>
        <v/>
      </c>
      <c r="P1876" s="45" t="str">
        <f aca="false">IF($E1876="","",IF($G1876="","",IF($G1876="NOK",$F1876,0)))</f>
        <v/>
      </c>
      <c r="Q1876" s="46" t="str">
        <f aca="false">IF($E1876="","",IF($O1876&lt;&gt;"Sim","",COUNTIF($O$3:$O1876,"Sim")))</f>
        <v/>
      </c>
      <c r="R1876" s="47" t="n">
        <f aca="false">IF($P1876="",0,$P1876)</f>
        <v>0</v>
      </c>
    </row>
    <row r="1877" customFormat="false" ht="18" hidden="false" customHeight="true" outlineLevel="0" collapsed="false">
      <c r="A1877" s="39"/>
      <c r="B1877" s="41"/>
      <c r="C1877" s="40"/>
      <c r="D1877" s="40"/>
      <c r="E1877" s="40"/>
      <c r="F1877" s="42"/>
      <c r="G1877" s="39"/>
      <c r="H1877" s="40"/>
      <c r="I1877" s="40"/>
      <c r="J1877" s="40"/>
      <c r="K1877" s="41"/>
      <c r="L1877" s="39"/>
      <c r="M1877" s="48" t="str">
        <f aca="false">IF($E1877="","",IFERROR(INDEX(Parâmetros!$C$15:$C$20,MATCH($P1877,Parâmetros!$B$15:$B$20,0)),""))</f>
        <v/>
      </c>
      <c r="N1877" s="46" t="str">
        <f aca="false">IF($E1877="","",IF($P1877="","",IF($P1877&gt;=8,"Alta",IF($P1877&gt;=5,"Média","Baixa"))))</f>
        <v/>
      </c>
      <c r="O1877" s="46" t="str">
        <f aca="false">IF($E1877="","",IF(AND(Parâmetros!$C$5&gt;0,$P1877&lt;&gt;"",$P1877&gt;=Parâmetros!$C$5),"Sim","Não"))</f>
        <v/>
      </c>
      <c r="P1877" s="45" t="str">
        <f aca="false">IF($E1877="","",IF($G1877="","",IF($G1877="NOK",$F1877,0)))</f>
        <v/>
      </c>
      <c r="Q1877" s="46" t="str">
        <f aca="false">IF($E1877="","",IF($O1877&lt;&gt;"Sim","",COUNTIF($O$3:$O1877,"Sim")))</f>
        <v/>
      </c>
      <c r="R1877" s="47" t="n">
        <f aca="false">IF($P1877="",0,$P1877)</f>
        <v>0</v>
      </c>
    </row>
    <row r="1878" customFormat="false" ht="18" hidden="false" customHeight="true" outlineLevel="0" collapsed="false">
      <c r="A1878" s="39"/>
      <c r="B1878" s="41"/>
      <c r="C1878" s="40"/>
      <c r="D1878" s="40"/>
      <c r="E1878" s="40"/>
      <c r="F1878" s="42"/>
      <c r="G1878" s="39"/>
      <c r="H1878" s="40"/>
      <c r="I1878" s="40"/>
      <c r="J1878" s="40"/>
      <c r="K1878" s="41"/>
      <c r="L1878" s="39"/>
      <c r="M1878" s="48" t="str">
        <f aca="false">IF($E1878="","",IFERROR(INDEX(Parâmetros!$C$15:$C$20,MATCH($P1878,Parâmetros!$B$15:$B$20,0)),""))</f>
        <v/>
      </c>
      <c r="N1878" s="46" t="str">
        <f aca="false">IF($E1878="","",IF($P1878="","",IF($P1878&gt;=8,"Alta",IF($P1878&gt;=5,"Média","Baixa"))))</f>
        <v/>
      </c>
      <c r="O1878" s="46" t="str">
        <f aca="false">IF($E1878="","",IF(AND(Parâmetros!$C$5&gt;0,$P1878&lt;&gt;"",$P1878&gt;=Parâmetros!$C$5),"Sim","Não"))</f>
        <v/>
      </c>
      <c r="P1878" s="45" t="str">
        <f aca="false">IF($E1878="","",IF($G1878="","",IF($G1878="NOK",$F1878,0)))</f>
        <v/>
      </c>
      <c r="Q1878" s="46" t="str">
        <f aca="false">IF($E1878="","",IF($O1878&lt;&gt;"Sim","",COUNTIF($O$3:$O1878,"Sim")))</f>
        <v/>
      </c>
      <c r="R1878" s="47" t="n">
        <f aca="false">IF($P1878="",0,$P1878)</f>
        <v>0</v>
      </c>
    </row>
    <row r="1879" customFormat="false" ht="18" hidden="false" customHeight="true" outlineLevel="0" collapsed="false">
      <c r="A1879" s="39"/>
      <c r="B1879" s="41"/>
      <c r="C1879" s="40"/>
      <c r="D1879" s="40"/>
      <c r="E1879" s="40"/>
      <c r="F1879" s="42"/>
      <c r="G1879" s="39"/>
      <c r="H1879" s="40"/>
      <c r="I1879" s="40"/>
      <c r="J1879" s="40"/>
      <c r="K1879" s="41"/>
      <c r="L1879" s="39"/>
      <c r="M1879" s="48" t="str">
        <f aca="false">IF($E1879="","",IFERROR(INDEX(Parâmetros!$C$15:$C$20,MATCH($P1879,Parâmetros!$B$15:$B$20,0)),""))</f>
        <v/>
      </c>
      <c r="N1879" s="46" t="str">
        <f aca="false">IF($E1879="","",IF($P1879="","",IF($P1879&gt;=8,"Alta",IF($P1879&gt;=5,"Média","Baixa"))))</f>
        <v/>
      </c>
      <c r="O1879" s="46" t="str">
        <f aca="false">IF($E1879="","",IF(AND(Parâmetros!$C$5&gt;0,$P1879&lt;&gt;"",$P1879&gt;=Parâmetros!$C$5),"Sim","Não"))</f>
        <v/>
      </c>
      <c r="P1879" s="45" t="str">
        <f aca="false">IF($E1879="","",IF($G1879="","",IF($G1879="NOK",$F1879,0)))</f>
        <v/>
      </c>
      <c r="Q1879" s="46" t="str">
        <f aca="false">IF($E1879="","",IF($O1879&lt;&gt;"Sim","",COUNTIF($O$3:$O1879,"Sim")))</f>
        <v/>
      </c>
      <c r="R1879" s="47" t="n">
        <f aca="false">IF($P1879="",0,$P1879)</f>
        <v>0</v>
      </c>
    </row>
    <row r="1880" customFormat="false" ht="18" hidden="false" customHeight="true" outlineLevel="0" collapsed="false">
      <c r="A1880" s="39"/>
      <c r="B1880" s="41"/>
      <c r="C1880" s="40"/>
      <c r="D1880" s="40"/>
      <c r="E1880" s="40"/>
      <c r="F1880" s="42"/>
      <c r="G1880" s="39"/>
      <c r="H1880" s="40"/>
      <c r="I1880" s="40"/>
      <c r="J1880" s="40"/>
      <c r="K1880" s="41"/>
      <c r="L1880" s="39"/>
      <c r="M1880" s="48" t="str">
        <f aca="false">IF($E1880="","",IFERROR(INDEX(Parâmetros!$C$15:$C$20,MATCH($P1880,Parâmetros!$B$15:$B$20,0)),""))</f>
        <v/>
      </c>
      <c r="N1880" s="46" t="str">
        <f aca="false">IF($E1880="","",IF($P1880="","",IF($P1880&gt;=8,"Alta",IF($P1880&gt;=5,"Média","Baixa"))))</f>
        <v/>
      </c>
      <c r="O1880" s="46" t="str">
        <f aca="false">IF($E1880="","",IF(AND(Parâmetros!$C$5&gt;0,$P1880&lt;&gt;"",$P1880&gt;=Parâmetros!$C$5),"Sim","Não"))</f>
        <v/>
      </c>
      <c r="P1880" s="45" t="str">
        <f aca="false">IF($E1880="","",IF($G1880="","",IF($G1880="NOK",$F1880,0)))</f>
        <v/>
      </c>
      <c r="Q1880" s="46" t="str">
        <f aca="false">IF($E1880="","",IF($O1880&lt;&gt;"Sim","",COUNTIF($O$3:$O1880,"Sim")))</f>
        <v/>
      </c>
      <c r="R1880" s="47" t="n">
        <f aca="false">IF($P1880="",0,$P1880)</f>
        <v>0</v>
      </c>
    </row>
    <row r="1881" customFormat="false" ht="18" hidden="false" customHeight="true" outlineLevel="0" collapsed="false">
      <c r="A1881" s="39"/>
      <c r="B1881" s="41"/>
      <c r="C1881" s="40"/>
      <c r="D1881" s="40"/>
      <c r="E1881" s="40"/>
      <c r="F1881" s="42"/>
      <c r="G1881" s="39"/>
      <c r="H1881" s="40"/>
      <c r="I1881" s="40"/>
      <c r="J1881" s="40"/>
      <c r="K1881" s="41"/>
      <c r="L1881" s="39"/>
      <c r="M1881" s="48" t="str">
        <f aca="false">IF($E1881="","",IFERROR(INDEX(Parâmetros!$C$15:$C$20,MATCH($P1881,Parâmetros!$B$15:$B$20,0)),""))</f>
        <v/>
      </c>
      <c r="N1881" s="46" t="str">
        <f aca="false">IF($E1881="","",IF($P1881="","",IF($P1881&gt;=8,"Alta",IF($P1881&gt;=5,"Média","Baixa"))))</f>
        <v/>
      </c>
      <c r="O1881" s="46" t="str">
        <f aca="false">IF($E1881="","",IF(AND(Parâmetros!$C$5&gt;0,$P1881&lt;&gt;"",$P1881&gt;=Parâmetros!$C$5),"Sim","Não"))</f>
        <v/>
      </c>
      <c r="P1881" s="45" t="str">
        <f aca="false">IF($E1881="","",IF($G1881="","",IF($G1881="NOK",$F1881,0)))</f>
        <v/>
      </c>
      <c r="Q1881" s="46" t="str">
        <f aca="false">IF($E1881="","",IF($O1881&lt;&gt;"Sim","",COUNTIF($O$3:$O1881,"Sim")))</f>
        <v/>
      </c>
      <c r="R1881" s="47" t="n">
        <f aca="false">IF($P1881="",0,$P1881)</f>
        <v>0</v>
      </c>
    </row>
    <row r="1882" customFormat="false" ht="18" hidden="false" customHeight="true" outlineLevel="0" collapsed="false">
      <c r="A1882" s="39"/>
      <c r="B1882" s="41"/>
      <c r="C1882" s="40"/>
      <c r="D1882" s="40"/>
      <c r="E1882" s="40"/>
      <c r="F1882" s="42"/>
      <c r="G1882" s="39"/>
      <c r="H1882" s="40"/>
      <c r="I1882" s="40"/>
      <c r="J1882" s="40"/>
      <c r="K1882" s="41"/>
      <c r="L1882" s="39"/>
      <c r="M1882" s="48" t="str">
        <f aca="false">IF($E1882="","",IFERROR(INDEX(Parâmetros!$C$15:$C$20,MATCH($P1882,Parâmetros!$B$15:$B$20,0)),""))</f>
        <v/>
      </c>
      <c r="N1882" s="46" t="str">
        <f aca="false">IF($E1882="","",IF($P1882="","",IF($P1882&gt;=8,"Alta",IF($P1882&gt;=5,"Média","Baixa"))))</f>
        <v/>
      </c>
      <c r="O1882" s="46" t="str">
        <f aca="false">IF($E1882="","",IF(AND(Parâmetros!$C$5&gt;0,$P1882&lt;&gt;"",$P1882&gt;=Parâmetros!$C$5),"Sim","Não"))</f>
        <v/>
      </c>
      <c r="P1882" s="45" t="str">
        <f aca="false">IF($E1882="","",IF($G1882="","",IF($G1882="NOK",$F1882,0)))</f>
        <v/>
      </c>
      <c r="Q1882" s="46" t="str">
        <f aca="false">IF($E1882="","",IF($O1882&lt;&gt;"Sim","",COUNTIF($O$3:$O1882,"Sim")))</f>
        <v/>
      </c>
      <c r="R1882" s="47" t="n">
        <f aca="false">IF($P1882="",0,$P1882)</f>
        <v>0</v>
      </c>
    </row>
    <row r="1883" customFormat="false" ht="18" hidden="false" customHeight="true" outlineLevel="0" collapsed="false">
      <c r="A1883" s="39"/>
      <c r="B1883" s="41"/>
      <c r="C1883" s="40"/>
      <c r="D1883" s="40"/>
      <c r="E1883" s="40"/>
      <c r="F1883" s="42"/>
      <c r="G1883" s="39"/>
      <c r="H1883" s="40"/>
      <c r="I1883" s="40"/>
      <c r="J1883" s="40"/>
      <c r="K1883" s="41"/>
      <c r="L1883" s="39"/>
      <c r="M1883" s="48" t="str">
        <f aca="false">IF($E1883="","",IFERROR(INDEX(Parâmetros!$C$15:$C$20,MATCH($P1883,Parâmetros!$B$15:$B$20,0)),""))</f>
        <v/>
      </c>
      <c r="N1883" s="46" t="str">
        <f aca="false">IF($E1883="","",IF($P1883="","",IF($P1883&gt;=8,"Alta",IF($P1883&gt;=5,"Média","Baixa"))))</f>
        <v/>
      </c>
      <c r="O1883" s="46" t="str">
        <f aca="false">IF($E1883="","",IF(AND(Parâmetros!$C$5&gt;0,$P1883&lt;&gt;"",$P1883&gt;=Parâmetros!$C$5),"Sim","Não"))</f>
        <v/>
      </c>
      <c r="P1883" s="45" t="str">
        <f aca="false">IF($E1883="","",IF($G1883="","",IF($G1883="NOK",$F1883,0)))</f>
        <v/>
      </c>
      <c r="Q1883" s="46" t="str">
        <f aca="false">IF($E1883="","",IF($O1883&lt;&gt;"Sim","",COUNTIF($O$3:$O1883,"Sim")))</f>
        <v/>
      </c>
      <c r="R1883" s="47" t="n">
        <f aca="false">IF($P1883="",0,$P1883)</f>
        <v>0</v>
      </c>
    </row>
    <row r="1884" customFormat="false" ht="18" hidden="false" customHeight="true" outlineLevel="0" collapsed="false">
      <c r="A1884" s="39"/>
      <c r="B1884" s="41"/>
      <c r="C1884" s="40"/>
      <c r="D1884" s="40"/>
      <c r="E1884" s="40"/>
      <c r="F1884" s="42"/>
      <c r="G1884" s="39"/>
      <c r="H1884" s="40"/>
      <c r="I1884" s="40"/>
      <c r="J1884" s="40"/>
      <c r="K1884" s="41"/>
      <c r="L1884" s="39"/>
      <c r="M1884" s="48" t="str">
        <f aca="false">IF($E1884="","",IFERROR(INDEX(Parâmetros!$C$15:$C$20,MATCH($P1884,Parâmetros!$B$15:$B$20,0)),""))</f>
        <v/>
      </c>
      <c r="N1884" s="46" t="str">
        <f aca="false">IF($E1884="","",IF($P1884="","",IF($P1884&gt;=8,"Alta",IF($P1884&gt;=5,"Média","Baixa"))))</f>
        <v/>
      </c>
      <c r="O1884" s="46" t="str">
        <f aca="false">IF($E1884="","",IF(AND(Parâmetros!$C$5&gt;0,$P1884&lt;&gt;"",$P1884&gt;=Parâmetros!$C$5),"Sim","Não"))</f>
        <v/>
      </c>
      <c r="P1884" s="45" t="str">
        <f aca="false">IF($E1884="","",IF($G1884="","",IF($G1884="NOK",$F1884,0)))</f>
        <v/>
      </c>
      <c r="Q1884" s="46" t="str">
        <f aca="false">IF($E1884="","",IF($O1884&lt;&gt;"Sim","",COUNTIF($O$3:$O1884,"Sim")))</f>
        <v/>
      </c>
      <c r="R1884" s="47" t="n">
        <f aca="false">IF($P1884="",0,$P1884)</f>
        <v>0</v>
      </c>
    </row>
    <row r="1885" customFormat="false" ht="18" hidden="false" customHeight="true" outlineLevel="0" collapsed="false">
      <c r="A1885" s="39"/>
      <c r="B1885" s="41"/>
      <c r="C1885" s="40"/>
      <c r="D1885" s="40"/>
      <c r="E1885" s="40"/>
      <c r="F1885" s="42"/>
      <c r="G1885" s="39"/>
      <c r="H1885" s="40"/>
      <c r="I1885" s="40"/>
      <c r="J1885" s="40"/>
      <c r="K1885" s="41"/>
      <c r="L1885" s="39"/>
      <c r="M1885" s="48" t="str">
        <f aca="false">IF($E1885="","",IFERROR(INDEX(Parâmetros!$C$15:$C$20,MATCH($P1885,Parâmetros!$B$15:$B$20,0)),""))</f>
        <v/>
      </c>
      <c r="N1885" s="46" t="str">
        <f aca="false">IF($E1885="","",IF($P1885="","",IF($P1885&gt;=8,"Alta",IF($P1885&gt;=5,"Média","Baixa"))))</f>
        <v/>
      </c>
      <c r="O1885" s="46" t="str">
        <f aca="false">IF($E1885="","",IF(AND(Parâmetros!$C$5&gt;0,$P1885&lt;&gt;"",$P1885&gt;=Parâmetros!$C$5),"Sim","Não"))</f>
        <v/>
      </c>
      <c r="P1885" s="45" t="str">
        <f aca="false">IF($E1885="","",IF($G1885="","",IF($G1885="NOK",$F1885,0)))</f>
        <v/>
      </c>
      <c r="Q1885" s="46" t="str">
        <f aca="false">IF($E1885="","",IF($O1885&lt;&gt;"Sim","",COUNTIF($O$3:$O1885,"Sim")))</f>
        <v/>
      </c>
      <c r="R1885" s="47" t="n">
        <f aca="false">IF($P1885="",0,$P1885)</f>
        <v>0</v>
      </c>
    </row>
    <row r="1886" customFormat="false" ht="18" hidden="false" customHeight="true" outlineLevel="0" collapsed="false">
      <c r="A1886" s="39"/>
      <c r="B1886" s="41"/>
      <c r="C1886" s="40"/>
      <c r="D1886" s="40"/>
      <c r="E1886" s="40"/>
      <c r="F1886" s="42"/>
      <c r="G1886" s="39"/>
      <c r="H1886" s="40"/>
      <c r="I1886" s="40"/>
      <c r="J1886" s="40"/>
      <c r="K1886" s="41"/>
      <c r="L1886" s="39"/>
      <c r="M1886" s="48" t="str">
        <f aca="false">IF($E1886="","",IFERROR(INDEX(Parâmetros!$C$15:$C$20,MATCH($P1886,Parâmetros!$B$15:$B$20,0)),""))</f>
        <v/>
      </c>
      <c r="N1886" s="46" t="str">
        <f aca="false">IF($E1886="","",IF($P1886="","",IF($P1886&gt;=8,"Alta",IF($P1886&gt;=5,"Média","Baixa"))))</f>
        <v/>
      </c>
      <c r="O1886" s="46" t="str">
        <f aca="false">IF($E1886="","",IF(AND(Parâmetros!$C$5&gt;0,$P1886&lt;&gt;"",$P1886&gt;=Parâmetros!$C$5),"Sim","Não"))</f>
        <v/>
      </c>
      <c r="P1886" s="45" t="str">
        <f aca="false">IF($E1886="","",IF($G1886="","",IF($G1886="NOK",$F1886,0)))</f>
        <v/>
      </c>
      <c r="Q1886" s="46" t="str">
        <f aca="false">IF($E1886="","",IF($O1886&lt;&gt;"Sim","",COUNTIF($O$3:$O1886,"Sim")))</f>
        <v/>
      </c>
      <c r="R1886" s="47" t="n">
        <f aca="false">IF($P1886="",0,$P1886)</f>
        <v>0</v>
      </c>
    </row>
    <row r="1887" customFormat="false" ht="18" hidden="false" customHeight="true" outlineLevel="0" collapsed="false">
      <c r="A1887" s="39"/>
      <c r="B1887" s="41"/>
      <c r="C1887" s="40"/>
      <c r="D1887" s="40"/>
      <c r="E1887" s="40"/>
      <c r="F1887" s="42"/>
      <c r="G1887" s="39"/>
      <c r="H1887" s="40"/>
      <c r="I1887" s="40"/>
      <c r="J1887" s="40"/>
      <c r="K1887" s="41"/>
      <c r="L1887" s="39"/>
      <c r="M1887" s="48" t="str">
        <f aca="false">IF($E1887="","",IFERROR(INDEX(Parâmetros!$C$15:$C$20,MATCH($P1887,Parâmetros!$B$15:$B$20,0)),""))</f>
        <v/>
      </c>
      <c r="N1887" s="46" t="str">
        <f aca="false">IF($E1887="","",IF($P1887="","",IF($P1887&gt;=8,"Alta",IF($P1887&gt;=5,"Média","Baixa"))))</f>
        <v/>
      </c>
      <c r="O1887" s="46" t="str">
        <f aca="false">IF($E1887="","",IF(AND(Parâmetros!$C$5&gt;0,$P1887&lt;&gt;"",$P1887&gt;=Parâmetros!$C$5),"Sim","Não"))</f>
        <v/>
      </c>
      <c r="P1887" s="45" t="str">
        <f aca="false">IF($E1887="","",IF($G1887="","",IF($G1887="NOK",$F1887,0)))</f>
        <v/>
      </c>
      <c r="Q1887" s="46" t="str">
        <f aca="false">IF($E1887="","",IF($O1887&lt;&gt;"Sim","",COUNTIF($O$3:$O1887,"Sim")))</f>
        <v/>
      </c>
      <c r="R1887" s="47" t="n">
        <f aca="false">IF($P1887="",0,$P1887)</f>
        <v>0</v>
      </c>
    </row>
    <row r="1888" customFormat="false" ht="18" hidden="false" customHeight="true" outlineLevel="0" collapsed="false">
      <c r="A1888" s="39"/>
      <c r="B1888" s="41"/>
      <c r="C1888" s="40"/>
      <c r="D1888" s="40"/>
      <c r="E1888" s="40"/>
      <c r="F1888" s="42"/>
      <c r="G1888" s="39"/>
      <c r="H1888" s="40"/>
      <c r="I1888" s="40"/>
      <c r="J1888" s="40"/>
      <c r="K1888" s="41"/>
      <c r="L1888" s="39"/>
      <c r="M1888" s="48" t="str">
        <f aca="false">IF($E1888="","",IFERROR(INDEX(Parâmetros!$C$15:$C$20,MATCH($P1888,Parâmetros!$B$15:$B$20,0)),""))</f>
        <v/>
      </c>
      <c r="N1888" s="46" t="str">
        <f aca="false">IF($E1888="","",IF($P1888="","",IF($P1888&gt;=8,"Alta",IF($P1888&gt;=5,"Média","Baixa"))))</f>
        <v/>
      </c>
      <c r="O1888" s="46" t="str">
        <f aca="false">IF($E1888="","",IF(AND(Parâmetros!$C$5&gt;0,$P1888&lt;&gt;"",$P1888&gt;=Parâmetros!$C$5),"Sim","Não"))</f>
        <v/>
      </c>
      <c r="P1888" s="45" t="str">
        <f aca="false">IF($E1888="","",IF($G1888="","",IF($G1888="NOK",$F1888,0)))</f>
        <v/>
      </c>
      <c r="Q1888" s="46" t="str">
        <f aca="false">IF($E1888="","",IF($O1888&lt;&gt;"Sim","",COUNTIF($O$3:$O1888,"Sim")))</f>
        <v/>
      </c>
      <c r="R1888" s="47" t="n">
        <f aca="false">IF($P1888="",0,$P1888)</f>
        <v>0</v>
      </c>
    </row>
    <row r="1889" customFormat="false" ht="18" hidden="false" customHeight="true" outlineLevel="0" collapsed="false">
      <c r="A1889" s="39"/>
      <c r="B1889" s="41"/>
      <c r="C1889" s="40"/>
      <c r="D1889" s="40"/>
      <c r="E1889" s="40"/>
      <c r="F1889" s="42"/>
      <c r="G1889" s="39"/>
      <c r="H1889" s="40"/>
      <c r="I1889" s="40"/>
      <c r="J1889" s="40"/>
      <c r="K1889" s="41"/>
      <c r="L1889" s="39"/>
      <c r="M1889" s="48" t="str">
        <f aca="false">IF($E1889="","",IFERROR(INDEX(Parâmetros!$C$15:$C$20,MATCH($P1889,Parâmetros!$B$15:$B$20,0)),""))</f>
        <v/>
      </c>
      <c r="N1889" s="46" t="str">
        <f aca="false">IF($E1889="","",IF($P1889="","",IF($P1889&gt;=8,"Alta",IF($P1889&gt;=5,"Média","Baixa"))))</f>
        <v/>
      </c>
      <c r="O1889" s="46" t="str">
        <f aca="false">IF($E1889="","",IF(AND(Parâmetros!$C$5&gt;0,$P1889&lt;&gt;"",$P1889&gt;=Parâmetros!$C$5),"Sim","Não"))</f>
        <v/>
      </c>
      <c r="P1889" s="45" t="str">
        <f aca="false">IF($E1889="","",IF($G1889="","",IF($G1889="NOK",$F1889,0)))</f>
        <v/>
      </c>
      <c r="Q1889" s="46" t="str">
        <f aca="false">IF($E1889="","",IF($O1889&lt;&gt;"Sim","",COUNTIF($O$3:$O1889,"Sim")))</f>
        <v/>
      </c>
      <c r="R1889" s="47" t="n">
        <f aca="false">IF($P1889="",0,$P1889)</f>
        <v>0</v>
      </c>
    </row>
    <row r="1890" customFormat="false" ht="18" hidden="false" customHeight="true" outlineLevel="0" collapsed="false">
      <c r="A1890" s="39"/>
      <c r="B1890" s="41"/>
      <c r="C1890" s="40"/>
      <c r="D1890" s="40"/>
      <c r="E1890" s="40"/>
      <c r="F1890" s="42"/>
      <c r="G1890" s="39"/>
      <c r="H1890" s="40"/>
      <c r="I1890" s="40"/>
      <c r="J1890" s="40"/>
      <c r="K1890" s="41"/>
      <c r="L1890" s="39"/>
      <c r="M1890" s="48" t="str">
        <f aca="false">IF($E1890="","",IFERROR(INDEX(Parâmetros!$C$15:$C$20,MATCH($P1890,Parâmetros!$B$15:$B$20,0)),""))</f>
        <v/>
      </c>
      <c r="N1890" s="46" t="str">
        <f aca="false">IF($E1890="","",IF($P1890="","",IF($P1890&gt;=8,"Alta",IF($P1890&gt;=5,"Média","Baixa"))))</f>
        <v/>
      </c>
      <c r="O1890" s="46" t="str">
        <f aca="false">IF($E1890="","",IF(AND(Parâmetros!$C$5&gt;0,$P1890&lt;&gt;"",$P1890&gt;=Parâmetros!$C$5),"Sim","Não"))</f>
        <v/>
      </c>
      <c r="P1890" s="45" t="str">
        <f aca="false">IF($E1890="","",IF($G1890="","",IF($G1890="NOK",$F1890,0)))</f>
        <v/>
      </c>
      <c r="Q1890" s="46" t="str">
        <f aca="false">IF($E1890="","",IF($O1890&lt;&gt;"Sim","",COUNTIF($O$3:$O1890,"Sim")))</f>
        <v/>
      </c>
      <c r="R1890" s="47" t="n">
        <f aca="false">IF($P1890="",0,$P1890)</f>
        <v>0</v>
      </c>
    </row>
    <row r="1891" customFormat="false" ht="18" hidden="false" customHeight="true" outlineLevel="0" collapsed="false">
      <c r="A1891" s="39"/>
      <c r="B1891" s="41"/>
      <c r="C1891" s="40"/>
      <c r="D1891" s="40"/>
      <c r="E1891" s="40"/>
      <c r="F1891" s="42"/>
      <c r="G1891" s="39"/>
      <c r="H1891" s="40"/>
      <c r="I1891" s="40"/>
      <c r="J1891" s="40"/>
      <c r="K1891" s="41"/>
      <c r="L1891" s="39"/>
      <c r="M1891" s="48" t="str">
        <f aca="false">IF($E1891="","",IFERROR(INDEX(Parâmetros!$C$15:$C$20,MATCH($P1891,Parâmetros!$B$15:$B$20,0)),""))</f>
        <v/>
      </c>
      <c r="N1891" s="46" t="str">
        <f aca="false">IF($E1891="","",IF($P1891="","",IF($P1891&gt;=8,"Alta",IF($P1891&gt;=5,"Média","Baixa"))))</f>
        <v/>
      </c>
      <c r="O1891" s="46" t="str">
        <f aca="false">IF($E1891="","",IF(AND(Parâmetros!$C$5&gt;0,$P1891&lt;&gt;"",$P1891&gt;=Parâmetros!$C$5),"Sim","Não"))</f>
        <v/>
      </c>
      <c r="P1891" s="45" t="str">
        <f aca="false">IF($E1891="","",IF($G1891="","",IF($G1891="NOK",$F1891,0)))</f>
        <v/>
      </c>
      <c r="Q1891" s="46" t="str">
        <f aca="false">IF($E1891="","",IF($O1891&lt;&gt;"Sim","",COUNTIF($O$3:$O1891,"Sim")))</f>
        <v/>
      </c>
      <c r="R1891" s="47" t="n">
        <f aca="false">IF($P1891="",0,$P1891)</f>
        <v>0</v>
      </c>
    </row>
    <row r="1892" customFormat="false" ht="18" hidden="false" customHeight="true" outlineLevel="0" collapsed="false">
      <c r="A1892" s="39"/>
      <c r="B1892" s="41"/>
      <c r="C1892" s="40"/>
      <c r="D1892" s="40"/>
      <c r="E1892" s="40"/>
      <c r="F1892" s="42"/>
      <c r="G1892" s="39"/>
      <c r="H1892" s="40"/>
      <c r="I1892" s="40"/>
      <c r="J1892" s="40"/>
      <c r="K1892" s="41"/>
      <c r="L1892" s="39"/>
      <c r="M1892" s="48" t="str">
        <f aca="false">IF($E1892="","",IFERROR(INDEX(Parâmetros!$C$15:$C$20,MATCH($P1892,Parâmetros!$B$15:$B$20,0)),""))</f>
        <v/>
      </c>
      <c r="N1892" s="46" t="str">
        <f aca="false">IF($E1892="","",IF($P1892="","",IF($P1892&gt;=8,"Alta",IF($P1892&gt;=5,"Média","Baixa"))))</f>
        <v/>
      </c>
      <c r="O1892" s="46" t="str">
        <f aca="false">IF($E1892="","",IF(AND(Parâmetros!$C$5&gt;0,$P1892&lt;&gt;"",$P1892&gt;=Parâmetros!$C$5),"Sim","Não"))</f>
        <v/>
      </c>
      <c r="P1892" s="45" t="str">
        <f aca="false">IF($E1892="","",IF($G1892="","",IF($G1892="NOK",$F1892,0)))</f>
        <v/>
      </c>
      <c r="Q1892" s="46" t="str">
        <f aca="false">IF($E1892="","",IF($O1892&lt;&gt;"Sim","",COUNTIF($O$3:$O1892,"Sim")))</f>
        <v/>
      </c>
      <c r="R1892" s="47" t="n">
        <f aca="false">IF($P1892="",0,$P1892)</f>
        <v>0</v>
      </c>
    </row>
    <row r="1893" customFormat="false" ht="18" hidden="false" customHeight="true" outlineLevel="0" collapsed="false">
      <c r="A1893" s="39"/>
      <c r="B1893" s="41"/>
      <c r="C1893" s="40"/>
      <c r="D1893" s="40"/>
      <c r="E1893" s="40"/>
      <c r="F1893" s="42"/>
      <c r="G1893" s="39"/>
      <c r="H1893" s="40"/>
      <c r="I1893" s="40"/>
      <c r="J1893" s="40"/>
      <c r="K1893" s="41"/>
      <c r="L1893" s="39"/>
      <c r="M1893" s="48" t="str">
        <f aca="false">IF($E1893="","",IFERROR(INDEX(Parâmetros!$C$15:$C$20,MATCH($P1893,Parâmetros!$B$15:$B$20,0)),""))</f>
        <v/>
      </c>
      <c r="N1893" s="46" t="str">
        <f aca="false">IF($E1893="","",IF($P1893="","",IF($P1893&gt;=8,"Alta",IF($P1893&gt;=5,"Média","Baixa"))))</f>
        <v/>
      </c>
      <c r="O1893" s="46" t="str">
        <f aca="false">IF($E1893="","",IF(AND(Parâmetros!$C$5&gt;0,$P1893&lt;&gt;"",$P1893&gt;=Parâmetros!$C$5),"Sim","Não"))</f>
        <v/>
      </c>
      <c r="P1893" s="45" t="str">
        <f aca="false">IF($E1893="","",IF($G1893="","",IF($G1893="NOK",$F1893,0)))</f>
        <v/>
      </c>
      <c r="Q1893" s="46" t="str">
        <f aca="false">IF($E1893="","",IF($O1893&lt;&gt;"Sim","",COUNTIF($O$3:$O1893,"Sim")))</f>
        <v/>
      </c>
      <c r="R1893" s="47" t="n">
        <f aca="false">IF($P1893="",0,$P1893)</f>
        <v>0</v>
      </c>
    </row>
    <row r="1894" customFormat="false" ht="18" hidden="false" customHeight="true" outlineLevel="0" collapsed="false">
      <c r="A1894" s="39"/>
      <c r="B1894" s="41"/>
      <c r="C1894" s="40"/>
      <c r="D1894" s="40"/>
      <c r="E1894" s="40"/>
      <c r="F1894" s="42"/>
      <c r="G1894" s="39"/>
      <c r="H1894" s="40"/>
      <c r="I1894" s="40"/>
      <c r="J1894" s="40"/>
      <c r="K1894" s="41"/>
      <c r="L1894" s="39"/>
      <c r="M1894" s="48" t="str">
        <f aca="false">IF($E1894="","",IFERROR(INDEX(Parâmetros!$C$15:$C$20,MATCH($P1894,Parâmetros!$B$15:$B$20,0)),""))</f>
        <v/>
      </c>
      <c r="N1894" s="46" t="str">
        <f aca="false">IF($E1894="","",IF($P1894="","",IF($P1894&gt;=8,"Alta",IF($P1894&gt;=5,"Média","Baixa"))))</f>
        <v/>
      </c>
      <c r="O1894" s="46" t="str">
        <f aca="false">IF($E1894="","",IF(AND(Parâmetros!$C$5&gt;0,$P1894&lt;&gt;"",$P1894&gt;=Parâmetros!$C$5),"Sim","Não"))</f>
        <v/>
      </c>
      <c r="P1894" s="45" t="str">
        <f aca="false">IF($E1894="","",IF($G1894="","",IF($G1894="NOK",$F1894,0)))</f>
        <v/>
      </c>
      <c r="Q1894" s="46" t="str">
        <f aca="false">IF($E1894="","",IF($O1894&lt;&gt;"Sim","",COUNTIF($O$3:$O1894,"Sim")))</f>
        <v/>
      </c>
      <c r="R1894" s="47" t="n">
        <f aca="false">IF($P1894="",0,$P1894)</f>
        <v>0</v>
      </c>
    </row>
    <row r="1895" customFormat="false" ht="18" hidden="false" customHeight="true" outlineLevel="0" collapsed="false">
      <c r="A1895" s="39"/>
      <c r="B1895" s="41"/>
      <c r="C1895" s="40"/>
      <c r="D1895" s="40"/>
      <c r="E1895" s="40"/>
      <c r="F1895" s="42"/>
      <c r="G1895" s="39"/>
      <c r="H1895" s="40"/>
      <c r="I1895" s="40"/>
      <c r="J1895" s="40"/>
      <c r="K1895" s="41"/>
      <c r="L1895" s="39"/>
      <c r="M1895" s="48" t="str">
        <f aca="false">IF($E1895="","",IFERROR(INDEX(Parâmetros!$C$15:$C$20,MATCH($P1895,Parâmetros!$B$15:$B$20,0)),""))</f>
        <v/>
      </c>
      <c r="N1895" s="46" t="str">
        <f aca="false">IF($E1895="","",IF($P1895="","",IF($P1895&gt;=8,"Alta",IF($P1895&gt;=5,"Média","Baixa"))))</f>
        <v/>
      </c>
      <c r="O1895" s="46" t="str">
        <f aca="false">IF($E1895="","",IF(AND(Parâmetros!$C$5&gt;0,$P1895&lt;&gt;"",$P1895&gt;=Parâmetros!$C$5),"Sim","Não"))</f>
        <v/>
      </c>
      <c r="P1895" s="45" t="str">
        <f aca="false">IF($E1895="","",IF($G1895="","",IF($G1895="NOK",$F1895,0)))</f>
        <v/>
      </c>
      <c r="Q1895" s="46" t="str">
        <f aca="false">IF($E1895="","",IF($O1895&lt;&gt;"Sim","",COUNTIF($O$3:$O1895,"Sim")))</f>
        <v/>
      </c>
      <c r="R1895" s="47" t="n">
        <f aca="false">IF($P1895="",0,$P1895)</f>
        <v>0</v>
      </c>
    </row>
    <row r="1896" customFormat="false" ht="18" hidden="false" customHeight="true" outlineLevel="0" collapsed="false">
      <c r="A1896" s="39"/>
      <c r="B1896" s="41"/>
      <c r="C1896" s="40"/>
      <c r="D1896" s="40"/>
      <c r="E1896" s="40"/>
      <c r="F1896" s="42"/>
      <c r="G1896" s="39"/>
      <c r="H1896" s="40"/>
      <c r="I1896" s="40"/>
      <c r="J1896" s="40"/>
      <c r="K1896" s="41"/>
      <c r="L1896" s="39"/>
      <c r="M1896" s="48" t="str">
        <f aca="false">IF($E1896="","",IFERROR(INDEX(Parâmetros!$C$15:$C$20,MATCH($P1896,Parâmetros!$B$15:$B$20,0)),""))</f>
        <v/>
      </c>
      <c r="N1896" s="46" t="str">
        <f aca="false">IF($E1896="","",IF($P1896="","",IF($P1896&gt;=8,"Alta",IF($P1896&gt;=5,"Média","Baixa"))))</f>
        <v/>
      </c>
      <c r="O1896" s="46" t="str">
        <f aca="false">IF($E1896="","",IF(AND(Parâmetros!$C$5&gt;0,$P1896&lt;&gt;"",$P1896&gt;=Parâmetros!$C$5),"Sim","Não"))</f>
        <v/>
      </c>
      <c r="P1896" s="45" t="str">
        <f aca="false">IF($E1896="","",IF($G1896="","",IF($G1896="NOK",$F1896,0)))</f>
        <v/>
      </c>
      <c r="Q1896" s="46" t="str">
        <f aca="false">IF($E1896="","",IF($O1896&lt;&gt;"Sim","",COUNTIF($O$3:$O1896,"Sim")))</f>
        <v/>
      </c>
      <c r="R1896" s="47" t="n">
        <f aca="false">IF($P1896="",0,$P1896)</f>
        <v>0</v>
      </c>
    </row>
    <row r="1897" customFormat="false" ht="18" hidden="false" customHeight="true" outlineLevel="0" collapsed="false">
      <c r="A1897" s="39"/>
      <c r="B1897" s="41"/>
      <c r="C1897" s="40"/>
      <c r="D1897" s="40"/>
      <c r="E1897" s="40"/>
      <c r="F1897" s="42"/>
      <c r="G1897" s="39"/>
      <c r="H1897" s="40"/>
      <c r="I1897" s="40"/>
      <c r="J1897" s="40"/>
      <c r="K1897" s="41"/>
      <c r="L1897" s="39"/>
      <c r="M1897" s="48" t="str">
        <f aca="false">IF($E1897="","",IFERROR(INDEX(Parâmetros!$C$15:$C$20,MATCH($P1897,Parâmetros!$B$15:$B$20,0)),""))</f>
        <v/>
      </c>
      <c r="N1897" s="46" t="str">
        <f aca="false">IF($E1897="","",IF($P1897="","",IF($P1897&gt;=8,"Alta",IF($P1897&gt;=5,"Média","Baixa"))))</f>
        <v/>
      </c>
      <c r="O1897" s="46" t="str">
        <f aca="false">IF($E1897="","",IF(AND(Parâmetros!$C$5&gt;0,$P1897&lt;&gt;"",$P1897&gt;=Parâmetros!$C$5),"Sim","Não"))</f>
        <v/>
      </c>
      <c r="P1897" s="45" t="str">
        <f aca="false">IF($E1897="","",IF($G1897="","",IF($G1897="NOK",$F1897,0)))</f>
        <v/>
      </c>
      <c r="Q1897" s="46" t="str">
        <f aca="false">IF($E1897="","",IF($O1897&lt;&gt;"Sim","",COUNTIF($O$3:$O1897,"Sim")))</f>
        <v/>
      </c>
      <c r="R1897" s="47" t="n">
        <f aca="false">IF($P1897="",0,$P1897)</f>
        <v>0</v>
      </c>
    </row>
    <row r="1898" customFormat="false" ht="18" hidden="false" customHeight="true" outlineLevel="0" collapsed="false">
      <c r="A1898" s="39"/>
      <c r="B1898" s="41"/>
      <c r="C1898" s="40"/>
      <c r="D1898" s="40"/>
      <c r="E1898" s="40"/>
      <c r="F1898" s="42"/>
      <c r="G1898" s="39"/>
      <c r="H1898" s="40"/>
      <c r="I1898" s="40"/>
      <c r="J1898" s="40"/>
      <c r="K1898" s="41"/>
      <c r="L1898" s="39"/>
      <c r="M1898" s="48" t="str">
        <f aca="false">IF($E1898="","",IFERROR(INDEX(Parâmetros!$C$15:$C$20,MATCH($P1898,Parâmetros!$B$15:$B$20,0)),""))</f>
        <v/>
      </c>
      <c r="N1898" s="46" t="str">
        <f aca="false">IF($E1898="","",IF($P1898="","",IF($P1898&gt;=8,"Alta",IF($P1898&gt;=5,"Média","Baixa"))))</f>
        <v/>
      </c>
      <c r="O1898" s="46" t="str">
        <f aca="false">IF($E1898="","",IF(AND(Parâmetros!$C$5&gt;0,$P1898&lt;&gt;"",$P1898&gt;=Parâmetros!$C$5),"Sim","Não"))</f>
        <v/>
      </c>
      <c r="P1898" s="45" t="str">
        <f aca="false">IF($E1898="","",IF($G1898="","",IF($G1898="NOK",$F1898,0)))</f>
        <v/>
      </c>
      <c r="Q1898" s="46" t="str">
        <f aca="false">IF($E1898="","",IF($O1898&lt;&gt;"Sim","",COUNTIF($O$3:$O1898,"Sim")))</f>
        <v/>
      </c>
      <c r="R1898" s="47" t="n">
        <f aca="false">IF($P1898="",0,$P1898)</f>
        <v>0</v>
      </c>
    </row>
    <row r="1899" customFormat="false" ht="18" hidden="false" customHeight="true" outlineLevel="0" collapsed="false">
      <c r="A1899" s="39"/>
      <c r="B1899" s="41"/>
      <c r="C1899" s="40"/>
      <c r="D1899" s="40"/>
      <c r="E1899" s="40"/>
      <c r="F1899" s="42"/>
      <c r="G1899" s="39"/>
      <c r="H1899" s="40"/>
      <c r="I1899" s="40"/>
      <c r="J1899" s="40"/>
      <c r="K1899" s="41"/>
      <c r="L1899" s="39"/>
      <c r="M1899" s="48" t="str">
        <f aca="false">IF($E1899="","",IFERROR(INDEX(Parâmetros!$C$15:$C$20,MATCH($P1899,Parâmetros!$B$15:$B$20,0)),""))</f>
        <v/>
      </c>
      <c r="N1899" s="46" t="str">
        <f aca="false">IF($E1899="","",IF($P1899="","",IF($P1899&gt;=8,"Alta",IF($P1899&gt;=5,"Média","Baixa"))))</f>
        <v/>
      </c>
      <c r="O1899" s="46" t="str">
        <f aca="false">IF($E1899="","",IF(AND(Parâmetros!$C$5&gt;0,$P1899&lt;&gt;"",$P1899&gt;=Parâmetros!$C$5),"Sim","Não"))</f>
        <v/>
      </c>
      <c r="P1899" s="45" t="str">
        <f aca="false">IF($E1899="","",IF($G1899="","",IF($G1899="NOK",$F1899,0)))</f>
        <v/>
      </c>
      <c r="Q1899" s="46" t="str">
        <f aca="false">IF($E1899="","",IF($O1899&lt;&gt;"Sim","",COUNTIF($O$3:$O1899,"Sim")))</f>
        <v/>
      </c>
      <c r="R1899" s="47" t="n">
        <f aca="false">IF($P1899="",0,$P1899)</f>
        <v>0</v>
      </c>
    </row>
    <row r="1900" customFormat="false" ht="18" hidden="false" customHeight="true" outlineLevel="0" collapsed="false">
      <c r="A1900" s="39"/>
      <c r="B1900" s="41"/>
      <c r="C1900" s="40"/>
      <c r="D1900" s="40"/>
      <c r="E1900" s="40"/>
      <c r="F1900" s="42"/>
      <c r="G1900" s="39"/>
      <c r="H1900" s="40"/>
      <c r="I1900" s="40"/>
      <c r="J1900" s="40"/>
      <c r="K1900" s="41"/>
      <c r="L1900" s="39"/>
      <c r="M1900" s="48" t="str">
        <f aca="false">IF($E1900="","",IFERROR(INDEX(Parâmetros!$C$15:$C$20,MATCH($P1900,Parâmetros!$B$15:$B$20,0)),""))</f>
        <v/>
      </c>
      <c r="N1900" s="46" t="str">
        <f aca="false">IF($E1900="","",IF($P1900="","",IF($P1900&gt;=8,"Alta",IF($P1900&gt;=5,"Média","Baixa"))))</f>
        <v/>
      </c>
      <c r="O1900" s="46" t="str">
        <f aca="false">IF($E1900="","",IF(AND(Parâmetros!$C$5&gt;0,$P1900&lt;&gt;"",$P1900&gt;=Parâmetros!$C$5),"Sim","Não"))</f>
        <v/>
      </c>
      <c r="P1900" s="45" t="str">
        <f aca="false">IF($E1900="","",IF($G1900="","",IF($G1900="NOK",$F1900,0)))</f>
        <v/>
      </c>
      <c r="Q1900" s="46" t="str">
        <f aca="false">IF($E1900="","",IF($O1900&lt;&gt;"Sim","",COUNTIF($O$3:$O1900,"Sim")))</f>
        <v/>
      </c>
      <c r="R1900" s="47" t="n">
        <f aca="false">IF($P1900="",0,$P1900)</f>
        <v>0</v>
      </c>
    </row>
    <row r="1901" customFormat="false" ht="18" hidden="false" customHeight="true" outlineLevel="0" collapsed="false">
      <c r="A1901" s="39"/>
      <c r="B1901" s="41"/>
      <c r="C1901" s="40"/>
      <c r="D1901" s="40"/>
      <c r="E1901" s="40"/>
      <c r="F1901" s="42"/>
      <c r="G1901" s="39"/>
      <c r="H1901" s="40"/>
      <c r="I1901" s="40"/>
      <c r="J1901" s="40"/>
      <c r="K1901" s="41"/>
      <c r="L1901" s="39"/>
      <c r="M1901" s="48" t="str">
        <f aca="false">IF($E1901="","",IFERROR(INDEX(Parâmetros!$C$15:$C$20,MATCH($P1901,Parâmetros!$B$15:$B$20,0)),""))</f>
        <v/>
      </c>
      <c r="N1901" s="46" t="str">
        <f aca="false">IF($E1901="","",IF($P1901="","",IF($P1901&gt;=8,"Alta",IF($P1901&gt;=5,"Média","Baixa"))))</f>
        <v/>
      </c>
      <c r="O1901" s="46" t="str">
        <f aca="false">IF($E1901="","",IF(AND(Parâmetros!$C$5&gt;0,$P1901&lt;&gt;"",$P1901&gt;=Parâmetros!$C$5),"Sim","Não"))</f>
        <v/>
      </c>
      <c r="P1901" s="45" t="str">
        <f aca="false">IF($E1901="","",IF($G1901="","",IF($G1901="NOK",$F1901,0)))</f>
        <v/>
      </c>
      <c r="Q1901" s="46" t="str">
        <f aca="false">IF($E1901="","",IF($O1901&lt;&gt;"Sim","",COUNTIF($O$3:$O1901,"Sim")))</f>
        <v/>
      </c>
      <c r="R1901" s="47" t="n">
        <f aca="false">IF($P1901="",0,$P1901)</f>
        <v>0</v>
      </c>
    </row>
    <row r="1902" customFormat="false" ht="18" hidden="false" customHeight="true" outlineLevel="0" collapsed="false">
      <c r="A1902" s="39"/>
      <c r="B1902" s="41"/>
      <c r="C1902" s="40"/>
      <c r="D1902" s="40"/>
      <c r="E1902" s="40"/>
      <c r="F1902" s="42"/>
      <c r="G1902" s="39"/>
      <c r="H1902" s="40"/>
      <c r="I1902" s="40"/>
      <c r="J1902" s="40"/>
      <c r="K1902" s="41"/>
      <c r="L1902" s="39"/>
      <c r="M1902" s="48" t="str">
        <f aca="false">IF($E1902="","",IFERROR(INDEX(Parâmetros!$C$15:$C$20,MATCH($P1902,Parâmetros!$B$15:$B$20,0)),""))</f>
        <v/>
      </c>
      <c r="N1902" s="46" t="str">
        <f aca="false">IF($E1902="","",IF($P1902="","",IF($P1902&gt;=8,"Alta",IF($P1902&gt;=5,"Média","Baixa"))))</f>
        <v/>
      </c>
      <c r="O1902" s="46" t="str">
        <f aca="false">IF($E1902="","",IF(AND(Parâmetros!$C$5&gt;0,$P1902&lt;&gt;"",$P1902&gt;=Parâmetros!$C$5),"Sim","Não"))</f>
        <v/>
      </c>
      <c r="P1902" s="45" t="str">
        <f aca="false">IF($E1902="","",IF($G1902="","",IF($G1902="NOK",$F1902,0)))</f>
        <v/>
      </c>
      <c r="Q1902" s="46" t="str">
        <f aca="false">IF($E1902="","",IF($O1902&lt;&gt;"Sim","",COUNTIF($O$3:$O1902,"Sim")))</f>
        <v/>
      </c>
      <c r="R1902" s="47" t="n">
        <f aca="false">IF($P1902="",0,$P1902)</f>
        <v>0</v>
      </c>
    </row>
    <row r="1903" customFormat="false" ht="18" hidden="false" customHeight="true" outlineLevel="0" collapsed="false">
      <c r="A1903" s="39"/>
      <c r="B1903" s="41"/>
      <c r="C1903" s="40"/>
      <c r="D1903" s="40"/>
      <c r="E1903" s="40"/>
      <c r="F1903" s="42"/>
      <c r="G1903" s="39"/>
      <c r="H1903" s="40"/>
      <c r="I1903" s="40"/>
      <c r="J1903" s="40"/>
      <c r="K1903" s="41"/>
      <c r="L1903" s="39"/>
      <c r="M1903" s="48" t="str">
        <f aca="false">IF($E1903="","",IFERROR(INDEX(Parâmetros!$C$15:$C$20,MATCH($P1903,Parâmetros!$B$15:$B$20,0)),""))</f>
        <v/>
      </c>
      <c r="N1903" s="46" t="str">
        <f aca="false">IF($E1903="","",IF($P1903="","",IF($P1903&gt;=8,"Alta",IF($P1903&gt;=5,"Média","Baixa"))))</f>
        <v/>
      </c>
      <c r="O1903" s="46" t="str">
        <f aca="false">IF($E1903="","",IF(AND(Parâmetros!$C$5&gt;0,$P1903&lt;&gt;"",$P1903&gt;=Parâmetros!$C$5),"Sim","Não"))</f>
        <v/>
      </c>
      <c r="P1903" s="45" t="str">
        <f aca="false">IF($E1903="","",IF($G1903="","",IF($G1903="NOK",$F1903,0)))</f>
        <v/>
      </c>
      <c r="Q1903" s="46" t="str">
        <f aca="false">IF($E1903="","",IF($O1903&lt;&gt;"Sim","",COUNTIF($O$3:$O1903,"Sim")))</f>
        <v/>
      </c>
      <c r="R1903" s="47" t="n">
        <f aca="false">IF($P1903="",0,$P1903)</f>
        <v>0</v>
      </c>
    </row>
    <row r="1904" customFormat="false" ht="18" hidden="false" customHeight="true" outlineLevel="0" collapsed="false">
      <c r="A1904" s="39"/>
      <c r="B1904" s="41"/>
      <c r="C1904" s="40"/>
      <c r="D1904" s="40"/>
      <c r="E1904" s="40"/>
      <c r="F1904" s="42"/>
      <c r="G1904" s="39"/>
      <c r="H1904" s="40"/>
      <c r="I1904" s="40"/>
      <c r="J1904" s="40"/>
      <c r="K1904" s="41"/>
      <c r="L1904" s="39"/>
      <c r="M1904" s="48" t="str">
        <f aca="false">IF($E1904="","",IFERROR(INDEX(Parâmetros!$C$15:$C$20,MATCH($P1904,Parâmetros!$B$15:$B$20,0)),""))</f>
        <v/>
      </c>
      <c r="N1904" s="46" t="str">
        <f aca="false">IF($E1904="","",IF($P1904="","",IF($P1904&gt;=8,"Alta",IF($P1904&gt;=5,"Média","Baixa"))))</f>
        <v/>
      </c>
      <c r="O1904" s="46" t="str">
        <f aca="false">IF($E1904="","",IF(AND(Parâmetros!$C$5&gt;0,$P1904&lt;&gt;"",$P1904&gt;=Parâmetros!$C$5),"Sim","Não"))</f>
        <v/>
      </c>
      <c r="P1904" s="45" t="str">
        <f aca="false">IF($E1904="","",IF($G1904="","",IF($G1904="NOK",$F1904,0)))</f>
        <v/>
      </c>
      <c r="Q1904" s="46" t="str">
        <f aca="false">IF($E1904="","",IF($O1904&lt;&gt;"Sim","",COUNTIF($O$3:$O1904,"Sim")))</f>
        <v/>
      </c>
      <c r="R1904" s="47" t="n">
        <f aca="false">IF($P1904="",0,$P1904)</f>
        <v>0</v>
      </c>
    </row>
    <row r="1905" customFormat="false" ht="18" hidden="false" customHeight="true" outlineLevel="0" collapsed="false">
      <c r="A1905" s="39"/>
      <c r="B1905" s="41"/>
      <c r="C1905" s="40"/>
      <c r="D1905" s="40"/>
      <c r="E1905" s="40"/>
      <c r="F1905" s="42"/>
      <c r="G1905" s="39"/>
      <c r="H1905" s="40"/>
      <c r="I1905" s="40"/>
      <c r="J1905" s="40"/>
      <c r="K1905" s="41"/>
      <c r="L1905" s="39"/>
      <c r="M1905" s="48" t="str">
        <f aca="false">IF($E1905="","",IFERROR(INDEX(Parâmetros!$C$15:$C$20,MATCH($P1905,Parâmetros!$B$15:$B$20,0)),""))</f>
        <v/>
      </c>
      <c r="N1905" s="46" t="str">
        <f aca="false">IF($E1905="","",IF($P1905="","",IF($P1905&gt;=8,"Alta",IF($P1905&gt;=5,"Média","Baixa"))))</f>
        <v/>
      </c>
      <c r="O1905" s="46" t="str">
        <f aca="false">IF($E1905="","",IF(AND(Parâmetros!$C$5&gt;0,$P1905&lt;&gt;"",$P1905&gt;=Parâmetros!$C$5),"Sim","Não"))</f>
        <v/>
      </c>
      <c r="P1905" s="45" t="str">
        <f aca="false">IF($E1905="","",IF($G1905="","",IF($G1905="NOK",$F1905,0)))</f>
        <v/>
      </c>
      <c r="Q1905" s="46" t="str">
        <f aca="false">IF($E1905="","",IF($O1905&lt;&gt;"Sim","",COUNTIF($O$3:$O1905,"Sim")))</f>
        <v/>
      </c>
      <c r="R1905" s="47" t="n">
        <f aca="false">IF($P1905="",0,$P1905)</f>
        <v>0</v>
      </c>
    </row>
    <row r="1906" customFormat="false" ht="18" hidden="false" customHeight="true" outlineLevel="0" collapsed="false">
      <c r="A1906" s="39"/>
      <c r="B1906" s="41"/>
      <c r="C1906" s="40"/>
      <c r="D1906" s="40"/>
      <c r="E1906" s="40"/>
      <c r="F1906" s="42"/>
      <c r="G1906" s="39"/>
      <c r="H1906" s="40"/>
      <c r="I1906" s="40"/>
      <c r="J1906" s="40"/>
      <c r="K1906" s="41"/>
      <c r="L1906" s="39"/>
      <c r="M1906" s="48" t="str">
        <f aca="false">IF($E1906="","",IFERROR(INDEX(Parâmetros!$C$15:$C$20,MATCH($P1906,Parâmetros!$B$15:$B$20,0)),""))</f>
        <v/>
      </c>
      <c r="N1906" s="46" t="str">
        <f aca="false">IF($E1906="","",IF($P1906="","",IF($P1906&gt;=8,"Alta",IF($P1906&gt;=5,"Média","Baixa"))))</f>
        <v/>
      </c>
      <c r="O1906" s="46" t="str">
        <f aca="false">IF($E1906="","",IF(AND(Parâmetros!$C$5&gt;0,$P1906&lt;&gt;"",$P1906&gt;=Parâmetros!$C$5),"Sim","Não"))</f>
        <v/>
      </c>
      <c r="P1906" s="45" t="str">
        <f aca="false">IF($E1906="","",IF($G1906="","",IF($G1906="NOK",$F1906,0)))</f>
        <v/>
      </c>
      <c r="Q1906" s="46" t="str">
        <f aca="false">IF($E1906="","",IF($O1906&lt;&gt;"Sim","",COUNTIF($O$3:$O1906,"Sim")))</f>
        <v/>
      </c>
      <c r="R1906" s="47" t="n">
        <f aca="false">IF($P1906="",0,$P1906)</f>
        <v>0</v>
      </c>
    </row>
    <row r="1907" customFormat="false" ht="18" hidden="false" customHeight="true" outlineLevel="0" collapsed="false">
      <c r="A1907" s="39"/>
      <c r="B1907" s="41"/>
      <c r="C1907" s="40"/>
      <c r="D1907" s="40"/>
      <c r="E1907" s="40"/>
      <c r="F1907" s="42"/>
      <c r="G1907" s="39"/>
      <c r="H1907" s="40"/>
      <c r="I1907" s="40"/>
      <c r="J1907" s="40"/>
      <c r="K1907" s="41"/>
      <c r="L1907" s="39"/>
      <c r="M1907" s="48" t="str">
        <f aca="false">IF($E1907="","",IFERROR(INDEX(Parâmetros!$C$15:$C$20,MATCH($P1907,Parâmetros!$B$15:$B$20,0)),""))</f>
        <v/>
      </c>
      <c r="N1907" s="46" t="str">
        <f aca="false">IF($E1907="","",IF($P1907="","",IF($P1907&gt;=8,"Alta",IF($P1907&gt;=5,"Média","Baixa"))))</f>
        <v/>
      </c>
      <c r="O1907" s="46" t="str">
        <f aca="false">IF($E1907="","",IF(AND(Parâmetros!$C$5&gt;0,$P1907&lt;&gt;"",$P1907&gt;=Parâmetros!$C$5),"Sim","Não"))</f>
        <v/>
      </c>
      <c r="P1907" s="45" t="str">
        <f aca="false">IF($E1907="","",IF($G1907="","",IF($G1907="NOK",$F1907,0)))</f>
        <v/>
      </c>
      <c r="Q1907" s="46" t="str">
        <f aca="false">IF($E1907="","",IF($O1907&lt;&gt;"Sim","",COUNTIF($O$3:$O1907,"Sim")))</f>
        <v/>
      </c>
      <c r="R1907" s="47" t="n">
        <f aca="false">IF($P1907="",0,$P1907)</f>
        <v>0</v>
      </c>
    </row>
    <row r="1908" customFormat="false" ht="18" hidden="false" customHeight="true" outlineLevel="0" collapsed="false">
      <c r="A1908" s="39"/>
      <c r="B1908" s="41"/>
      <c r="C1908" s="40"/>
      <c r="D1908" s="40"/>
      <c r="E1908" s="40"/>
      <c r="F1908" s="42"/>
      <c r="G1908" s="39"/>
      <c r="H1908" s="40"/>
      <c r="I1908" s="40"/>
      <c r="J1908" s="40"/>
      <c r="K1908" s="41"/>
      <c r="L1908" s="39"/>
      <c r="M1908" s="48" t="str">
        <f aca="false">IF($E1908="","",IFERROR(INDEX(Parâmetros!$C$15:$C$20,MATCH($P1908,Parâmetros!$B$15:$B$20,0)),""))</f>
        <v/>
      </c>
      <c r="N1908" s="46" t="str">
        <f aca="false">IF($E1908="","",IF($P1908="","",IF($P1908&gt;=8,"Alta",IF($P1908&gt;=5,"Média","Baixa"))))</f>
        <v/>
      </c>
      <c r="O1908" s="46" t="str">
        <f aca="false">IF($E1908="","",IF(AND(Parâmetros!$C$5&gt;0,$P1908&lt;&gt;"",$P1908&gt;=Parâmetros!$C$5),"Sim","Não"))</f>
        <v/>
      </c>
      <c r="P1908" s="45" t="str">
        <f aca="false">IF($E1908="","",IF($G1908="","",IF($G1908="NOK",$F1908,0)))</f>
        <v/>
      </c>
      <c r="Q1908" s="46" t="str">
        <f aca="false">IF($E1908="","",IF($O1908&lt;&gt;"Sim","",COUNTIF($O$3:$O1908,"Sim")))</f>
        <v/>
      </c>
      <c r="R1908" s="47" t="n">
        <f aca="false">IF($P1908="",0,$P1908)</f>
        <v>0</v>
      </c>
    </row>
    <row r="1909" customFormat="false" ht="18" hidden="false" customHeight="true" outlineLevel="0" collapsed="false">
      <c r="A1909" s="39"/>
      <c r="B1909" s="41"/>
      <c r="C1909" s="40"/>
      <c r="D1909" s="40"/>
      <c r="E1909" s="40"/>
      <c r="F1909" s="42"/>
      <c r="G1909" s="39"/>
      <c r="H1909" s="40"/>
      <c r="I1909" s="40"/>
      <c r="J1909" s="40"/>
      <c r="K1909" s="41"/>
      <c r="L1909" s="39"/>
      <c r="M1909" s="48" t="str">
        <f aca="false">IF($E1909="","",IFERROR(INDEX(Parâmetros!$C$15:$C$20,MATCH($P1909,Parâmetros!$B$15:$B$20,0)),""))</f>
        <v/>
      </c>
      <c r="N1909" s="46" t="str">
        <f aca="false">IF($E1909="","",IF($P1909="","",IF($P1909&gt;=8,"Alta",IF($P1909&gt;=5,"Média","Baixa"))))</f>
        <v/>
      </c>
      <c r="O1909" s="46" t="str">
        <f aca="false">IF($E1909="","",IF(AND(Parâmetros!$C$5&gt;0,$P1909&lt;&gt;"",$P1909&gt;=Parâmetros!$C$5),"Sim","Não"))</f>
        <v/>
      </c>
      <c r="P1909" s="45" t="str">
        <f aca="false">IF($E1909="","",IF($G1909="","",IF($G1909="NOK",$F1909,0)))</f>
        <v/>
      </c>
      <c r="Q1909" s="46" t="str">
        <f aca="false">IF($E1909="","",IF($O1909&lt;&gt;"Sim","",COUNTIF($O$3:$O1909,"Sim")))</f>
        <v/>
      </c>
      <c r="R1909" s="47" t="n">
        <f aca="false">IF($P1909="",0,$P1909)</f>
        <v>0</v>
      </c>
    </row>
    <row r="1910" customFormat="false" ht="18" hidden="false" customHeight="true" outlineLevel="0" collapsed="false">
      <c r="A1910" s="39"/>
      <c r="B1910" s="41"/>
      <c r="C1910" s="40"/>
      <c r="D1910" s="40"/>
      <c r="E1910" s="40"/>
      <c r="F1910" s="42"/>
      <c r="G1910" s="39"/>
      <c r="H1910" s="40"/>
      <c r="I1910" s="40"/>
      <c r="J1910" s="40"/>
      <c r="K1910" s="41"/>
      <c r="L1910" s="39"/>
      <c r="M1910" s="48" t="str">
        <f aca="false">IF($E1910="","",IFERROR(INDEX(Parâmetros!$C$15:$C$20,MATCH($P1910,Parâmetros!$B$15:$B$20,0)),""))</f>
        <v/>
      </c>
      <c r="N1910" s="46" t="str">
        <f aca="false">IF($E1910="","",IF($P1910="","",IF($P1910&gt;=8,"Alta",IF($P1910&gt;=5,"Média","Baixa"))))</f>
        <v/>
      </c>
      <c r="O1910" s="46" t="str">
        <f aca="false">IF($E1910="","",IF(AND(Parâmetros!$C$5&gt;0,$P1910&lt;&gt;"",$P1910&gt;=Parâmetros!$C$5),"Sim","Não"))</f>
        <v/>
      </c>
      <c r="P1910" s="45" t="str">
        <f aca="false">IF($E1910="","",IF($G1910="","",IF($G1910="NOK",$F1910,0)))</f>
        <v/>
      </c>
      <c r="Q1910" s="46" t="str">
        <f aca="false">IF($E1910="","",IF($O1910&lt;&gt;"Sim","",COUNTIF($O$3:$O1910,"Sim")))</f>
        <v/>
      </c>
      <c r="R1910" s="47" t="n">
        <f aca="false">IF($P1910="",0,$P1910)</f>
        <v>0</v>
      </c>
    </row>
    <row r="1911" customFormat="false" ht="18" hidden="false" customHeight="true" outlineLevel="0" collapsed="false">
      <c r="A1911" s="39"/>
      <c r="B1911" s="41"/>
      <c r="C1911" s="40"/>
      <c r="D1911" s="40"/>
      <c r="E1911" s="40"/>
      <c r="F1911" s="42"/>
      <c r="G1911" s="39"/>
      <c r="H1911" s="40"/>
      <c r="I1911" s="40"/>
      <c r="J1911" s="40"/>
      <c r="K1911" s="41"/>
      <c r="L1911" s="39"/>
      <c r="M1911" s="48" t="str">
        <f aca="false">IF($E1911="","",IFERROR(INDEX(Parâmetros!$C$15:$C$20,MATCH($P1911,Parâmetros!$B$15:$B$20,0)),""))</f>
        <v/>
      </c>
      <c r="N1911" s="46" t="str">
        <f aca="false">IF($E1911="","",IF($P1911="","",IF($P1911&gt;=8,"Alta",IF($P1911&gt;=5,"Média","Baixa"))))</f>
        <v/>
      </c>
      <c r="O1911" s="46" t="str">
        <f aca="false">IF($E1911="","",IF(AND(Parâmetros!$C$5&gt;0,$P1911&lt;&gt;"",$P1911&gt;=Parâmetros!$C$5),"Sim","Não"))</f>
        <v/>
      </c>
      <c r="P1911" s="45" t="str">
        <f aca="false">IF($E1911="","",IF($G1911="","",IF($G1911="NOK",$F1911,0)))</f>
        <v/>
      </c>
      <c r="Q1911" s="46" t="str">
        <f aca="false">IF($E1911="","",IF($O1911&lt;&gt;"Sim","",COUNTIF($O$3:$O1911,"Sim")))</f>
        <v/>
      </c>
      <c r="R1911" s="47" t="n">
        <f aca="false">IF($P1911="",0,$P1911)</f>
        <v>0</v>
      </c>
    </row>
    <row r="1912" customFormat="false" ht="18" hidden="false" customHeight="true" outlineLevel="0" collapsed="false">
      <c r="A1912" s="39"/>
      <c r="B1912" s="41"/>
      <c r="C1912" s="40"/>
      <c r="D1912" s="40"/>
      <c r="E1912" s="40"/>
      <c r="F1912" s="42"/>
      <c r="G1912" s="39"/>
      <c r="H1912" s="40"/>
      <c r="I1912" s="40"/>
      <c r="J1912" s="40"/>
      <c r="K1912" s="41"/>
      <c r="L1912" s="39"/>
      <c r="M1912" s="48" t="str">
        <f aca="false">IF($E1912="","",IFERROR(INDEX(Parâmetros!$C$15:$C$20,MATCH($P1912,Parâmetros!$B$15:$B$20,0)),""))</f>
        <v/>
      </c>
      <c r="N1912" s="46" t="str">
        <f aca="false">IF($E1912="","",IF($P1912="","",IF($P1912&gt;=8,"Alta",IF($P1912&gt;=5,"Média","Baixa"))))</f>
        <v/>
      </c>
      <c r="O1912" s="46" t="str">
        <f aca="false">IF($E1912="","",IF(AND(Parâmetros!$C$5&gt;0,$P1912&lt;&gt;"",$P1912&gt;=Parâmetros!$C$5),"Sim","Não"))</f>
        <v/>
      </c>
      <c r="P1912" s="45" t="str">
        <f aca="false">IF($E1912="","",IF($G1912="","",IF($G1912="NOK",$F1912,0)))</f>
        <v/>
      </c>
      <c r="Q1912" s="46" t="str">
        <f aca="false">IF($E1912="","",IF($O1912&lt;&gt;"Sim","",COUNTIF($O$3:$O1912,"Sim")))</f>
        <v/>
      </c>
      <c r="R1912" s="47" t="n">
        <f aca="false">IF($P1912="",0,$P1912)</f>
        <v>0</v>
      </c>
    </row>
    <row r="1913" customFormat="false" ht="18" hidden="false" customHeight="true" outlineLevel="0" collapsed="false">
      <c r="A1913" s="39"/>
      <c r="B1913" s="41"/>
      <c r="C1913" s="40"/>
      <c r="D1913" s="40"/>
      <c r="E1913" s="40"/>
      <c r="F1913" s="42"/>
      <c r="G1913" s="39"/>
      <c r="H1913" s="40"/>
      <c r="I1913" s="40"/>
      <c r="J1913" s="40"/>
      <c r="K1913" s="41"/>
      <c r="L1913" s="39"/>
      <c r="M1913" s="48" t="str">
        <f aca="false">IF($E1913="","",IFERROR(INDEX(Parâmetros!$C$15:$C$20,MATCH($P1913,Parâmetros!$B$15:$B$20,0)),""))</f>
        <v/>
      </c>
      <c r="N1913" s="46" t="str">
        <f aca="false">IF($E1913="","",IF($P1913="","",IF($P1913&gt;=8,"Alta",IF($P1913&gt;=5,"Média","Baixa"))))</f>
        <v/>
      </c>
      <c r="O1913" s="46" t="str">
        <f aca="false">IF($E1913="","",IF(AND(Parâmetros!$C$5&gt;0,$P1913&lt;&gt;"",$P1913&gt;=Parâmetros!$C$5),"Sim","Não"))</f>
        <v/>
      </c>
      <c r="P1913" s="45" t="str">
        <f aca="false">IF($E1913="","",IF($G1913="","",IF($G1913="NOK",$F1913,0)))</f>
        <v/>
      </c>
      <c r="Q1913" s="46" t="str">
        <f aca="false">IF($E1913="","",IF($O1913&lt;&gt;"Sim","",COUNTIF($O$3:$O1913,"Sim")))</f>
        <v/>
      </c>
      <c r="R1913" s="47" t="n">
        <f aca="false">IF($P1913="",0,$P1913)</f>
        <v>0</v>
      </c>
    </row>
    <row r="1914" customFormat="false" ht="18" hidden="false" customHeight="true" outlineLevel="0" collapsed="false">
      <c r="A1914" s="39"/>
      <c r="B1914" s="41"/>
      <c r="C1914" s="40"/>
      <c r="D1914" s="40"/>
      <c r="E1914" s="40"/>
      <c r="F1914" s="42"/>
      <c r="G1914" s="39"/>
      <c r="H1914" s="40"/>
      <c r="I1914" s="40"/>
      <c r="J1914" s="40"/>
      <c r="K1914" s="41"/>
      <c r="L1914" s="39"/>
      <c r="M1914" s="48" t="str">
        <f aca="false">IF($E1914="","",IFERROR(INDEX(Parâmetros!$C$15:$C$20,MATCH($P1914,Parâmetros!$B$15:$B$20,0)),""))</f>
        <v/>
      </c>
      <c r="N1914" s="46" t="str">
        <f aca="false">IF($E1914="","",IF($P1914="","",IF($P1914&gt;=8,"Alta",IF($P1914&gt;=5,"Média","Baixa"))))</f>
        <v/>
      </c>
      <c r="O1914" s="46" t="str">
        <f aca="false">IF($E1914="","",IF(AND(Parâmetros!$C$5&gt;0,$P1914&lt;&gt;"",$P1914&gt;=Parâmetros!$C$5),"Sim","Não"))</f>
        <v/>
      </c>
      <c r="P1914" s="45" t="str">
        <f aca="false">IF($E1914="","",IF($G1914="","",IF($G1914="NOK",$F1914,0)))</f>
        <v/>
      </c>
      <c r="Q1914" s="46" t="str">
        <f aca="false">IF($E1914="","",IF($O1914&lt;&gt;"Sim","",COUNTIF($O$3:$O1914,"Sim")))</f>
        <v/>
      </c>
      <c r="R1914" s="47" t="n">
        <f aca="false">IF($P1914="",0,$P1914)</f>
        <v>0</v>
      </c>
    </row>
    <row r="1915" customFormat="false" ht="18" hidden="false" customHeight="true" outlineLevel="0" collapsed="false">
      <c r="A1915" s="39"/>
      <c r="B1915" s="41"/>
      <c r="C1915" s="40"/>
      <c r="D1915" s="40"/>
      <c r="E1915" s="40"/>
      <c r="F1915" s="42"/>
      <c r="G1915" s="39"/>
      <c r="H1915" s="40"/>
      <c r="I1915" s="40"/>
      <c r="J1915" s="40"/>
      <c r="K1915" s="41"/>
      <c r="L1915" s="39"/>
      <c r="M1915" s="48" t="str">
        <f aca="false">IF($E1915="","",IFERROR(INDEX(Parâmetros!$C$15:$C$20,MATCH($P1915,Parâmetros!$B$15:$B$20,0)),""))</f>
        <v/>
      </c>
      <c r="N1915" s="46" t="str">
        <f aca="false">IF($E1915="","",IF($P1915="","",IF($P1915&gt;=8,"Alta",IF($P1915&gt;=5,"Média","Baixa"))))</f>
        <v/>
      </c>
      <c r="O1915" s="46" t="str">
        <f aca="false">IF($E1915="","",IF(AND(Parâmetros!$C$5&gt;0,$P1915&lt;&gt;"",$P1915&gt;=Parâmetros!$C$5),"Sim","Não"))</f>
        <v/>
      </c>
      <c r="P1915" s="45" t="str">
        <f aca="false">IF($E1915="","",IF($G1915="","",IF($G1915="NOK",$F1915,0)))</f>
        <v/>
      </c>
      <c r="Q1915" s="46" t="str">
        <f aca="false">IF($E1915="","",IF($O1915&lt;&gt;"Sim","",COUNTIF($O$3:$O1915,"Sim")))</f>
        <v/>
      </c>
      <c r="R1915" s="47" t="n">
        <f aca="false">IF($P1915="",0,$P1915)</f>
        <v>0</v>
      </c>
    </row>
    <row r="1916" customFormat="false" ht="18" hidden="false" customHeight="true" outlineLevel="0" collapsed="false">
      <c r="A1916" s="39"/>
      <c r="B1916" s="41"/>
      <c r="C1916" s="40"/>
      <c r="D1916" s="40"/>
      <c r="E1916" s="40"/>
      <c r="F1916" s="42"/>
      <c r="G1916" s="39"/>
      <c r="H1916" s="40"/>
      <c r="I1916" s="40"/>
      <c r="J1916" s="40"/>
      <c r="K1916" s="41"/>
      <c r="L1916" s="39"/>
      <c r="M1916" s="48" t="str">
        <f aca="false">IF($E1916="","",IFERROR(INDEX(Parâmetros!$C$15:$C$20,MATCH($P1916,Parâmetros!$B$15:$B$20,0)),""))</f>
        <v/>
      </c>
      <c r="N1916" s="46" t="str">
        <f aca="false">IF($E1916="","",IF($P1916="","",IF($P1916&gt;=8,"Alta",IF($P1916&gt;=5,"Média","Baixa"))))</f>
        <v/>
      </c>
      <c r="O1916" s="46" t="str">
        <f aca="false">IF($E1916="","",IF(AND(Parâmetros!$C$5&gt;0,$P1916&lt;&gt;"",$P1916&gt;=Parâmetros!$C$5),"Sim","Não"))</f>
        <v/>
      </c>
      <c r="P1916" s="45" t="str">
        <f aca="false">IF($E1916="","",IF($G1916="","",IF($G1916="NOK",$F1916,0)))</f>
        <v/>
      </c>
      <c r="Q1916" s="46" t="str">
        <f aca="false">IF($E1916="","",IF($O1916&lt;&gt;"Sim","",COUNTIF($O$3:$O1916,"Sim")))</f>
        <v/>
      </c>
      <c r="R1916" s="47" t="n">
        <f aca="false">IF($P1916="",0,$P1916)</f>
        <v>0</v>
      </c>
    </row>
    <row r="1917" customFormat="false" ht="18" hidden="false" customHeight="true" outlineLevel="0" collapsed="false">
      <c r="A1917" s="39"/>
      <c r="B1917" s="41"/>
      <c r="C1917" s="40"/>
      <c r="D1917" s="40"/>
      <c r="E1917" s="40"/>
      <c r="F1917" s="42"/>
      <c r="G1917" s="39"/>
      <c r="H1917" s="40"/>
      <c r="I1917" s="40"/>
      <c r="J1917" s="40"/>
      <c r="K1917" s="41"/>
      <c r="L1917" s="39"/>
      <c r="M1917" s="48" t="str">
        <f aca="false">IF($E1917="","",IFERROR(INDEX(Parâmetros!$C$15:$C$20,MATCH($P1917,Parâmetros!$B$15:$B$20,0)),""))</f>
        <v/>
      </c>
      <c r="N1917" s="46" t="str">
        <f aca="false">IF($E1917="","",IF($P1917="","",IF($P1917&gt;=8,"Alta",IF($P1917&gt;=5,"Média","Baixa"))))</f>
        <v/>
      </c>
      <c r="O1917" s="46" t="str">
        <f aca="false">IF($E1917="","",IF(AND(Parâmetros!$C$5&gt;0,$P1917&lt;&gt;"",$P1917&gt;=Parâmetros!$C$5),"Sim","Não"))</f>
        <v/>
      </c>
      <c r="P1917" s="45" t="str">
        <f aca="false">IF($E1917="","",IF($G1917="","",IF($G1917="NOK",$F1917,0)))</f>
        <v/>
      </c>
      <c r="Q1917" s="46" t="str">
        <f aca="false">IF($E1917="","",IF($O1917&lt;&gt;"Sim","",COUNTIF($O$3:$O1917,"Sim")))</f>
        <v/>
      </c>
      <c r="R1917" s="47" t="n">
        <f aca="false">IF($P1917="",0,$P1917)</f>
        <v>0</v>
      </c>
    </row>
    <row r="1918" customFormat="false" ht="18" hidden="false" customHeight="true" outlineLevel="0" collapsed="false">
      <c r="A1918" s="39"/>
      <c r="B1918" s="41"/>
      <c r="C1918" s="40"/>
      <c r="D1918" s="40"/>
      <c r="E1918" s="40"/>
      <c r="F1918" s="42"/>
      <c r="G1918" s="39"/>
      <c r="H1918" s="40"/>
      <c r="I1918" s="40"/>
      <c r="J1918" s="40"/>
      <c r="K1918" s="41"/>
      <c r="L1918" s="39"/>
      <c r="M1918" s="48" t="str">
        <f aca="false">IF($E1918="","",IFERROR(INDEX(Parâmetros!$C$15:$C$20,MATCH($P1918,Parâmetros!$B$15:$B$20,0)),""))</f>
        <v/>
      </c>
      <c r="N1918" s="46" t="str">
        <f aca="false">IF($E1918="","",IF($P1918="","",IF($P1918&gt;=8,"Alta",IF($P1918&gt;=5,"Média","Baixa"))))</f>
        <v/>
      </c>
      <c r="O1918" s="46" t="str">
        <f aca="false">IF($E1918="","",IF(AND(Parâmetros!$C$5&gt;0,$P1918&lt;&gt;"",$P1918&gt;=Parâmetros!$C$5),"Sim","Não"))</f>
        <v/>
      </c>
      <c r="P1918" s="45" t="str">
        <f aca="false">IF($E1918="","",IF($G1918="","",IF($G1918="NOK",$F1918,0)))</f>
        <v/>
      </c>
      <c r="Q1918" s="46" t="str">
        <f aca="false">IF($E1918="","",IF($O1918&lt;&gt;"Sim","",COUNTIF($O$3:$O1918,"Sim")))</f>
        <v/>
      </c>
      <c r="R1918" s="47" t="n">
        <f aca="false">IF($P1918="",0,$P1918)</f>
        <v>0</v>
      </c>
    </row>
    <row r="1919" customFormat="false" ht="18" hidden="false" customHeight="true" outlineLevel="0" collapsed="false">
      <c r="A1919" s="39"/>
      <c r="B1919" s="41"/>
      <c r="C1919" s="40"/>
      <c r="D1919" s="40"/>
      <c r="E1919" s="40"/>
      <c r="F1919" s="42"/>
      <c r="G1919" s="39"/>
      <c r="H1919" s="40"/>
      <c r="I1919" s="40"/>
      <c r="J1919" s="40"/>
      <c r="K1919" s="41"/>
      <c r="L1919" s="39"/>
      <c r="M1919" s="48" t="str">
        <f aca="false">IF($E1919="","",IFERROR(INDEX(Parâmetros!$C$15:$C$20,MATCH($P1919,Parâmetros!$B$15:$B$20,0)),""))</f>
        <v/>
      </c>
      <c r="N1919" s="46" t="str">
        <f aca="false">IF($E1919="","",IF($P1919="","",IF($P1919&gt;=8,"Alta",IF($P1919&gt;=5,"Média","Baixa"))))</f>
        <v/>
      </c>
      <c r="O1919" s="46" t="str">
        <f aca="false">IF($E1919="","",IF(AND(Parâmetros!$C$5&gt;0,$P1919&lt;&gt;"",$P1919&gt;=Parâmetros!$C$5),"Sim","Não"))</f>
        <v/>
      </c>
      <c r="P1919" s="45" t="str">
        <f aca="false">IF($E1919="","",IF($G1919="","",IF($G1919="NOK",$F1919,0)))</f>
        <v/>
      </c>
      <c r="Q1919" s="46" t="str">
        <f aca="false">IF($E1919="","",IF($O1919&lt;&gt;"Sim","",COUNTIF($O$3:$O1919,"Sim")))</f>
        <v/>
      </c>
      <c r="R1919" s="47" t="n">
        <f aca="false">IF($P1919="",0,$P1919)</f>
        <v>0</v>
      </c>
    </row>
    <row r="1920" customFormat="false" ht="18" hidden="false" customHeight="true" outlineLevel="0" collapsed="false">
      <c r="A1920" s="39"/>
      <c r="B1920" s="41"/>
      <c r="C1920" s="40"/>
      <c r="D1920" s="40"/>
      <c r="E1920" s="40"/>
      <c r="F1920" s="42"/>
      <c r="G1920" s="39"/>
      <c r="H1920" s="40"/>
      <c r="I1920" s="40"/>
      <c r="J1920" s="40"/>
      <c r="K1920" s="41"/>
      <c r="L1920" s="39"/>
      <c r="M1920" s="48" t="str">
        <f aca="false">IF($E1920="","",IFERROR(INDEX(Parâmetros!$C$15:$C$20,MATCH($P1920,Parâmetros!$B$15:$B$20,0)),""))</f>
        <v/>
      </c>
      <c r="N1920" s="46" t="str">
        <f aca="false">IF($E1920="","",IF($P1920="","",IF($P1920&gt;=8,"Alta",IF($P1920&gt;=5,"Média","Baixa"))))</f>
        <v/>
      </c>
      <c r="O1920" s="46" t="str">
        <f aca="false">IF($E1920="","",IF(AND(Parâmetros!$C$5&gt;0,$P1920&lt;&gt;"",$P1920&gt;=Parâmetros!$C$5),"Sim","Não"))</f>
        <v/>
      </c>
      <c r="P1920" s="45" t="str">
        <f aca="false">IF($E1920="","",IF($G1920="","",IF($G1920="NOK",$F1920,0)))</f>
        <v/>
      </c>
      <c r="Q1920" s="46" t="str">
        <f aca="false">IF($E1920="","",IF($O1920&lt;&gt;"Sim","",COUNTIF($O$3:$O1920,"Sim")))</f>
        <v/>
      </c>
      <c r="R1920" s="47" t="n">
        <f aca="false">IF($P1920="",0,$P1920)</f>
        <v>0</v>
      </c>
    </row>
    <row r="1921" customFormat="false" ht="18" hidden="false" customHeight="true" outlineLevel="0" collapsed="false">
      <c r="A1921" s="39"/>
      <c r="B1921" s="41"/>
      <c r="C1921" s="40"/>
      <c r="D1921" s="40"/>
      <c r="E1921" s="40"/>
      <c r="F1921" s="42"/>
      <c r="G1921" s="39"/>
      <c r="H1921" s="40"/>
      <c r="I1921" s="40"/>
      <c r="J1921" s="40"/>
      <c r="K1921" s="41"/>
      <c r="L1921" s="39"/>
      <c r="M1921" s="48" t="str">
        <f aca="false">IF($E1921="","",IFERROR(INDEX(Parâmetros!$C$15:$C$20,MATCH($P1921,Parâmetros!$B$15:$B$20,0)),""))</f>
        <v/>
      </c>
      <c r="N1921" s="46" t="str">
        <f aca="false">IF($E1921="","",IF($P1921="","",IF($P1921&gt;=8,"Alta",IF($P1921&gt;=5,"Média","Baixa"))))</f>
        <v/>
      </c>
      <c r="O1921" s="46" t="str">
        <f aca="false">IF($E1921="","",IF(AND(Parâmetros!$C$5&gt;0,$P1921&lt;&gt;"",$P1921&gt;=Parâmetros!$C$5),"Sim","Não"))</f>
        <v/>
      </c>
      <c r="P1921" s="45" t="str">
        <f aca="false">IF($E1921="","",IF($G1921="","",IF($G1921="NOK",$F1921,0)))</f>
        <v/>
      </c>
      <c r="Q1921" s="46" t="str">
        <f aca="false">IF($E1921="","",IF($O1921&lt;&gt;"Sim","",COUNTIF($O$3:$O1921,"Sim")))</f>
        <v/>
      </c>
      <c r="R1921" s="47" t="n">
        <f aca="false">IF($P1921="",0,$P1921)</f>
        <v>0</v>
      </c>
    </row>
    <row r="1922" customFormat="false" ht="18" hidden="false" customHeight="true" outlineLevel="0" collapsed="false">
      <c r="A1922" s="39"/>
      <c r="B1922" s="41"/>
      <c r="C1922" s="40"/>
      <c r="D1922" s="40"/>
      <c r="E1922" s="40"/>
      <c r="F1922" s="42"/>
      <c r="G1922" s="39"/>
      <c r="H1922" s="40"/>
      <c r="I1922" s="40"/>
      <c r="J1922" s="40"/>
      <c r="K1922" s="41"/>
      <c r="L1922" s="39"/>
      <c r="M1922" s="48" t="str">
        <f aca="false">IF($E1922="","",IFERROR(INDEX(Parâmetros!$C$15:$C$20,MATCH($P1922,Parâmetros!$B$15:$B$20,0)),""))</f>
        <v/>
      </c>
      <c r="N1922" s="46" t="str">
        <f aca="false">IF($E1922="","",IF($P1922="","",IF($P1922&gt;=8,"Alta",IF($P1922&gt;=5,"Média","Baixa"))))</f>
        <v/>
      </c>
      <c r="O1922" s="46" t="str">
        <f aca="false">IF($E1922="","",IF(AND(Parâmetros!$C$5&gt;0,$P1922&lt;&gt;"",$P1922&gt;=Parâmetros!$C$5),"Sim","Não"))</f>
        <v/>
      </c>
      <c r="P1922" s="45" t="str">
        <f aca="false">IF($E1922="","",IF($G1922="","",IF($G1922="NOK",$F1922,0)))</f>
        <v/>
      </c>
      <c r="Q1922" s="46" t="str">
        <f aca="false">IF($E1922="","",IF($O1922&lt;&gt;"Sim","",COUNTIF($O$3:$O1922,"Sim")))</f>
        <v/>
      </c>
      <c r="R1922" s="47" t="n">
        <f aca="false">IF($P1922="",0,$P1922)</f>
        <v>0</v>
      </c>
    </row>
    <row r="1923" customFormat="false" ht="18" hidden="false" customHeight="true" outlineLevel="0" collapsed="false">
      <c r="A1923" s="39"/>
      <c r="B1923" s="41"/>
      <c r="C1923" s="40"/>
      <c r="D1923" s="40"/>
      <c r="E1923" s="40"/>
      <c r="F1923" s="42"/>
      <c r="G1923" s="39"/>
      <c r="H1923" s="40"/>
      <c r="I1923" s="40"/>
      <c r="J1923" s="40"/>
      <c r="K1923" s="41"/>
      <c r="L1923" s="39"/>
      <c r="M1923" s="48" t="str">
        <f aca="false">IF($E1923="","",IFERROR(INDEX(Parâmetros!$C$15:$C$20,MATCH($P1923,Parâmetros!$B$15:$B$20,0)),""))</f>
        <v/>
      </c>
      <c r="N1923" s="46" t="str">
        <f aca="false">IF($E1923="","",IF($P1923="","",IF($P1923&gt;=8,"Alta",IF($P1923&gt;=5,"Média","Baixa"))))</f>
        <v/>
      </c>
      <c r="O1923" s="46" t="str">
        <f aca="false">IF($E1923="","",IF(AND(Parâmetros!$C$5&gt;0,$P1923&lt;&gt;"",$P1923&gt;=Parâmetros!$C$5),"Sim","Não"))</f>
        <v/>
      </c>
      <c r="P1923" s="45" t="str">
        <f aca="false">IF($E1923="","",IF($G1923="","",IF($G1923="NOK",$F1923,0)))</f>
        <v/>
      </c>
      <c r="Q1923" s="46" t="str">
        <f aca="false">IF($E1923="","",IF($O1923&lt;&gt;"Sim","",COUNTIF($O$3:$O1923,"Sim")))</f>
        <v/>
      </c>
      <c r="R1923" s="47" t="n">
        <f aca="false">IF($P1923="",0,$P1923)</f>
        <v>0</v>
      </c>
    </row>
    <row r="1924" customFormat="false" ht="18" hidden="false" customHeight="true" outlineLevel="0" collapsed="false">
      <c r="A1924" s="39"/>
      <c r="B1924" s="41"/>
      <c r="C1924" s="40"/>
      <c r="D1924" s="40"/>
      <c r="E1924" s="40"/>
      <c r="F1924" s="42"/>
      <c r="G1924" s="39"/>
      <c r="H1924" s="40"/>
      <c r="I1924" s="40"/>
      <c r="J1924" s="40"/>
      <c r="K1924" s="41"/>
      <c r="L1924" s="39"/>
      <c r="M1924" s="48" t="str">
        <f aca="false">IF($E1924="","",IFERROR(INDEX(Parâmetros!$C$15:$C$20,MATCH($P1924,Parâmetros!$B$15:$B$20,0)),""))</f>
        <v/>
      </c>
      <c r="N1924" s="46" t="str">
        <f aca="false">IF($E1924="","",IF($P1924="","",IF($P1924&gt;=8,"Alta",IF($P1924&gt;=5,"Média","Baixa"))))</f>
        <v/>
      </c>
      <c r="O1924" s="46" t="str">
        <f aca="false">IF($E1924="","",IF(AND(Parâmetros!$C$5&gt;0,$P1924&lt;&gt;"",$P1924&gt;=Parâmetros!$C$5),"Sim","Não"))</f>
        <v/>
      </c>
      <c r="P1924" s="45" t="str">
        <f aca="false">IF($E1924="","",IF($G1924="","",IF($G1924="NOK",$F1924,0)))</f>
        <v/>
      </c>
      <c r="Q1924" s="46" t="str">
        <f aca="false">IF($E1924="","",IF($O1924&lt;&gt;"Sim","",COUNTIF($O$3:$O1924,"Sim")))</f>
        <v/>
      </c>
      <c r="R1924" s="47" t="n">
        <f aca="false">IF($P1924="",0,$P1924)</f>
        <v>0</v>
      </c>
    </row>
    <row r="1925" customFormat="false" ht="18" hidden="false" customHeight="true" outlineLevel="0" collapsed="false">
      <c r="A1925" s="39"/>
      <c r="B1925" s="41"/>
      <c r="C1925" s="40"/>
      <c r="D1925" s="40"/>
      <c r="E1925" s="40"/>
      <c r="F1925" s="42"/>
      <c r="G1925" s="39"/>
      <c r="H1925" s="40"/>
      <c r="I1925" s="40"/>
      <c r="J1925" s="40"/>
      <c r="K1925" s="41"/>
      <c r="L1925" s="39"/>
      <c r="M1925" s="48" t="str">
        <f aca="false">IF($E1925="","",IFERROR(INDEX(Parâmetros!$C$15:$C$20,MATCH($P1925,Parâmetros!$B$15:$B$20,0)),""))</f>
        <v/>
      </c>
      <c r="N1925" s="46" t="str">
        <f aca="false">IF($E1925="","",IF($P1925="","",IF($P1925&gt;=8,"Alta",IF($P1925&gt;=5,"Média","Baixa"))))</f>
        <v/>
      </c>
      <c r="O1925" s="46" t="str">
        <f aca="false">IF($E1925="","",IF(AND(Parâmetros!$C$5&gt;0,$P1925&lt;&gt;"",$P1925&gt;=Parâmetros!$C$5),"Sim","Não"))</f>
        <v/>
      </c>
      <c r="P1925" s="45" t="str">
        <f aca="false">IF($E1925="","",IF($G1925="","",IF($G1925="NOK",$F1925,0)))</f>
        <v/>
      </c>
      <c r="Q1925" s="46" t="str">
        <f aca="false">IF($E1925="","",IF($O1925&lt;&gt;"Sim","",COUNTIF($O$3:$O1925,"Sim")))</f>
        <v/>
      </c>
      <c r="R1925" s="47" t="n">
        <f aca="false">IF($P1925="",0,$P1925)</f>
        <v>0</v>
      </c>
    </row>
    <row r="1926" customFormat="false" ht="18" hidden="false" customHeight="true" outlineLevel="0" collapsed="false">
      <c r="A1926" s="39"/>
      <c r="B1926" s="41"/>
      <c r="C1926" s="40"/>
      <c r="D1926" s="40"/>
      <c r="E1926" s="40"/>
      <c r="F1926" s="42"/>
      <c r="G1926" s="39"/>
      <c r="H1926" s="40"/>
      <c r="I1926" s="40"/>
      <c r="J1926" s="40"/>
      <c r="K1926" s="41"/>
      <c r="L1926" s="39"/>
      <c r="M1926" s="48" t="str">
        <f aca="false">IF($E1926="","",IFERROR(INDEX(Parâmetros!$C$15:$C$20,MATCH($P1926,Parâmetros!$B$15:$B$20,0)),""))</f>
        <v/>
      </c>
      <c r="N1926" s="46" t="str">
        <f aca="false">IF($E1926="","",IF($P1926="","",IF($P1926&gt;=8,"Alta",IF($P1926&gt;=5,"Média","Baixa"))))</f>
        <v/>
      </c>
      <c r="O1926" s="46" t="str">
        <f aca="false">IF($E1926="","",IF(AND(Parâmetros!$C$5&gt;0,$P1926&lt;&gt;"",$P1926&gt;=Parâmetros!$C$5),"Sim","Não"))</f>
        <v/>
      </c>
      <c r="P1926" s="45" t="str">
        <f aca="false">IF($E1926="","",IF($G1926="","",IF($G1926="NOK",$F1926,0)))</f>
        <v/>
      </c>
      <c r="Q1926" s="46" t="str">
        <f aca="false">IF($E1926="","",IF($O1926&lt;&gt;"Sim","",COUNTIF($O$3:$O1926,"Sim")))</f>
        <v/>
      </c>
      <c r="R1926" s="47" t="n">
        <f aca="false">IF($P1926="",0,$P1926)</f>
        <v>0</v>
      </c>
    </row>
    <row r="1927" customFormat="false" ht="18" hidden="false" customHeight="true" outlineLevel="0" collapsed="false">
      <c r="A1927" s="39"/>
      <c r="B1927" s="41"/>
      <c r="C1927" s="40"/>
      <c r="D1927" s="40"/>
      <c r="E1927" s="40"/>
      <c r="F1927" s="42"/>
      <c r="G1927" s="39"/>
      <c r="H1927" s="40"/>
      <c r="I1927" s="40"/>
      <c r="J1927" s="40"/>
      <c r="K1927" s="41"/>
      <c r="L1927" s="39"/>
      <c r="M1927" s="48" t="str">
        <f aca="false">IF($E1927="","",IFERROR(INDEX(Parâmetros!$C$15:$C$20,MATCH($P1927,Parâmetros!$B$15:$B$20,0)),""))</f>
        <v/>
      </c>
      <c r="N1927" s="46" t="str">
        <f aca="false">IF($E1927="","",IF($P1927="","",IF($P1927&gt;=8,"Alta",IF($P1927&gt;=5,"Média","Baixa"))))</f>
        <v/>
      </c>
      <c r="O1927" s="46" t="str">
        <f aca="false">IF($E1927="","",IF(AND(Parâmetros!$C$5&gt;0,$P1927&lt;&gt;"",$P1927&gt;=Parâmetros!$C$5),"Sim","Não"))</f>
        <v/>
      </c>
      <c r="P1927" s="45" t="str">
        <f aca="false">IF($E1927="","",IF($G1927="","",IF($G1927="NOK",$F1927,0)))</f>
        <v/>
      </c>
      <c r="Q1927" s="46" t="str">
        <f aca="false">IF($E1927="","",IF($O1927&lt;&gt;"Sim","",COUNTIF($O$3:$O1927,"Sim")))</f>
        <v/>
      </c>
      <c r="R1927" s="47" t="n">
        <f aca="false">IF($P1927="",0,$P1927)</f>
        <v>0</v>
      </c>
    </row>
    <row r="1928" customFormat="false" ht="18" hidden="false" customHeight="true" outlineLevel="0" collapsed="false">
      <c r="A1928" s="39"/>
      <c r="B1928" s="41"/>
      <c r="C1928" s="40"/>
      <c r="D1928" s="40"/>
      <c r="E1928" s="40"/>
      <c r="F1928" s="42"/>
      <c r="G1928" s="39"/>
      <c r="H1928" s="40"/>
      <c r="I1928" s="40"/>
      <c r="J1928" s="40"/>
      <c r="K1928" s="41"/>
      <c r="L1928" s="39"/>
      <c r="M1928" s="48" t="str">
        <f aca="false">IF($E1928="","",IFERROR(INDEX(Parâmetros!$C$15:$C$20,MATCH($P1928,Parâmetros!$B$15:$B$20,0)),""))</f>
        <v/>
      </c>
      <c r="N1928" s="46" t="str">
        <f aca="false">IF($E1928="","",IF($P1928="","",IF($P1928&gt;=8,"Alta",IF($P1928&gt;=5,"Média","Baixa"))))</f>
        <v/>
      </c>
      <c r="O1928" s="46" t="str">
        <f aca="false">IF($E1928="","",IF(AND(Parâmetros!$C$5&gt;0,$P1928&lt;&gt;"",$P1928&gt;=Parâmetros!$C$5),"Sim","Não"))</f>
        <v/>
      </c>
      <c r="P1928" s="45" t="str">
        <f aca="false">IF($E1928="","",IF($G1928="","",IF($G1928="NOK",$F1928,0)))</f>
        <v/>
      </c>
      <c r="Q1928" s="46" t="str">
        <f aca="false">IF($E1928="","",IF($O1928&lt;&gt;"Sim","",COUNTIF($O$3:$O1928,"Sim")))</f>
        <v/>
      </c>
      <c r="R1928" s="47" t="n">
        <f aca="false">IF($P1928="",0,$P1928)</f>
        <v>0</v>
      </c>
    </row>
    <row r="1929" customFormat="false" ht="18" hidden="false" customHeight="true" outlineLevel="0" collapsed="false">
      <c r="A1929" s="39"/>
      <c r="B1929" s="41"/>
      <c r="C1929" s="40"/>
      <c r="D1929" s="40"/>
      <c r="E1929" s="40"/>
      <c r="F1929" s="42"/>
      <c r="G1929" s="39"/>
      <c r="H1929" s="40"/>
      <c r="I1929" s="40"/>
      <c r="J1929" s="40"/>
      <c r="K1929" s="41"/>
      <c r="L1929" s="39"/>
      <c r="M1929" s="48" t="str">
        <f aca="false">IF($E1929="","",IFERROR(INDEX(Parâmetros!$C$15:$C$20,MATCH($P1929,Parâmetros!$B$15:$B$20,0)),""))</f>
        <v/>
      </c>
      <c r="N1929" s="46" t="str">
        <f aca="false">IF($E1929="","",IF($P1929="","",IF($P1929&gt;=8,"Alta",IF($P1929&gt;=5,"Média","Baixa"))))</f>
        <v/>
      </c>
      <c r="O1929" s="46" t="str">
        <f aca="false">IF($E1929="","",IF(AND(Parâmetros!$C$5&gt;0,$P1929&lt;&gt;"",$P1929&gt;=Parâmetros!$C$5),"Sim","Não"))</f>
        <v/>
      </c>
      <c r="P1929" s="45" t="str">
        <f aca="false">IF($E1929="","",IF($G1929="","",IF($G1929="NOK",$F1929,0)))</f>
        <v/>
      </c>
      <c r="Q1929" s="46" t="str">
        <f aca="false">IF($E1929="","",IF($O1929&lt;&gt;"Sim","",COUNTIF($O$3:$O1929,"Sim")))</f>
        <v/>
      </c>
      <c r="R1929" s="47" t="n">
        <f aca="false">IF($P1929="",0,$P1929)</f>
        <v>0</v>
      </c>
    </row>
    <row r="1930" customFormat="false" ht="18" hidden="false" customHeight="true" outlineLevel="0" collapsed="false">
      <c r="A1930" s="39"/>
      <c r="B1930" s="41"/>
      <c r="C1930" s="40"/>
      <c r="D1930" s="40"/>
      <c r="E1930" s="40"/>
      <c r="F1930" s="42"/>
      <c r="G1930" s="39"/>
      <c r="H1930" s="40"/>
      <c r="I1930" s="40"/>
      <c r="J1930" s="40"/>
      <c r="K1930" s="41"/>
      <c r="L1930" s="39"/>
      <c r="M1930" s="48" t="str">
        <f aca="false">IF($E1930="","",IFERROR(INDEX(Parâmetros!$C$15:$C$20,MATCH($P1930,Parâmetros!$B$15:$B$20,0)),""))</f>
        <v/>
      </c>
      <c r="N1930" s="46" t="str">
        <f aca="false">IF($E1930="","",IF($P1930="","",IF($P1930&gt;=8,"Alta",IF($P1930&gt;=5,"Média","Baixa"))))</f>
        <v/>
      </c>
      <c r="O1930" s="46" t="str">
        <f aca="false">IF($E1930="","",IF(AND(Parâmetros!$C$5&gt;0,$P1930&lt;&gt;"",$P1930&gt;=Parâmetros!$C$5),"Sim","Não"))</f>
        <v/>
      </c>
      <c r="P1930" s="45" t="str">
        <f aca="false">IF($E1930="","",IF($G1930="","",IF($G1930="NOK",$F1930,0)))</f>
        <v/>
      </c>
      <c r="Q1930" s="46" t="str">
        <f aca="false">IF($E1930="","",IF($O1930&lt;&gt;"Sim","",COUNTIF($O$3:$O1930,"Sim")))</f>
        <v/>
      </c>
      <c r="R1930" s="47" t="n">
        <f aca="false">IF($P1930="",0,$P1930)</f>
        <v>0</v>
      </c>
    </row>
    <row r="1931" customFormat="false" ht="18" hidden="false" customHeight="true" outlineLevel="0" collapsed="false">
      <c r="A1931" s="39"/>
      <c r="B1931" s="41"/>
      <c r="C1931" s="40"/>
      <c r="D1931" s="40"/>
      <c r="E1931" s="40"/>
      <c r="F1931" s="42"/>
      <c r="G1931" s="39"/>
      <c r="H1931" s="40"/>
      <c r="I1931" s="40"/>
      <c r="J1931" s="40"/>
      <c r="K1931" s="41"/>
      <c r="L1931" s="39"/>
      <c r="M1931" s="48" t="str">
        <f aca="false">IF($E1931="","",IFERROR(INDEX(Parâmetros!$C$15:$C$20,MATCH($P1931,Parâmetros!$B$15:$B$20,0)),""))</f>
        <v/>
      </c>
      <c r="N1931" s="46" t="str">
        <f aca="false">IF($E1931="","",IF($P1931="","",IF($P1931&gt;=8,"Alta",IF($P1931&gt;=5,"Média","Baixa"))))</f>
        <v/>
      </c>
      <c r="O1931" s="46" t="str">
        <f aca="false">IF($E1931="","",IF(AND(Parâmetros!$C$5&gt;0,$P1931&lt;&gt;"",$P1931&gt;=Parâmetros!$C$5),"Sim","Não"))</f>
        <v/>
      </c>
      <c r="P1931" s="45" t="str">
        <f aca="false">IF($E1931="","",IF($G1931="","",IF($G1931="NOK",$F1931,0)))</f>
        <v/>
      </c>
      <c r="Q1931" s="46" t="str">
        <f aca="false">IF($E1931="","",IF($O1931&lt;&gt;"Sim","",COUNTIF($O$3:$O1931,"Sim")))</f>
        <v/>
      </c>
      <c r="R1931" s="47" t="n">
        <f aca="false">IF($P1931="",0,$P1931)</f>
        <v>0</v>
      </c>
    </row>
    <row r="1932" customFormat="false" ht="18" hidden="false" customHeight="true" outlineLevel="0" collapsed="false">
      <c r="A1932" s="39"/>
      <c r="B1932" s="41"/>
      <c r="C1932" s="40"/>
      <c r="D1932" s="40"/>
      <c r="E1932" s="40"/>
      <c r="F1932" s="42"/>
      <c r="G1932" s="39"/>
      <c r="H1932" s="40"/>
      <c r="I1932" s="40"/>
      <c r="J1932" s="40"/>
      <c r="K1932" s="41"/>
      <c r="L1932" s="39"/>
      <c r="M1932" s="48" t="str">
        <f aca="false">IF($E1932="","",IFERROR(INDEX(Parâmetros!$C$15:$C$20,MATCH($P1932,Parâmetros!$B$15:$B$20,0)),""))</f>
        <v/>
      </c>
      <c r="N1932" s="46" t="str">
        <f aca="false">IF($E1932="","",IF($P1932="","",IF($P1932&gt;=8,"Alta",IF($P1932&gt;=5,"Média","Baixa"))))</f>
        <v/>
      </c>
      <c r="O1932" s="46" t="str">
        <f aca="false">IF($E1932="","",IF(AND(Parâmetros!$C$5&gt;0,$P1932&lt;&gt;"",$P1932&gt;=Parâmetros!$C$5),"Sim","Não"))</f>
        <v/>
      </c>
      <c r="P1932" s="45" t="str">
        <f aca="false">IF($E1932="","",IF($G1932="","",IF($G1932="NOK",$F1932,0)))</f>
        <v/>
      </c>
      <c r="Q1932" s="46" t="str">
        <f aca="false">IF($E1932="","",IF($O1932&lt;&gt;"Sim","",COUNTIF($O$3:$O1932,"Sim")))</f>
        <v/>
      </c>
      <c r="R1932" s="47" t="n">
        <f aca="false">IF($P1932="",0,$P1932)</f>
        <v>0</v>
      </c>
    </row>
    <row r="1933" customFormat="false" ht="18" hidden="false" customHeight="true" outlineLevel="0" collapsed="false">
      <c r="A1933" s="39"/>
      <c r="B1933" s="41"/>
      <c r="C1933" s="40"/>
      <c r="D1933" s="40"/>
      <c r="E1933" s="40"/>
      <c r="F1933" s="42"/>
      <c r="G1933" s="39"/>
      <c r="H1933" s="40"/>
      <c r="I1933" s="40"/>
      <c r="J1933" s="40"/>
      <c r="K1933" s="41"/>
      <c r="L1933" s="39"/>
      <c r="M1933" s="48" t="str">
        <f aca="false">IF($E1933="","",IFERROR(INDEX(Parâmetros!$C$15:$C$20,MATCH($P1933,Parâmetros!$B$15:$B$20,0)),""))</f>
        <v/>
      </c>
      <c r="N1933" s="46" t="str">
        <f aca="false">IF($E1933="","",IF($P1933="","",IF($P1933&gt;=8,"Alta",IF($P1933&gt;=5,"Média","Baixa"))))</f>
        <v/>
      </c>
      <c r="O1933" s="46" t="str">
        <f aca="false">IF($E1933="","",IF(AND(Parâmetros!$C$5&gt;0,$P1933&lt;&gt;"",$P1933&gt;=Parâmetros!$C$5),"Sim","Não"))</f>
        <v/>
      </c>
      <c r="P1933" s="45" t="str">
        <f aca="false">IF($E1933="","",IF($G1933="","",IF($G1933="NOK",$F1933,0)))</f>
        <v/>
      </c>
      <c r="Q1933" s="46" t="str">
        <f aca="false">IF($E1933="","",IF($O1933&lt;&gt;"Sim","",COUNTIF($O$3:$O1933,"Sim")))</f>
        <v/>
      </c>
      <c r="R1933" s="47" t="n">
        <f aca="false">IF($P1933="",0,$P1933)</f>
        <v>0</v>
      </c>
    </row>
    <row r="1934" customFormat="false" ht="18" hidden="false" customHeight="true" outlineLevel="0" collapsed="false">
      <c r="A1934" s="39"/>
      <c r="B1934" s="41"/>
      <c r="C1934" s="40"/>
      <c r="D1934" s="40"/>
      <c r="E1934" s="40"/>
      <c r="F1934" s="42"/>
      <c r="G1934" s="39"/>
      <c r="H1934" s="40"/>
      <c r="I1934" s="40"/>
      <c r="J1934" s="40"/>
      <c r="K1934" s="41"/>
      <c r="L1934" s="39"/>
      <c r="M1934" s="48" t="str">
        <f aca="false">IF($E1934="","",IFERROR(INDEX(Parâmetros!$C$15:$C$20,MATCH($P1934,Parâmetros!$B$15:$B$20,0)),""))</f>
        <v/>
      </c>
      <c r="N1934" s="46" t="str">
        <f aca="false">IF($E1934="","",IF($P1934="","",IF($P1934&gt;=8,"Alta",IF($P1934&gt;=5,"Média","Baixa"))))</f>
        <v/>
      </c>
      <c r="O1934" s="46" t="str">
        <f aca="false">IF($E1934="","",IF(AND(Parâmetros!$C$5&gt;0,$P1934&lt;&gt;"",$P1934&gt;=Parâmetros!$C$5),"Sim","Não"))</f>
        <v/>
      </c>
      <c r="P1934" s="45" t="str">
        <f aca="false">IF($E1934="","",IF($G1934="","",IF($G1934="NOK",$F1934,0)))</f>
        <v/>
      </c>
      <c r="Q1934" s="46" t="str">
        <f aca="false">IF($E1934="","",IF($O1934&lt;&gt;"Sim","",COUNTIF($O$3:$O1934,"Sim")))</f>
        <v/>
      </c>
      <c r="R1934" s="47" t="n">
        <f aca="false">IF($P1934="",0,$P1934)</f>
        <v>0</v>
      </c>
    </row>
    <row r="1935" customFormat="false" ht="18" hidden="false" customHeight="true" outlineLevel="0" collapsed="false">
      <c r="A1935" s="39"/>
      <c r="B1935" s="41"/>
      <c r="C1935" s="40"/>
      <c r="D1935" s="40"/>
      <c r="E1935" s="40"/>
      <c r="F1935" s="42"/>
      <c r="G1935" s="39"/>
      <c r="H1935" s="40"/>
      <c r="I1935" s="40"/>
      <c r="J1935" s="40"/>
      <c r="K1935" s="41"/>
      <c r="L1935" s="39"/>
      <c r="M1935" s="48" t="str">
        <f aca="false">IF($E1935="","",IFERROR(INDEX(Parâmetros!$C$15:$C$20,MATCH($P1935,Parâmetros!$B$15:$B$20,0)),""))</f>
        <v/>
      </c>
      <c r="N1935" s="46" t="str">
        <f aca="false">IF($E1935="","",IF($P1935="","",IF($P1935&gt;=8,"Alta",IF($P1935&gt;=5,"Média","Baixa"))))</f>
        <v/>
      </c>
      <c r="O1935" s="46" t="str">
        <f aca="false">IF($E1935="","",IF(AND(Parâmetros!$C$5&gt;0,$P1935&lt;&gt;"",$P1935&gt;=Parâmetros!$C$5),"Sim","Não"))</f>
        <v/>
      </c>
      <c r="P1935" s="45" t="str">
        <f aca="false">IF($E1935="","",IF($G1935="","",IF($G1935="NOK",$F1935,0)))</f>
        <v/>
      </c>
      <c r="Q1935" s="46" t="str">
        <f aca="false">IF($E1935="","",IF($O1935&lt;&gt;"Sim","",COUNTIF($O$3:$O1935,"Sim")))</f>
        <v/>
      </c>
      <c r="R1935" s="47" t="n">
        <f aca="false">IF($P1935="",0,$P1935)</f>
        <v>0</v>
      </c>
    </row>
    <row r="1936" customFormat="false" ht="18" hidden="false" customHeight="true" outlineLevel="0" collapsed="false">
      <c r="A1936" s="39"/>
      <c r="B1936" s="41"/>
      <c r="C1936" s="40"/>
      <c r="D1936" s="40"/>
      <c r="E1936" s="40"/>
      <c r="F1936" s="42"/>
      <c r="G1936" s="39"/>
      <c r="H1936" s="40"/>
      <c r="I1936" s="40"/>
      <c r="J1936" s="40"/>
      <c r="K1936" s="41"/>
      <c r="L1936" s="39"/>
      <c r="M1936" s="48" t="str">
        <f aca="false">IF($E1936="","",IFERROR(INDEX(Parâmetros!$C$15:$C$20,MATCH($P1936,Parâmetros!$B$15:$B$20,0)),""))</f>
        <v/>
      </c>
      <c r="N1936" s="46" t="str">
        <f aca="false">IF($E1936="","",IF($P1936="","",IF($P1936&gt;=8,"Alta",IF($P1936&gt;=5,"Média","Baixa"))))</f>
        <v/>
      </c>
      <c r="O1936" s="46" t="str">
        <f aca="false">IF($E1936="","",IF(AND(Parâmetros!$C$5&gt;0,$P1936&lt;&gt;"",$P1936&gt;=Parâmetros!$C$5),"Sim","Não"))</f>
        <v/>
      </c>
      <c r="P1936" s="45" t="str">
        <f aca="false">IF($E1936="","",IF($G1936="","",IF($G1936="NOK",$F1936,0)))</f>
        <v/>
      </c>
      <c r="Q1936" s="46" t="str">
        <f aca="false">IF($E1936="","",IF($O1936&lt;&gt;"Sim","",COUNTIF($O$3:$O1936,"Sim")))</f>
        <v/>
      </c>
      <c r="R1936" s="47" t="n">
        <f aca="false">IF($P1936="",0,$P1936)</f>
        <v>0</v>
      </c>
    </row>
    <row r="1937" customFormat="false" ht="18" hidden="false" customHeight="true" outlineLevel="0" collapsed="false">
      <c r="A1937" s="39"/>
      <c r="B1937" s="41"/>
      <c r="C1937" s="40"/>
      <c r="D1937" s="40"/>
      <c r="E1937" s="40"/>
      <c r="F1937" s="42"/>
      <c r="G1937" s="39"/>
      <c r="H1937" s="40"/>
      <c r="I1937" s="40"/>
      <c r="J1937" s="40"/>
      <c r="K1937" s="41"/>
      <c r="L1937" s="39"/>
      <c r="M1937" s="48" t="str">
        <f aca="false">IF($E1937="","",IFERROR(INDEX(Parâmetros!$C$15:$C$20,MATCH($P1937,Parâmetros!$B$15:$B$20,0)),""))</f>
        <v/>
      </c>
      <c r="N1937" s="46" t="str">
        <f aca="false">IF($E1937="","",IF($P1937="","",IF($P1937&gt;=8,"Alta",IF($P1937&gt;=5,"Média","Baixa"))))</f>
        <v/>
      </c>
      <c r="O1937" s="46" t="str">
        <f aca="false">IF($E1937="","",IF(AND(Parâmetros!$C$5&gt;0,$P1937&lt;&gt;"",$P1937&gt;=Parâmetros!$C$5),"Sim","Não"))</f>
        <v/>
      </c>
      <c r="P1937" s="45" t="str">
        <f aca="false">IF($E1937="","",IF($G1937="","",IF($G1937="NOK",$F1937,0)))</f>
        <v/>
      </c>
      <c r="Q1937" s="46" t="str">
        <f aca="false">IF($E1937="","",IF($O1937&lt;&gt;"Sim","",COUNTIF($O$3:$O1937,"Sim")))</f>
        <v/>
      </c>
      <c r="R1937" s="47" t="n">
        <f aca="false">IF($P1937="",0,$P1937)</f>
        <v>0</v>
      </c>
    </row>
    <row r="1938" customFormat="false" ht="18" hidden="false" customHeight="true" outlineLevel="0" collapsed="false">
      <c r="A1938" s="39"/>
      <c r="B1938" s="41"/>
      <c r="C1938" s="40"/>
      <c r="D1938" s="40"/>
      <c r="E1938" s="40"/>
      <c r="F1938" s="42"/>
      <c r="G1938" s="39"/>
      <c r="H1938" s="40"/>
      <c r="I1938" s="40"/>
      <c r="J1938" s="40"/>
      <c r="K1938" s="41"/>
      <c r="L1938" s="39"/>
      <c r="M1938" s="48" t="str">
        <f aca="false">IF($E1938="","",IFERROR(INDEX(Parâmetros!$C$15:$C$20,MATCH($P1938,Parâmetros!$B$15:$B$20,0)),""))</f>
        <v/>
      </c>
      <c r="N1938" s="46" t="str">
        <f aca="false">IF($E1938="","",IF($P1938="","",IF($P1938&gt;=8,"Alta",IF($P1938&gt;=5,"Média","Baixa"))))</f>
        <v/>
      </c>
      <c r="O1938" s="46" t="str">
        <f aca="false">IF($E1938="","",IF(AND(Parâmetros!$C$5&gt;0,$P1938&lt;&gt;"",$P1938&gt;=Parâmetros!$C$5),"Sim","Não"))</f>
        <v/>
      </c>
      <c r="P1938" s="45" t="str">
        <f aca="false">IF($E1938="","",IF($G1938="","",IF($G1938="NOK",$F1938,0)))</f>
        <v/>
      </c>
      <c r="Q1938" s="46" t="str">
        <f aca="false">IF($E1938="","",IF($O1938&lt;&gt;"Sim","",COUNTIF($O$3:$O1938,"Sim")))</f>
        <v/>
      </c>
      <c r="R1938" s="47" t="n">
        <f aca="false">IF($P1938="",0,$P1938)</f>
        <v>0</v>
      </c>
    </row>
    <row r="1939" customFormat="false" ht="18" hidden="false" customHeight="true" outlineLevel="0" collapsed="false">
      <c r="A1939" s="39"/>
      <c r="B1939" s="41"/>
      <c r="C1939" s="40"/>
      <c r="D1939" s="40"/>
      <c r="E1939" s="40"/>
      <c r="F1939" s="42"/>
      <c r="G1939" s="39"/>
      <c r="H1939" s="40"/>
      <c r="I1939" s="40"/>
      <c r="J1939" s="40"/>
      <c r="K1939" s="41"/>
      <c r="L1939" s="39"/>
      <c r="M1939" s="48" t="str">
        <f aca="false">IF($E1939="","",IFERROR(INDEX(Parâmetros!$C$15:$C$20,MATCH($P1939,Parâmetros!$B$15:$B$20,0)),""))</f>
        <v/>
      </c>
      <c r="N1939" s="46" t="str">
        <f aca="false">IF($E1939="","",IF($P1939="","",IF($P1939&gt;=8,"Alta",IF($P1939&gt;=5,"Média","Baixa"))))</f>
        <v/>
      </c>
      <c r="O1939" s="46" t="str">
        <f aca="false">IF($E1939="","",IF(AND(Parâmetros!$C$5&gt;0,$P1939&lt;&gt;"",$P1939&gt;=Parâmetros!$C$5),"Sim","Não"))</f>
        <v/>
      </c>
      <c r="P1939" s="45" t="str">
        <f aca="false">IF($E1939="","",IF($G1939="","",IF($G1939="NOK",$F1939,0)))</f>
        <v/>
      </c>
      <c r="Q1939" s="46" t="str">
        <f aca="false">IF($E1939="","",IF($O1939&lt;&gt;"Sim","",COUNTIF($O$3:$O1939,"Sim")))</f>
        <v/>
      </c>
      <c r="R1939" s="47" t="n">
        <f aca="false">IF($P1939="",0,$P1939)</f>
        <v>0</v>
      </c>
    </row>
    <row r="1940" customFormat="false" ht="18" hidden="false" customHeight="true" outlineLevel="0" collapsed="false">
      <c r="A1940" s="39"/>
      <c r="B1940" s="41"/>
      <c r="C1940" s="40"/>
      <c r="D1940" s="40"/>
      <c r="E1940" s="40"/>
      <c r="F1940" s="42"/>
      <c r="G1940" s="39"/>
      <c r="H1940" s="40"/>
      <c r="I1940" s="40"/>
      <c r="J1940" s="40"/>
      <c r="K1940" s="41"/>
      <c r="L1940" s="39"/>
      <c r="M1940" s="48" t="str">
        <f aca="false">IF($E1940="","",IFERROR(INDEX(Parâmetros!$C$15:$C$20,MATCH($P1940,Parâmetros!$B$15:$B$20,0)),""))</f>
        <v/>
      </c>
      <c r="N1940" s="46" t="str">
        <f aca="false">IF($E1940="","",IF($P1940="","",IF($P1940&gt;=8,"Alta",IF($P1940&gt;=5,"Média","Baixa"))))</f>
        <v/>
      </c>
      <c r="O1940" s="46" t="str">
        <f aca="false">IF($E1940="","",IF(AND(Parâmetros!$C$5&gt;0,$P1940&lt;&gt;"",$P1940&gt;=Parâmetros!$C$5),"Sim","Não"))</f>
        <v/>
      </c>
      <c r="P1940" s="45" t="str">
        <f aca="false">IF($E1940="","",IF($G1940="","",IF($G1940="NOK",$F1940,0)))</f>
        <v/>
      </c>
      <c r="Q1940" s="46" t="str">
        <f aca="false">IF($E1940="","",IF($O1940&lt;&gt;"Sim","",COUNTIF($O$3:$O1940,"Sim")))</f>
        <v/>
      </c>
      <c r="R1940" s="47" t="n">
        <f aca="false">IF($P1940="",0,$P1940)</f>
        <v>0</v>
      </c>
    </row>
    <row r="1941" customFormat="false" ht="18" hidden="false" customHeight="true" outlineLevel="0" collapsed="false">
      <c r="A1941" s="39"/>
      <c r="B1941" s="41"/>
      <c r="C1941" s="40"/>
      <c r="D1941" s="40"/>
      <c r="E1941" s="40"/>
      <c r="F1941" s="42"/>
      <c r="G1941" s="39"/>
      <c r="H1941" s="40"/>
      <c r="I1941" s="40"/>
      <c r="J1941" s="40"/>
      <c r="K1941" s="41"/>
      <c r="L1941" s="39"/>
      <c r="M1941" s="48" t="str">
        <f aca="false">IF($E1941="","",IFERROR(INDEX(Parâmetros!$C$15:$C$20,MATCH($P1941,Parâmetros!$B$15:$B$20,0)),""))</f>
        <v/>
      </c>
      <c r="N1941" s="46" t="str">
        <f aca="false">IF($E1941="","",IF($P1941="","",IF($P1941&gt;=8,"Alta",IF($P1941&gt;=5,"Média","Baixa"))))</f>
        <v/>
      </c>
      <c r="O1941" s="46" t="str">
        <f aca="false">IF($E1941="","",IF(AND(Parâmetros!$C$5&gt;0,$P1941&lt;&gt;"",$P1941&gt;=Parâmetros!$C$5),"Sim","Não"))</f>
        <v/>
      </c>
      <c r="P1941" s="45" t="str">
        <f aca="false">IF($E1941="","",IF($G1941="","",IF($G1941="NOK",$F1941,0)))</f>
        <v/>
      </c>
      <c r="Q1941" s="46" t="str">
        <f aca="false">IF($E1941="","",IF($O1941&lt;&gt;"Sim","",COUNTIF($O$3:$O1941,"Sim")))</f>
        <v/>
      </c>
      <c r="R1941" s="47" t="n">
        <f aca="false">IF($P1941="",0,$P1941)</f>
        <v>0</v>
      </c>
    </row>
    <row r="1942" customFormat="false" ht="18" hidden="false" customHeight="true" outlineLevel="0" collapsed="false">
      <c r="A1942" s="39"/>
      <c r="B1942" s="41"/>
      <c r="C1942" s="40"/>
      <c r="D1942" s="40"/>
      <c r="E1942" s="40"/>
      <c r="F1942" s="42"/>
      <c r="G1942" s="39"/>
      <c r="H1942" s="40"/>
      <c r="I1942" s="40"/>
      <c r="J1942" s="40"/>
      <c r="K1942" s="41"/>
      <c r="L1942" s="39"/>
      <c r="M1942" s="48" t="str">
        <f aca="false">IF($E1942="","",IFERROR(INDEX(Parâmetros!$C$15:$C$20,MATCH($P1942,Parâmetros!$B$15:$B$20,0)),""))</f>
        <v/>
      </c>
      <c r="N1942" s="46" t="str">
        <f aca="false">IF($E1942="","",IF($P1942="","",IF($P1942&gt;=8,"Alta",IF($P1942&gt;=5,"Média","Baixa"))))</f>
        <v/>
      </c>
      <c r="O1942" s="46" t="str">
        <f aca="false">IF($E1942="","",IF(AND(Parâmetros!$C$5&gt;0,$P1942&lt;&gt;"",$P1942&gt;=Parâmetros!$C$5),"Sim","Não"))</f>
        <v/>
      </c>
      <c r="P1942" s="45" t="str">
        <f aca="false">IF($E1942="","",IF($G1942="","",IF($G1942="NOK",$F1942,0)))</f>
        <v/>
      </c>
      <c r="Q1942" s="46" t="str">
        <f aca="false">IF($E1942="","",IF($O1942&lt;&gt;"Sim","",COUNTIF($O$3:$O1942,"Sim")))</f>
        <v/>
      </c>
      <c r="R1942" s="47" t="n">
        <f aca="false">IF($P1942="",0,$P1942)</f>
        <v>0</v>
      </c>
    </row>
    <row r="1943" customFormat="false" ht="18" hidden="false" customHeight="true" outlineLevel="0" collapsed="false">
      <c r="A1943" s="39"/>
      <c r="B1943" s="41"/>
      <c r="C1943" s="40"/>
      <c r="D1943" s="40"/>
      <c r="E1943" s="40"/>
      <c r="F1943" s="42"/>
      <c r="G1943" s="39"/>
      <c r="H1943" s="40"/>
      <c r="I1943" s="40"/>
      <c r="J1943" s="40"/>
      <c r="K1943" s="41"/>
      <c r="L1943" s="39"/>
      <c r="M1943" s="48" t="str">
        <f aca="false">IF($E1943="","",IFERROR(INDEX(Parâmetros!$C$15:$C$20,MATCH($P1943,Parâmetros!$B$15:$B$20,0)),""))</f>
        <v/>
      </c>
      <c r="N1943" s="46" t="str">
        <f aca="false">IF($E1943="","",IF($P1943="","",IF($P1943&gt;=8,"Alta",IF($P1943&gt;=5,"Média","Baixa"))))</f>
        <v/>
      </c>
      <c r="O1943" s="46" t="str">
        <f aca="false">IF($E1943="","",IF(AND(Parâmetros!$C$5&gt;0,$P1943&lt;&gt;"",$P1943&gt;=Parâmetros!$C$5),"Sim","Não"))</f>
        <v/>
      </c>
      <c r="P1943" s="45" t="str">
        <f aca="false">IF($E1943="","",IF($G1943="","",IF($G1943="NOK",$F1943,0)))</f>
        <v/>
      </c>
      <c r="Q1943" s="46" t="str">
        <f aca="false">IF($E1943="","",IF($O1943&lt;&gt;"Sim","",COUNTIF($O$3:$O1943,"Sim")))</f>
        <v/>
      </c>
      <c r="R1943" s="47" t="n">
        <f aca="false">IF($P1943="",0,$P1943)</f>
        <v>0</v>
      </c>
    </row>
    <row r="1944" customFormat="false" ht="18" hidden="false" customHeight="true" outlineLevel="0" collapsed="false">
      <c r="A1944" s="39"/>
      <c r="B1944" s="41"/>
      <c r="C1944" s="40"/>
      <c r="D1944" s="40"/>
      <c r="E1944" s="40"/>
      <c r="F1944" s="42"/>
      <c r="G1944" s="39"/>
      <c r="H1944" s="40"/>
      <c r="I1944" s="40"/>
      <c r="J1944" s="40"/>
      <c r="K1944" s="41"/>
      <c r="L1944" s="39"/>
      <c r="M1944" s="48" t="str">
        <f aca="false">IF($E1944="","",IFERROR(INDEX(Parâmetros!$C$15:$C$20,MATCH($P1944,Parâmetros!$B$15:$B$20,0)),""))</f>
        <v/>
      </c>
      <c r="N1944" s="46" t="str">
        <f aca="false">IF($E1944="","",IF($P1944="","",IF($P1944&gt;=8,"Alta",IF($P1944&gt;=5,"Média","Baixa"))))</f>
        <v/>
      </c>
      <c r="O1944" s="46" t="str">
        <f aca="false">IF($E1944="","",IF(AND(Parâmetros!$C$5&gt;0,$P1944&lt;&gt;"",$P1944&gt;=Parâmetros!$C$5),"Sim","Não"))</f>
        <v/>
      </c>
      <c r="P1944" s="45" t="str">
        <f aca="false">IF($E1944="","",IF($G1944="","",IF($G1944="NOK",$F1944,0)))</f>
        <v/>
      </c>
      <c r="Q1944" s="46" t="str">
        <f aca="false">IF($E1944="","",IF($O1944&lt;&gt;"Sim","",COUNTIF($O$3:$O1944,"Sim")))</f>
        <v/>
      </c>
      <c r="R1944" s="47" t="n">
        <f aca="false">IF($P1944="",0,$P1944)</f>
        <v>0</v>
      </c>
    </row>
    <row r="1945" customFormat="false" ht="18" hidden="false" customHeight="true" outlineLevel="0" collapsed="false">
      <c r="A1945" s="39"/>
      <c r="B1945" s="41"/>
      <c r="C1945" s="40"/>
      <c r="D1945" s="40"/>
      <c r="E1945" s="40"/>
      <c r="F1945" s="42"/>
      <c r="G1945" s="39"/>
      <c r="H1945" s="40"/>
      <c r="I1945" s="40"/>
      <c r="J1945" s="40"/>
      <c r="K1945" s="41"/>
      <c r="L1945" s="39"/>
      <c r="M1945" s="48" t="str">
        <f aca="false">IF($E1945="","",IFERROR(INDEX(Parâmetros!$C$15:$C$20,MATCH($P1945,Parâmetros!$B$15:$B$20,0)),""))</f>
        <v/>
      </c>
      <c r="N1945" s="46" t="str">
        <f aca="false">IF($E1945="","",IF($P1945="","",IF($P1945&gt;=8,"Alta",IF($P1945&gt;=5,"Média","Baixa"))))</f>
        <v/>
      </c>
      <c r="O1945" s="46" t="str">
        <f aca="false">IF($E1945="","",IF(AND(Parâmetros!$C$5&gt;0,$P1945&lt;&gt;"",$P1945&gt;=Parâmetros!$C$5),"Sim","Não"))</f>
        <v/>
      </c>
      <c r="P1945" s="45" t="str">
        <f aca="false">IF($E1945="","",IF($G1945="","",IF($G1945="NOK",$F1945,0)))</f>
        <v/>
      </c>
      <c r="Q1945" s="46" t="str">
        <f aca="false">IF($E1945="","",IF($O1945&lt;&gt;"Sim","",COUNTIF($O$3:$O1945,"Sim")))</f>
        <v/>
      </c>
      <c r="R1945" s="47" t="n">
        <f aca="false">IF($P1945="",0,$P1945)</f>
        <v>0</v>
      </c>
    </row>
    <row r="1946" customFormat="false" ht="18" hidden="false" customHeight="true" outlineLevel="0" collapsed="false">
      <c r="A1946" s="39"/>
      <c r="B1946" s="41"/>
      <c r="C1946" s="40"/>
      <c r="D1946" s="40"/>
      <c r="E1946" s="40"/>
      <c r="F1946" s="42"/>
      <c r="G1946" s="39"/>
      <c r="H1946" s="40"/>
      <c r="I1946" s="40"/>
      <c r="J1946" s="40"/>
      <c r="K1946" s="41"/>
      <c r="L1946" s="39"/>
      <c r="M1946" s="48" t="str">
        <f aca="false">IF($E1946="","",IFERROR(INDEX(Parâmetros!$C$15:$C$20,MATCH($P1946,Parâmetros!$B$15:$B$20,0)),""))</f>
        <v/>
      </c>
      <c r="N1946" s="46" t="str">
        <f aca="false">IF($E1946="","",IF($P1946="","",IF($P1946&gt;=8,"Alta",IF($P1946&gt;=5,"Média","Baixa"))))</f>
        <v/>
      </c>
      <c r="O1946" s="46" t="str">
        <f aca="false">IF($E1946="","",IF(AND(Parâmetros!$C$5&gt;0,$P1946&lt;&gt;"",$P1946&gt;=Parâmetros!$C$5),"Sim","Não"))</f>
        <v/>
      </c>
      <c r="P1946" s="45" t="str">
        <f aca="false">IF($E1946="","",IF($G1946="","",IF($G1946="NOK",$F1946,0)))</f>
        <v/>
      </c>
      <c r="Q1946" s="46" t="str">
        <f aca="false">IF($E1946="","",IF($O1946&lt;&gt;"Sim","",COUNTIF($O$3:$O1946,"Sim")))</f>
        <v/>
      </c>
      <c r="R1946" s="47" t="n">
        <f aca="false">IF($P1946="",0,$P1946)</f>
        <v>0</v>
      </c>
    </row>
    <row r="1947" customFormat="false" ht="18" hidden="false" customHeight="true" outlineLevel="0" collapsed="false">
      <c r="A1947" s="39"/>
      <c r="B1947" s="41"/>
      <c r="C1947" s="40"/>
      <c r="D1947" s="40"/>
      <c r="E1947" s="40"/>
      <c r="F1947" s="42"/>
      <c r="G1947" s="39"/>
      <c r="H1947" s="40"/>
      <c r="I1947" s="40"/>
      <c r="J1947" s="40"/>
      <c r="K1947" s="41"/>
      <c r="L1947" s="39"/>
      <c r="M1947" s="48" t="str">
        <f aca="false">IF($E1947="","",IFERROR(INDEX(Parâmetros!$C$15:$C$20,MATCH($P1947,Parâmetros!$B$15:$B$20,0)),""))</f>
        <v/>
      </c>
      <c r="N1947" s="46" t="str">
        <f aca="false">IF($E1947="","",IF($P1947="","",IF($P1947&gt;=8,"Alta",IF($P1947&gt;=5,"Média","Baixa"))))</f>
        <v/>
      </c>
      <c r="O1947" s="46" t="str">
        <f aca="false">IF($E1947="","",IF(AND(Parâmetros!$C$5&gt;0,$P1947&lt;&gt;"",$P1947&gt;=Parâmetros!$C$5),"Sim","Não"))</f>
        <v/>
      </c>
      <c r="P1947" s="45" t="str">
        <f aca="false">IF($E1947="","",IF($G1947="","",IF($G1947="NOK",$F1947,0)))</f>
        <v/>
      </c>
      <c r="Q1947" s="46" t="str">
        <f aca="false">IF($E1947="","",IF($O1947&lt;&gt;"Sim","",COUNTIF($O$3:$O1947,"Sim")))</f>
        <v/>
      </c>
      <c r="R1947" s="47" t="n">
        <f aca="false">IF($P1947="",0,$P1947)</f>
        <v>0</v>
      </c>
    </row>
    <row r="1948" customFormat="false" ht="18" hidden="false" customHeight="true" outlineLevel="0" collapsed="false">
      <c r="A1948" s="39"/>
      <c r="B1948" s="41"/>
      <c r="C1948" s="40"/>
      <c r="D1948" s="40"/>
      <c r="E1948" s="40"/>
      <c r="F1948" s="42"/>
      <c r="G1948" s="39"/>
      <c r="H1948" s="40"/>
      <c r="I1948" s="40"/>
      <c r="J1948" s="40"/>
      <c r="K1948" s="41"/>
      <c r="L1948" s="39"/>
      <c r="M1948" s="48" t="str">
        <f aca="false">IF($E1948="","",IFERROR(INDEX(Parâmetros!$C$15:$C$20,MATCH($P1948,Parâmetros!$B$15:$B$20,0)),""))</f>
        <v/>
      </c>
      <c r="N1948" s="46" t="str">
        <f aca="false">IF($E1948="","",IF($P1948="","",IF($P1948&gt;=8,"Alta",IF($P1948&gt;=5,"Média","Baixa"))))</f>
        <v/>
      </c>
      <c r="O1948" s="46" t="str">
        <f aca="false">IF($E1948="","",IF(AND(Parâmetros!$C$5&gt;0,$P1948&lt;&gt;"",$P1948&gt;=Parâmetros!$C$5),"Sim","Não"))</f>
        <v/>
      </c>
      <c r="P1948" s="45" t="str">
        <f aca="false">IF($E1948="","",IF($G1948="","",IF($G1948="NOK",$F1948,0)))</f>
        <v/>
      </c>
      <c r="Q1948" s="46" t="str">
        <f aca="false">IF($E1948="","",IF($O1948&lt;&gt;"Sim","",COUNTIF($O$3:$O1948,"Sim")))</f>
        <v/>
      </c>
      <c r="R1948" s="47" t="n">
        <f aca="false">IF($P1948="",0,$P1948)</f>
        <v>0</v>
      </c>
    </row>
    <row r="1949" customFormat="false" ht="18" hidden="false" customHeight="true" outlineLevel="0" collapsed="false">
      <c r="A1949" s="39"/>
      <c r="B1949" s="41"/>
      <c r="C1949" s="40"/>
      <c r="D1949" s="40"/>
      <c r="E1949" s="40"/>
      <c r="F1949" s="42"/>
      <c r="G1949" s="39"/>
      <c r="H1949" s="40"/>
      <c r="I1949" s="40"/>
      <c r="J1949" s="40"/>
      <c r="K1949" s="41"/>
      <c r="L1949" s="39"/>
      <c r="M1949" s="48" t="str">
        <f aca="false">IF($E1949="","",IFERROR(INDEX(Parâmetros!$C$15:$C$20,MATCH($P1949,Parâmetros!$B$15:$B$20,0)),""))</f>
        <v/>
      </c>
      <c r="N1949" s="46" t="str">
        <f aca="false">IF($E1949="","",IF($P1949="","",IF($P1949&gt;=8,"Alta",IF($P1949&gt;=5,"Média","Baixa"))))</f>
        <v/>
      </c>
      <c r="O1949" s="46" t="str">
        <f aca="false">IF($E1949="","",IF(AND(Parâmetros!$C$5&gt;0,$P1949&lt;&gt;"",$P1949&gt;=Parâmetros!$C$5),"Sim","Não"))</f>
        <v/>
      </c>
      <c r="P1949" s="45" t="str">
        <f aca="false">IF($E1949="","",IF($G1949="","",IF($G1949="NOK",$F1949,0)))</f>
        <v/>
      </c>
      <c r="Q1949" s="46" t="str">
        <f aca="false">IF($E1949="","",IF($O1949&lt;&gt;"Sim","",COUNTIF($O$3:$O1949,"Sim")))</f>
        <v/>
      </c>
      <c r="R1949" s="47" t="n">
        <f aca="false">IF($P1949="",0,$P1949)</f>
        <v>0</v>
      </c>
    </row>
    <row r="1950" customFormat="false" ht="18" hidden="false" customHeight="true" outlineLevel="0" collapsed="false">
      <c r="A1950" s="39"/>
      <c r="B1950" s="41"/>
      <c r="C1950" s="40"/>
      <c r="D1950" s="40"/>
      <c r="E1950" s="40"/>
      <c r="F1950" s="42"/>
      <c r="G1950" s="39"/>
      <c r="H1950" s="40"/>
      <c r="I1950" s="40"/>
      <c r="J1950" s="40"/>
      <c r="K1950" s="41"/>
      <c r="L1950" s="39"/>
      <c r="M1950" s="48" t="str">
        <f aca="false">IF($E1950="","",IFERROR(INDEX(Parâmetros!$C$15:$C$20,MATCH($P1950,Parâmetros!$B$15:$B$20,0)),""))</f>
        <v/>
      </c>
      <c r="N1950" s="46" t="str">
        <f aca="false">IF($E1950="","",IF($P1950="","",IF($P1950&gt;=8,"Alta",IF($P1950&gt;=5,"Média","Baixa"))))</f>
        <v/>
      </c>
      <c r="O1950" s="46" t="str">
        <f aca="false">IF($E1950="","",IF(AND(Parâmetros!$C$5&gt;0,$P1950&lt;&gt;"",$P1950&gt;=Parâmetros!$C$5),"Sim","Não"))</f>
        <v/>
      </c>
      <c r="P1950" s="45" t="str">
        <f aca="false">IF($E1950="","",IF($G1950="","",IF($G1950="NOK",$F1950,0)))</f>
        <v/>
      </c>
      <c r="Q1950" s="46" t="str">
        <f aca="false">IF($E1950="","",IF($O1950&lt;&gt;"Sim","",COUNTIF($O$3:$O1950,"Sim")))</f>
        <v/>
      </c>
      <c r="R1950" s="47" t="n">
        <f aca="false">IF($P1950="",0,$P1950)</f>
        <v>0</v>
      </c>
    </row>
    <row r="1951" customFormat="false" ht="18" hidden="false" customHeight="true" outlineLevel="0" collapsed="false">
      <c r="A1951" s="39"/>
      <c r="B1951" s="41"/>
      <c r="C1951" s="40"/>
      <c r="D1951" s="40"/>
      <c r="E1951" s="40"/>
      <c r="F1951" s="42"/>
      <c r="G1951" s="39"/>
      <c r="H1951" s="40"/>
      <c r="I1951" s="40"/>
      <c r="J1951" s="40"/>
      <c r="K1951" s="41"/>
      <c r="L1951" s="39"/>
      <c r="M1951" s="48" t="str">
        <f aca="false">IF($E1951="","",IFERROR(INDEX(Parâmetros!$C$15:$C$20,MATCH($P1951,Parâmetros!$B$15:$B$20,0)),""))</f>
        <v/>
      </c>
      <c r="N1951" s="46" t="str">
        <f aca="false">IF($E1951="","",IF($P1951="","",IF($P1951&gt;=8,"Alta",IF($P1951&gt;=5,"Média","Baixa"))))</f>
        <v/>
      </c>
      <c r="O1951" s="46" t="str">
        <f aca="false">IF($E1951="","",IF(AND(Parâmetros!$C$5&gt;0,$P1951&lt;&gt;"",$P1951&gt;=Parâmetros!$C$5),"Sim","Não"))</f>
        <v/>
      </c>
      <c r="P1951" s="45" t="str">
        <f aca="false">IF($E1951="","",IF($G1951="","",IF($G1951="NOK",$F1951,0)))</f>
        <v/>
      </c>
      <c r="Q1951" s="46" t="str">
        <f aca="false">IF($E1951="","",IF($O1951&lt;&gt;"Sim","",COUNTIF($O$3:$O1951,"Sim")))</f>
        <v/>
      </c>
      <c r="R1951" s="47" t="n">
        <f aca="false">IF($P1951="",0,$P1951)</f>
        <v>0</v>
      </c>
    </row>
    <row r="1952" customFormat="false" ht="18" hidden="false" customHeight="true" outlineLevel="0" collapsed="false">
      <c r="A1952" s="39"/>
      <c r="B1952" s="41"/>
      <c r="C1952" s="40"/>
      <c r="D1952" s="40"/>
      <c r="E1952" s="40"/>
      <c r="F1952" s="42"/>
      <c r="G1952" s="39"/>
      <c r="H1952" s="40"/>
      <c r="I1952" s="40"/>
      <c r="J1952" s="40"/>
      <c r="K1952" s="41"/>
      <c r="L1952" s="39"/>
      <c r="M1952" s="48" t="str">
        <f aca="false">IF($E1952="","",IFERROR(INDEX(Parâmetros!$C$15:$C$20,MATCH($P1952,Parâmetros!$B$15:$B$20,0)),""))</f>
        <v/>
      </c>
      <c r="N1952" s="46" t="str">
        <f aca="false">IF($E1952="","",IF($P1952="","",IF($P1952&gt;=8,"Alta",IF($P1952&gt;=5,"Média","Baixa"))))</f>
        <v/>
      </c>
      <c r="O1952" s="46" t="str">
        <f aca="false">IF($E1952="","",IF(AND(Parâmetros!$C$5&gt;0,$P1952&lt;&gt;"",$P1952&gt;=Parâmetros!$C$5),"Sim","Não"))</f>
        <v/>
      </c>
      <c r="P1952" s="45" t="str">
        <f aca="false">IF($E1952="","",IF($G1952="","",IF($G1952="NOK",$F1952,0)))</f>
        <v/>
      </c>
      <c r="Q1952" s="46" t="str">
        <f aca="false">IF($E1952="","",IF($O1952&lt;&gt;"Sim","",COUNTIF($O$3:$O1952,"Sim")))</f>
        <v/>
      </c>
      <c r="R1952" s="47" t="n">
        <f aca="false">IF($P1952="",0,$P1952)</f>
        <v>0</v>
      </c>
    </row>
    <row r="1953" customFormat="false" ht="18" hidden="false" customHeight="true" outlineLevel="0" collapsed="false">
      <c r="A1953" s="39"/>
      <c r="B1953" s="41"/>
      <c r="C1953" s="40"/>
      <c r="D1953" s="40"/>
      <c r="E1953" s="40"/>
      <c r="F1953" s="42"/>
      <c r="G1953" s="39"/>
      <c r="H1953" s="40"/>
      <c r="I1953" s="40"/>
      <c r="J1953" s="40"/>
      <c r="K1953" s="41"/>
      <c r="L1953" s="39"/>
      <c r="M1953" s="48" t="str">
        <f aca="false">IF($E1953="","",IFERROR(INDEX(Parâmetros!$C$15:$C$20,MATCH($P1953,Parâmetros!$B$15:$B$20,0)),""))</f>
        <v/>
      </c>
      <c r="N1953" s="46" t="str">
        <f aca="false">IF($E1953="","",IF($P1953="","",IF($P1953&gt;=8,"Alta",IF($P1953&gt;=5,"Média","Baixa"))))</f>
        <v/>
      </c>
      <c r="O1953" s="46" t="str">
        <f aca="false">IF($E1953="","",IF(AND(Parâmetros!$C$5&gt;0,$P1953&lt;&gt;"",$P1953&gt;=Parâmetros!$C$5),"Sim","Não"))</f>
        <v/>
      </c>
      <c r="P1953" s="45" t="str">
        <f aca="false">IF($E1953="","",IF($G1953="","",IF($G1953="NOK",$F1953,0)))</f>
        <v/>
      </c>
      <c r="Q1953" s="46" t="str">
        <f aca="false">IF($E1953="","",IF($O1953&lt;&gt;"Sim","",COUNTIF($O$3:$O1953,"Sim")))</f>
        <v/>
      </c>
      <c r="R1953" s="47" t="n">
        <f aca="false">IF($P1953="",0,$P1953)</f>
        <v>0</v>
      </c>
    </row>
    <row r="1954" customFormat="false" ht="18" hidden="false" customHeight="true" outlineLevel="0" collapsed="false">
      <c r="A1954" s="39"/>
      <c r="B1954" s="41"/>
      <c r="C1954" s="40"/>
      <c r="D1954" s="40"/>
      <c r="E1954" s="40"/>
      <c r="F1954" s="42"/>
      <c r="G1954" s="39"/>
      <c r="H1954" s="40"/>
      <c r="I1954" s="40"/>
      <c r="J1954" s="40"/>
      <c r="K1954" s="41"/>
      <c r="L1954" s="39"/>
      <c r="M1954" s="48" t="str">
        <f aca="false">IF($E1954="","",IFERROR(INDEX(Parâmetros!$C$15:$C$20,MATCH($P1954,Parâmetros!$B$15:$B$20,0)),""))</f>
        <v/>
      </c>
      <c r="N1954" s="46" t="str">
        <f aca="false">IF($E1954="","",IF($P1954="","",IF($P1954&gt;=8,"Alta",IF($P1954&gt;=5,"Média","Baixa"))))</f>
        <v/>
      </c>
      <c r="O1954" s="46" t="str">
        <f aca="false">IF($E1954="","",IF(AND(Parâmetros!$C$5&gt;0,$P1954&lt;&gt;"",$P1954&gt;=Parâmetros!$C$5),"Sim","Não"))</f>
        <v/>
      </c>
      <c r="P1954" s="45" t="str">
        <f aca="false">IF($E1954="","",IF($G1954="","",IF($G1954="NOK",$F1954,0)))</f>
        <v/>
      </c>
      <c r="Q1954" s="46" t="str">
        <f aca="false">IF($E1954="","",IF($O1954&lt;&gt;"Sim","",COUNTIF($O$3:$O1954,"Sim")))</f>
        <v/>
      </c>
      <c r="R1954" s="47" t="n">
        <f aca="false">IF($P1954="",0,$P1954)</f>
        <v>0</v>
      </c>
    </row>
    <row r="1955" customFormat="false" ht="18" hidden="false" customHeight="true" outlineLevel="0" collapsed="false">
      <c r="A1955" s="39"/>
      <c r="B1955" s="41"/>
      <c r="C1955" s="40"/>
      <c r="D1955" s="40"/>
      <c r="E1955" s="40"/>
      <c r="F1955" s="42"/>
      <c r="G1955" s="39"/>
      <c r="H1955" s="40"/>
      <c r="I1955" s="40"/>
      <c r="J1955" s="40"/>
      <c r="K1955" s="41"/>
      <c r="L1955" s="39"/>
      <c r="M1955" s="48" t="str">
        <f aca="false">IF($E1955="","",IFERROR(INDEX(Parâmetros!$C$15:$C$20,MATCH($P1955,Parâmetros!$B$15:$B$20,0)),""))</f>
        <v/>
      </c>
      <c r="N1955" s="46" t="str">
        <f aca="false">IF($E1955="","",IF($P1955="","",IF($P1955&gt;=8,"Alta",IF($P1955&gt;=5,"Média","Baixa"))))</f>
        <v/>
      </c>
      <c r="O1955" s="46" t="str">
        <f aca="false">IF($E1955="","",IF(AND(Parâmetros!$C$5&gt;0,$P1955&lt;&gt;"",$P1955&gt;=Parâmetros!$C$5),"Sim","Não"))</f>
        <v/>
      </c>
      <c r="P1955" s="45" t="str">
        <f aca="false">IF($E1955="","",IF($G1955="","",IF($G1955="NOK",$F1955,0)))</f>
        <v/>
      </c>
      <c r="Q1955" s="46" t="str">
        <f aca="false">IF($E1955="","",IF($O1955&lt;&gt;"Sim","",COUNTIF($O$3:$O1955,"Sim")))</f>
        <v/>
      </c>
      <c r="R1955" s="47" t="n">
        <f aca="false">IF($P1955="",0,$P1955)</f>
        <v>0</v>
      </c>
    </row>
    <row r="1956" customFormat="false" ht="18" hidden="false" customHeight="true" outlineLevel="0" collapsed="false">
      <c r="A1956" s="39"/>
      <c r="B1956" s="41"/>
      <c r="C1956" s="40"/>
      <c r="D1956" s="40"/>
      <c r="E1956" s="40"/>
      <c r="F1956" s="42"/>
      <c r="G1956" s="39"/>
      <c r="H1956" s="40"/>
      <c r="I1956" s="40"/>
      <c r="J1956" s="40"/>
      <c r="K1956" s="41"/>
      <c r="L1956" s="39"/>
      <c r="M1956" s="48" t="str">
        <f aca="false">IF($E1956="","",IFERROR(INDEX(Parâmetros!$C$15:$C$20,MATCH($P1956,Parâmetros!$B$15:$B$20,0)),""))</f>
        <v/>
      </c>
      <c r="N1956" s="46" t="str">
        <f aca="false">IF($E1956="","",IF($P1956="","",IF($P1956&gt;=8,"Alta",IF($P1956&gt;=5,"Média","Baixa"))))</f>
        <v/>
      </c>
      <c r="O1956" s="46" t="str">
        <f aca="false">IF($E1956="","",IF(AND(Parâmetros!$C$5&gt;0,$P1956&lt;&gt;"",$P1956&gt;=Parâmetros!$C$5),"Sim","Não"))</f>
        <v/>
      </c>
      <c r="P1956" s="45" t="str">
        <f aca="false">IF($E1956="","",IF($G1956="","",IF($G1956="NOK",$F1956,0)))</f>
        <v/>
      </c>
      <c r="Q1956" s="46" t="str">
        <f aca="false">IF($E1956="","",IF($O1956&lt;&gt;"Sim","",COUNTIF($O$3:$O1956,"Sim")))</f>
        <v/>
      </c>
      <c r="R1956" s="47" t="n">
        <f aca="false">IF($P1956="",0,$P1956)</f>
        <v>0</v>
      </c>
    </row>
    <row r="1957" customFormat="false" ht="18" hidden="false" customHeight="true" outlineLevel="0" collapsed="false">
      <c r="A1957" s="39"/>
      <c r="B1957" s="41"/>
      <c r="C1957" s="40"/>
      <c r="D1957" s="40"/>
      <c r="E1957" s="40"/>
      <c r="F1957" s="42"/>
      <c r="G1957" s="39"/>
      <c r="H1957" s="40"/>
      <c r="I1957" s="40"/>
      <c r="J1957" s="40"/>
      <c r="K1957" s="41"/>
      <c r="L1957" s="39"/>
      <c r="M1957" s="48" t="str">
        <f aca="false">IF($E1957="","",IFERROR(INDEX(Parâmetros!$C$15:$C$20,MATCH($P1957,Parâmetros!$B$15:$B$20,0)),""))</f>
        <v/>
      </c>
      <c r="N1957" s="46" t="str">
        <f aca="false">IF($E1957="","",IF($P1957="","",IF($P1957&gt;=8,"Alta",IF($P1957&gt;=5,"Média","Baixa"))))</f>
        <v/>
      </c>
      <c r="O1957" s="46" t="str">
        <f aca="false">IF($E1957="","",IF(AND(Parâmetros!$C$5&gt;0,$P1957&lt;&gt;"",$P1957&gt;=Parâmetros!$C$5),"Sim","Não"))</f>
        <v/>
      </c>
      <c r="P1957" s="45" t="str">
        <f aca="false">IF($E1957="","",IF($G1957="","",IF($G1957="NOK",$F1957,0)))</f>
        <v/>
      </c>
      <c r="Q1957" s="46" t="str">
        <f aca="false">IF($E1957="","",IF($O1957&lt;&gt;"Sim","",COUNTIF($O$3:$O1957,"Sim")))</f>
        <v/>
      </c>
      <c r="R1957" s="47" t="n">
        <f aca="false">IF($P1957="",0,$P1957)</f>
        <v>0</v>
      </c>
    </row>
    <row r="1958" customFormat="false" ht="18" hidden="false" customHeight="true" outlineLevel="0" collapsed="false">
      <c r="A1958" s="39"/>
      <c r="B1958" s="41"/>
      <c r="C1958" s="40"/>
      <c r="D1958" s="40"/>
      <c r="E1958" s="40"/>
      <c r="F1958" s="42"/>
      <c r="G1958" s="39"/>
      <c r="H1958" s="40"/>
      <c r="I1958" s="40"/>
      <c r="J1958" s="40"/>
      <c r="K1958" s="41"/>
      <c r="L1958" s="39"/>
      <c r="M1958" s="48" t="str">
        <f aca="false">IF($E1958="","",IFERROR(INDEX(Parâmetros!$C$15:$C$20,MATCH($P1958,Parâmetros!$B$15:$B$20,0)),""))</f>
        <v/>
      </c>
      <c r="N1958" s="46" t="str">
        <f aca="false">IF($E1958="","",IF($P1958="","",IF($P1958&gt;=8,"Alta",IF($P1958&gt;=5,"Média","Baixa"))))</f>
        <v/>
      </c>
      <c r="O1958" s="46" t="str">
        <f aca="false">IF($E1958="","",IF(AND(Parâmetros!$C$5&gt;0,$P1958&lt;&gt;"",$P1958&gt;=Parâmetros!$C$5),"Sim","Não"))</f>
        <v/>
      </c>
      <c r="P1958" s="45" t="str">
        <f aca="false">IF($E1958="","",IF($G1958="","",IF($G1958="NOK",$F1958,0)))</f>
        <v/>
      </c>
      <c r="Q1958" s="46" t="str">
        <f aca="false">IF($E1958="","",IF($O1958&lt;&gt;"Sim","",COUNTIF($O$3:$O1958,"Sim")))</f>
        <v/>
      </c>
      <c r="R1958" s="47" t="n">
        <f aca="false">IF($P1958="",0,$P1958)</f>
        <v>0</v>
      </c>
    </row>
    <row r="1959" customFormat="false" ht="18" hidden="false" customHeight="true" outlineLevel="0" collapsed="false">
      <c r="A1959" s="39"/>
      <c r="B1959" s="41"/>
      <c r="C1959" s="40"/>
      <c r="D1959" s="40"/>
      <c r="E1959" s="40"/>
      <c r="F1959" s="42"/>
      <c r="G1959" s="39"/>
      <c r="H1959" s="40"/>
      <c r="I1959" s="40"/>
      <c r="J1959" s="40"/>
      <c r="K1959" s="41"/>
      <c r="L1959" s="39"/>
      <c r="M1959" s="48" t="str">
        <f aca="false">IF($E1959="","",IFERROR(INDEX(Parâmetros!$C$15:$C$20,MATCH($P1959,Parâmetros!$B$15:$B$20,0)),""))</f>
        <v/>
      </c>
      <c r="N1959" s="46" t="str">
        <f aca="false">IF($E1959="","",IF($P1959="","",IF($P1959&gt;=8,"Alta",IF($P1959&gt;=5,"Média","Baixa"))))</f>
        <v/>
      </c>
      <c r="O1959" s="46" t="str">
        <f aca="false">IF($E1959="","",IF(AND(Parâmetros!$C$5&gt;0,$P1959&lt;&gt;"",$P1959&gt;=Parâmetros!$C$5),"Sim","Não"))</f>
        <v/>
      </c>
      <c r="P1959" s="45" t="str">
        <f aca="false">IF($E1959="","",IF($G1959="","",IF($G1959="NOK",$F1959,0)))</f>
        <v/>
      </c>
      <c r="Q1959" s="46" t="str">
        <f aca="false">IF($E1959="","",IF($O1959&lt;&gt;"Sim","",COUNTIF($O$3:$O1959,"Sim")))</f>
        <v/>
      </c>
      <c r="R1959" s="47" t="n">
        <f aca="false">IF($P1959="",0,$P1959)</f>
        <v>0</v>
      </c>
    </row>
    <row r="1960" customFormat="false" ht="18" hidden="false" customHeight="true" outlineLevel="0" collapsed="false">
      <c r="A1960" s="39"/>
      <c r="B1960" s="41"/>
      <c r="C1960" s="40"/>
      <c r="D1960" s="40"/>
      <c r="E1960" s="40"/>
      <c r="F1960" s="42"/>
      <c r="G1960" s="39"/>
      <c r="H1960" s="40"/>
      <c r="I1960" s="40"/>
      <c r="J1960" s="40"/>
      <c r="K1960" s="41"/>
      <c r="L1960" s="39"/>
      <c r="M1960" s="48" t="str">
        <f aca="false">IF($E1960="","",IFERROR(INDEX(Parâmetros!$C$15:$C$20,MATCH($P1960,Parâmetros!$B$15:$B$20,0)),""))</f>
        <v/>
      </c>
      <c r="N1960" s="46" t="str">
        <f aca="false">IF($E1960="","",IF($P1960="","",IF($P1960&gt;=8,"Alta",IF($P1960&gt;=5,"Média","Baixa"))))</f>
        <v/>
      </c>
      <c r="O1960" s="46" t="str">
        <f aca="false">IF($E1960="","",IF(AND(Parâmetros!$C$5&gt;0,$P1960&lt;&gt;"",$P1960&gt;=Parâmetros!$C$5),"Sim","Não"))</f>
        <v/>
      </c>
      <c r="P1960" s="45" t="str">
        <f aca="false">IF($E1960="","",IF($G1960="","",IF($G1960="NOK",$F1960,0)))</f>
        <v/>
      </c>
      <c r="Q1960" s="46" t="str">
        <f aca="false">IF($E1960="","",IF($O1960&lt;&gt;"Sim","",COUNTIF($O$3:$O1960,"Sim")))</f>
        <v/>
      </c>
      <c r="R1960" s="47" t="n">
        <f aca="false">IF($P1960="",0,$P1960)</f>
        <v>0</v>
      </c>
    </row>
    <row r="1961" customFormat="false" ht="18" hidden="false" customHeight="true" outlineLevel="0" collapsed="false">
      <c r="A1961" s="39"/>
      <c r="B1961" s="41"/>
      <c r="C1961" s="40"/>
      <c r="D1961" s="40"/>
      <c r="E1961" s="40"/>
      <c r="F1961" s="42"/>
      <c r="G1961" s="39"/>
      <c r="H1961" s="40"/>
      <c r="I1961" s="40"/>
      <c r="J1961" s="40"/>
      <c r="K1961" s="41"/>
      <c r="L1961" s="39"/>
      <c r="M1961" s="48" t="str">
        <f aca="false">IF($E1961="","",IFERROR(INDEX(Parâmetros!$C$15:$C$20,MATCH($P1961,Parâmetros!$B$15:$B$20,0)),""))</f>
        <v/>
      </c>
      <c r="N1961" s="46" t="str">
        <f aca="false">IF($E1961="","",IF($P1961="","",IF($P1961&gt;=8,"Alta",IF($P1961&gt;=5,"Média","Baixa"))))</f>
        <v/>
      </c>
      <c r="O1961" s="46" t="str">
        <f aca="false">IF($E1961="","",IF(AND(Parâmetros!$C$5&gt;0,$P1961&lt;&gt;"",$P1961&gt;=Parâmetros!$C$5),"Sim","Não"))</f>
        <v/>
      </c>
      <c r="P1961" s="45" t="str">
        <f aca="false">IF($E1961="","",IF($G1961="","",IF($G1961="NOK",$F1961,0)))</f>
        <v/>
      </c>
      <c r="Q1961" s="46" t="str">
        <f aca="false">IF($E1961="","",IF($O1961&lt;&gt;"Sim","",COUNTIF($O$3:$O1961,"Sim")))</f>
        <v/>
      </c>
      <c r="R1961" s="47" t="n">
        <f aca="false">IF($P1961="",0,$P1961)</f>
        <v>0</v>
      </c>
    </row>
    <row r="1962" customFormat="false" ht="18" hidden="false" customHeight="true" outlineLevel="0" collapsed="false">
      <c r="A1962" s="39"/>
      <c r="B1962" s="41"/>
      <c r="C1962" s="40"/>
      <c r="D1962" s="40"/>
      <c r="E1962" s="40"/>
      <c r="F1962" s="42"/>
      <c r="G1962" s="39"/>
      <c r="H1962" s="40"/>
      <c r="I1962" s="40"/>
      <c r="J1962" s="40"/>
      <c r="K1962" s="41"/>
      <c r="L1962" s="39"/>
      <c r="M1962" s="48" t="str">
        <f aca="false">IF($E1962="","",IFERROR(INDEX(Parâmetros!$C$15:$C$20,MATCH($P1962,Parâmetros!$B$15:$B$20,0)),""))</f>
        <v/>
      </c>
      <c r="N1962" s="46" t="str">
        <f aca="false">IF($E1962="","",IF($P1962="","",IF($P1962&gt;=8,"Alta",IF($P1962&gt;=5,"Média","Baixa"))))</f>
        <v/>
      </c>
      <c r="O1962" s="46" t="str">
        <f aca="false">IF($E1962="","",IF(AND(Parâmetros!$C$5&gt;0,$P1962&lt;&gt;"",$P1962&gt;=Parâmetros!$C$5),"Sim","Não"))</f>
        <v/>
      </c>
      <c r="P1962" s="45" t="str">
        <f aca="false">IF($E1962="","",IF($G1962="","",IF($G1962="NOK",$F1962,0)))</f>
        <v/>
      </c>
      <c r="Q1962" s="46" t="str">
        <f aca="false">IF($E1962="","",IF($O1962&lt;&gt;"Sim","",COUNTIF($O$3:$O1962,"Sim")))</f>
        <v/>
      </c>
      <c r="R1962" s="47" t="n">
        <f aca="false">IF($P1962="",0,$P1962)</f>
        <v>0</v>
      </c>
    </row>
    <row r="1963" customFormat="false" ht="18" hidden="false" customHeight="true" outlineLevel="0" collapsed="false">
      <c r="A1963" s="39"/>
      <c r="B1963" s="41"/>
      <c r="C1963" s="40"/>
      <c r="D1963" s="40"/>
      <c r="E1963" s="40"/>
      <c r="F1963" s="42"/>
      <c r="G1963" s="39"/>
      <c r="H1963" s="40"/>
      <c r="I1963" s="40"/>
      <c r="J1963" s="40"/>
      <c r="K1963" s="41"/>
      <c r="L1963" s="39"/>
      <c r="M1963" s="48" t="str">
        <f aca="false">IF($E1963="","",IFERROR(INDEX(Parâmetros!$C$15:$C$20,MATCH($P1963,Parâmetros!$B$15:$B$20,0)),""))</f>
        <v/>
      </c>
      <c r="N1963" s="46" t="str">
        <f aca="false">IF($E1963="","",IF($P1963="","",IF($P1963&gt;=8,"Alta",IF($P1963&gt;=5,"Média","Baixa"))))</f>
        <v/>
      </c>
      <c r="O1963" s="46" t="str">
        <f aca="false">IF($E1963="","",IF(AND(Parâmetros!$C$5&gt;0,$P1963&lt;&gt;"",$P1963&gt;=Parâmetros!$C$5),"Sim","Não"))</f>
        <v/>
      </c>
      <c r="P1963" s="45" t="str">
        <f aca="false">IF($E1963="","",IF($G1963="","",IF($G1963="NOK",$F1963,0)))</f>
        <v/>
      </c>
      <c r="Q1963" s="46" t="str">
        <f aca="false">IF($E1963="","",IF($O1963&lt;&gt;"Sim","",COUNTIF($O$3:$O1963,"Sim")))</f>
        <v/>
      </c>
      <c r="R1963" s="47" t="n">
        <f aca="false">IF($P1963="",0,$P1963)</f>
        <v>0</v>
      </c>
    </row>
    <row r="1964" customFormat="false" ht="18" hidden="false" customHeight="true" outlineLevel="0" collapsed="false">
      <c r="A1964" s="39"/>
      <c r="B1964" s="41"/>
      <c r="C1964" s="40"/>
      <c r="D1964" s="40"/>
      <c r="E1964" s="40"/>
      <c r="F1964" s="42"/>
      <c r="G1964" s="39"/>
      <c r="H1964" s="40"/>
      <c r="I1964" s="40"/>
      <c r="J1964" s="40"/>
      <c r="K1964" s="41"/>
      <c r="L1964" s="39"/>
      <c r="M1964" s="48" t="str">
        <f aca="false">IF($E1964="","",IFERROR(INDEX(Parâmetros!$C$15:$C$20,MATCH($P1964,Parâmetros!$B$15:$B$20,0)),""))</f>
        <v/>
      </c>
      <c r="N1964" s="46" t="str">
        <f aca="false">IF($E1964="","",IF($P1964="","",IF($P1964&gt;=8,"Alta",IF($P1964&gt;=5,"Média","Baixa"))))</f>
        <v/>
      </c>
      <c r="O1964" s="46" t="str">
        <f aca="false">IF($E1964="","",IF(AND(Parâmetros!$C$5&gt;0,$P1964&lt;&gt;"",$P1964&gt;=Parâmetros!$C$5),"Sim","Não"))</f>
        <v/>
      </c>
      <c r="P1964" s="45" t="str">
        <f aca="false">IF($E1964="","",IF($G1964="","",IF($G1964="NOK",$F1964,0)))</f>
        <v/>
      </c>
      <c r="Q1964" s="46" t="str">
        <f aca="false">IF($E1964="","",IF($O1964&lt;&gt;"Sim","",COUNTIF($O$3:$O1964,"Sim")))</f>
        <v/>
      </c>
      <c r="R1964" s="47" t="n">
        <f aca="false">IF($P1964="",0,$P1964)</f>
        <v>0</v>
      </c>
    </row>
    <row r="1965" customFormat="false" ht="18" hidden="false" customHeight="true" outlineLevel="0" collapsed="false">
      <c r="A1965" s="39"/>
      <c r="B1965" s="41"/>
      <c r="C1965" s="40"/>
      <c r="D1965" s="40"/>
      <c r="E1965" s="40"/>
      <c r="F1965" s="42"/>
      <c r="G1965" s="39"/>
      <c r="H1965" s="40"/>
      <c r="I1965" s="40"/>
      <c r="J1965" s="40"/>
      <c r="K1965" s="41"/>
      <c r="L1965" s="39"/>
      <c r="M1965" s="48" t="str">
        <f aca="false">IF($E1965="","",IFERROR(INDEX(Parâmetros!$C$15:$C$20,MATCH($P1965,Parâmetros!$B$15:$B$20,0)),""))</f>
        <v/>
      </c>
      <c r="N1965" s="46" t="str">
        <f aca="false">IF($E1965="","",IF($P1965="","",IF($P1965&gt;=8,"Alta",IF($P1965&gt;=5,"Média","Baixa"))))</f>
        <v/>
      </c>
      <c r="O1965" s="46" t="str">
        <f aca="false">IF($E1965="","",IF(AND(Parâmetros!$C$5&gt;0,$P1965&lt;&gt;"",$P1965&gt;=Parâmetros!$C$5),"Sim","Não"))</f>
        <v/>
      </c>
      <c r="P1965" s="45" t="str">
        <f aca="false">IF($E1965="","",IF($G1965="","",IF($G1965="NOK",$F1965,0)))</f>
        <v/>
      </c>
      <c r="Q1965" s="46" t="str">
        <f aca="false">IF($E1965="","",IF($O1965&lt;&gt;"Sim","",COUNTIF($O$3:$O1965,"Sim")))</f>
        <v/>
      </c>
      <c r="R1965" s="47" t="n">
        <f aca="false">IF($P1965="",0,$P1965)</f>
        <v>0</v>
      </c>
    </row>
    <row r="1966" customFormat="false" ht="18" hidden="false" customHeight="true" outlineLevel="0" collapsed="false">
      <c r="A1966" s="39"/>
      <c r="B1966" s="41"/>
      <c r="C1966" s="40"/>
      <c r="D1966" s="40"/>
      <c r="E1966" s="40"/>
      <c r="F1966" s="42"/>
      <c r="G1966" s="39"/>
      <c r="H1966" s="40"/>
      <c r="I1966" s="40"/>
      <c r="J1966" s="40"/>
      <c r="K1966" s="41"/>
      <c r="L1966" s="39"/>
      <c r="M1966" s="48" t="str">
        <f aca="false">IF($E1966="","",IFERROR(INDEX(Parâmetros!$C$15:$C$20,MATCH($P1966,Parâmetros!$B$15:$B$20,0)),""))</f>
        <v/>
      </c>
      <c r="N1966" s="46" t="str">
        <f aca="false">IF($E1966="","",IF($P1966="","",IF($P1966&gt;=8,"Alta",IF($P1966&gt;=5,"Média","Baixa"))))</f>
        <v/>
      </c>
      <c r="O1966" s="46" t="str">
        <f aca="false">IF($E1966="","",IF(AND(Parâmetros!$C$5&gt;0,$P1966&lt;&gt;"",$P1966&gt;=Parâmetros!$C$5),"Sim","Não"))</f>
        <v/>
      </c>
      <c r="P1966" s="45" t="str">
        <f aca="false">IF($E1966="","",IF($G1966="","",IF($G1966="NOK",$F1966,0)))</f>
        <v/>
      </c>
      <c r="Q1966" s="46" t="str">
        <f aca="false">IF($E1966="","",IF($O1966&lt;&gt;"Sim","",COUNTIF($O$3:$O1966,"Sim")))</f>
        <v/>
      </c>
      <c r="R1966" s="47" t="n">
        <f aca="false">IF($P1966="",0,$P1966)</f>
        <v>0</v>
      </c>
    </row>
    <row r="1967" customFormat="false" ht="18" hidden="false" customHeight="true" outlineLevel="0" collapsed="false">
      <c r="A1967" s="39"/>
      <c r="B1967" s="41"/>
      <c r="C1967" s="40"/>
      <c r="D1967" s="40"/>
      <c r="E1967" s="40"/>
      <c r="F1967" s="42"/>
      <c r="G1967" s="39"/>
      <c r="H1967" s="40"/>
      <c r="I1967" s="40"/>
      <c r="J1967" s="40"/>
      <c r="K1967" s="41"/>
      <c r="L1967" s="39"/>
      <c r="M1967" s="48" t="str">
        <f aca="false">IF($E1967="","",IFERROR(INDEX(Parâmetros!$C$15:$C$20,MATCH($P1967,Parâmetros!$B$15:$B$20,0)),""))</f>
        <v/>
      </c>
      <c r="N1967" s="46" t="str">
        <f aca="false">IF($E1967="","",IF($P1967="","",IF($P1967&gt;=8,"Alta",IF($P1967&gt;=5,"Média","Baixa"))))</f>
        <v/>
      </c>
      <c r="O1967" s="46" t="str">
        <f aca="false">IF($E1967="","",IF(AND(Parâmetros!$C$5&gt;0,$P1967&lt;&gt;"",$P1967&gt;=Parâmetros!$C$5),"Sim","Não"))</f>
        <v/>
      </c>
      <c r="P1967" s="45" t="str">
        <f aca="false">IF($E1967="","",IF($G1967="","",IF($G1967="NOK",$F1967,0)))</f>
        <v/>
      </c>
      <c r="Q1967" s="46" t="str">
        <f aca="false">IF($E1967="","",IF($O1967&lt;&gt;"Sim","",COUNTIF($O$3:$O1967,"Sim")))</f>
        <v/>
      </c>
      <c r="R1967" s="47" t="n">
        <f aca="false">IF($P1967="",0,$P1967)</f>
        <v>0</v>
      </c>
    </row>
    <row r="1968" customFormat="false" ht="18" hidden="false" customHeight="true" outlineLevel="0" collapsed="false">
      <c r="A1968" s="39"/>
      <c r="B1968" s="41"/>
      <c r="C1968" s="40"/>
      <c r="D1968" s="40"/>
      <c r="E1968" s="40"/>
      <c r="F1968" s="42"/>
      <c r="G1968" s="39"/>
      <c r="H1968" s="40"/>
      <c r="I1968" s="40"/>
      <c r="J1968" s="40"/>
      <c r="K1968" s="41"/>
      <c r="L1968" s="39"/>
      <c r="M1968" s="48" t="str">
        <f aca="false">IF($E1968="","",IFERROR(INDEX(Parâmetros!$C$15:$C$20,MATCH($P1968,Parâmetros!$B$15:$B$20,0)),""))</f>
        <v/>
      </c>
      <c r="N1968" s="46" t="str">
        <f aca="false">IF($E1968="","",IF($P1968="","",IF($P1968&gt;=8,"Alta",IF($P1968&gt;=5,"Média","Baixa"))))</f>
        <v/>
      </c>
      <c r="O1968" s="46" t="str">
        <f aca="false">IF($E1968="","",IF(AND(Parâmetros!$C$5&gt;0,$P1968&lt;&gt;"",$P1968&gt;=Parâmetros!$C$5),"Sim","Não"))</f>
        <v/>
      </c>
      <c r="P1968" s="45" t="str">
        <f aca="false">IF($E1968="","",IF($G1968="","",IF($G1968="NOK",$F1968,0)))</f>
        <v/>
      </c>
      <c r="Q1968" s="46" t="str">
        <f aca="false">IF($E1968="","",IF($O1968&lt;&gt;"Sim","",COUNTIF($O$3:$O1968,"Sim")))</f>
        <v/>
      </c>
      <c r="R1968" s="47" t="n">
        <f aca="false">IF($P1968="",0,$P1968)</f>
        <v>0</v>
      </c>
    </row>
    <row r="1969" customFormat="false" ht="18" hidden="false" customHeight="true" outlineLevel="0" collapsed="false">
      <c r="A1969" s="39"/>
      <c r="B1969" s="41"/>
      <c r="C1969" s="40"/>
      <c r="D1969" s="40"/>
      <c r="E1969" s="40"/>
      <c r="F1969" s="42"/>
      <c r="G1969" s="39"/>
      <c r="H1969" s="40"/>
      <c r="I1969" s="40"/>
      <c r="J1969" s="40"/>
      <c r="K1969" s="41"/>
      <c r="L1969" s="39"/>
      <c r="M1969" s="48" t="str">
        <f aca="false">IF($E1969="","",IFERROR(INDEX(Parâmetros!$C$15:$C$20,MATCH($P1969,Parâmetros!$B$15:$B$20,0)),""))</f>
        <v/>
      </c>
      <c r="N1969" s="46" t="str">
        <f aca="false">IF($E1969="","",IF($P1969="","",IF($P1969&gt;=8,"Alta",IF($P1969&gt;=5,"Média","Baixa"))))</f>
        <v/>
      </c>
      <c r="O1969" s="46" t="str">
        <f aca="false">IF($E1969="","",IF(AND(Parâmetros!$C$5&gt;0,$P1969&lt;&gt;"",$P1969&gt;=Parâmetros!$C$5),"Sim","Não"))</f>
        <v/>
      </c>
      <c r="P1969" s="45" t="str">
        <f aca="false">IF($E1969="","",IF($G1969="","",IF($G1969="NOK",$F1969,0)))</f>
        <v/>
      </c>
      <c r="Q1969" s="46" t="str">
        <f aca="false">IF($E1969="","",IF($O1969&lt;&gt;"Sim","",COUNTIF($O$3:$O1969,"Sim")))</f>
        <v/>
      </c>
      <c r="R1969" s="47" t="n">
        <f aca="false">IF($P1969="",0,$P1969)</f>
        <v>0</v>
      </c>
    </row>
    <row r="1970" customFormat="false" ht="18" hidden="false" customHeight="true" outlineLevel="0" collapsed="false">
      <c r="A1970" s="39"/>
      <c r="B1970" s="41"/>
      <c r="C1970" s="40"/>
      <c r="D1970" s="40"/>
      <c r="E1970" s="40"/>
      <c r="F1970" s="42"/>
      <c r="G1970" s="39"/>
      <c r="H1970" s="40"/>
      <c r="I1970" s="40"/>
      <c r="J1970" s="40"/>
      <c r="K1970" s="41"/>
      <c r="L1970" s="39"/>
      <c r="M1970" s="48" t="str">
        <f aca="false">IF($E1970="","",IFERROR(INDEX(Parâmetros!$C$15:$C$20,MATCH($P1970,Parâmetros!$B$15:$B$20,0)),""))</f>
        <v/>
      </c>
      <c r="N1970" s="46" t="str">
        <f aca="false">IF($E1970="","",IF($P1970="","",IF($P1970&gt;=8,"Alta",IF($P1970&gt;=5,"Média","Baixa"))))</f>
        <v/>
      </c>
      <c r="O1970" s="46" t="str">
        <f aca="false">IF($E1970="","",IF(AND(Parâmetros!$C$5&gt;0,$P1970&lt;&gt;"",$P1970&gt;=Parâmetros!$C$5),"Sim","Não"))</f>
        <v/>
      </c>
      <c r="P1970" s="45" t="str">
        <f aca="false">IF($E1970="","",IF($G1970="","",IF($G1970="NOK",$F1970,0)))</f>
        <v/>
      </c>
      <c r="Q1970" s="46" t="str">
        <f aca="false">IF($E1970="","",IF($O1970&lt;&gt;"Sim","",COUNTIF($O$3:$O1970,"Sim")))</f>
        <v/>
      </c>
      <c r="R1970" s="47" t="n">
        <f aca="false">IF($P1970="",0,$P1970)</f>
        <v>0</v>
      </c>
    </row>
    <row r="1971" customFormat="false" ht="18" hidden="false" customHeight="true" outlineLevel="0" collapsed="false">
      <c r="A1971" s="39"/>
      <c r="B1971" s="41"/>
      <c r="C1971" s="40"/>
      <c r="D1971" s="40"/>
      <c r="E1971" s="40"/>
      <c r="F1971" s="42"/>
      <c r="G1971" s="39"/>
      <c r="H1971" s="40"/>
      <c r="I1971" s="40"/>
      <c r="J1971" s="40"/>
      <c r="K1971" s="41"/>
      <c r="L1971" s="39"/>
      <c r="M1971" s="48" t="str">
        <f aca="false">IF($E1971="","",IFERROR(INDEX(Parâmetros!$C$15:$C$20,MATCH($P1971,Parâmetros!$B$15:$B$20,0)),""))</f>
        <v/>
      </c>
      <c r="N1971" s="46" t="str">
        <f aca="false">IF($E1971="","",IF($P1971="","",IF($P1971&gt;=8,"Alta",IF($P1971&gt;=5,"Média","Baixa"))))</f>
        <v/>
      </c>
      <c r="O1971" s="46" t="str">
        <f aca="false">IF($E1971="","",IF(AND(Parâmetros!$C$5&gt;0,$P1971&lt;&gt;"",$P1971&gt;=Parâmetros!$C$5),"Sim","Não"))</f>
        <v/>
      </c>
      <c r="P1971" s="45" t="str">
        <f aca="false">IF($E1971="","",IF($G1971="","",IF($G1971="NOK",$F1971,0)))</f>
        <v/>
      </c>
      <c r="Q1971" s="46" t="str">
        <f aca="false">IF($E1971="","",IF($O1971&lt;&gt;"Sim","",COUNTIF($O$3:$O1971,"Sim")))</f>
        <v/>
      </c>
      <c r="R1971" s="47" t="n">
        <f aca="false">IF($P1971="",0,$P1971)</f>
        <v>0</v>
      </c>
    </row>
    <row r="1972" customFormat="false" ht="18" hidden="false" customHeight="true" outlineLevel="0" collapsed="false">
      <c r="A1972" s="39"/>
      <c r="B1972" s="41"/>
      <c r="C1972" s="40"/>
      <c r="D1972" s="40"/>
      <c r="E1972" s="40"/>
      <c r="F1972" s="42"/>
      <c r="G1972" s="39"/>
      <c r="H1972" s="40"/>
      <c r="I1972" s="40"/>
      <c r="J1972" s="40"/>
      <c r="K1972" s="41"/>
      <c r="L1972" s="39"/>
      <c r="M1972" s="48" t="str">
        <f aca="false">IF($E1972="","",IFERROR(INDEX(Parâmetros!$C$15:$C$20,MATCH($P1972,Parâmetros!$B$15:$B$20,0)),""))</f>
        <v/>
      </c>
      <c r="N1972" s="46" t="str">
        <f aca="false">IF($E1972="","",IF($P1972="","",IF($P1972&gt;=8,"Alta",IF($P1972&gt;=5,"Média","Baixa"))))</f>
        <v/>
      </c>
      <c r="O1972" s="46" t="str">
        <f aca="false">IF($E1972="","",IF(AND(Parâmetros!$C$5&gt;0,$P1972&lt;&gt;"",$P1972&gt;=Parâmetros!$C$5),"Sim","Não"))</f>
        <v/>
      </c>
      <c r="P1972" s="45" t="str">
        <f aca="false">IF($E1972="","",IF($G1972="","",IF($G1972="NOK",$F1972,0)))</f>
        <v/>
      </c>
      <c r="Q1972" s="46" t="str">
        <f aca="false">IF($E1972="","",IF($O1972&lt;&gt;"Sim","",COUNTIF($O$3:$O1972,"Sim")))</f>
        <v/>
      </c>
      <c r="R1972" s="47" t="n">
        <f aca="false">IF($P1972="",0,$P1972)</f>
        <v>0</v>
      </c>
    </row>
    <row r="1973" customFormat="false" ht="18" hidden="false" customHeight="true" outlineLevel="0" collapsed="false">
      <c r="A1973" s="39"/>
      <c r="B1973" s="41"/>
      <c r="C1973" s="40"/>
      <c r="D1973" s="40"/>
      <c r="E1973" s="40"/>
      <c r="F1973" s="42"/>
      <c r="G1973" s="39"/>
      <c r="H1973" s="40"/>
      <c r="I1973" s="40"/>
      <c r="J1973" s="40"/>
      <c r="K1973" s="41"/>
      <c r="L1973" s="39"/>
      <c r="M1973" s="48" t="str">
        <f aca="false">IF($E1973="","",IFERROR(INDEX(Parâmetros!$C$15:$C$20,MATCH($P1973,Parâmetros!$B$15:$B$20,0)),""))</f>
        <v/>
      </c>
      <c r="N1973" s="46" t="str">
        <f aca="false">IF($E1973="","",IF($P1973="","",IF($P1973&gt;=8,"Alta",IF($P1973&gt;=5,"Média","Baixa"))))</f>
        <v/>
      </c>
      <c r="O1973" s="46" t="str">
        <f aca="false">IF($E1973="","",IF(AND(Parâmetros!$C$5&gt;0,$P1973&lt;&gt;"",$P1973&gt;=Parâmetros!$C$5),"Sim","Não"))</f>
        <v/>
      </c>
      <c r="P1973" s="45" t="str">
        <f aca="false">IF($E1973="","",IF($G1973="","",IF($G1973="NOK",$F1973,0)))</f>
        <v/>
      </c>
      <c r="Q1973" s="46" t="str">
        <f aca="false">IF($E1973="","",IF($O1973&lt;&gt;"Sim","",COUNTIF($O$3:$O1973,"Sim")))</f>
        <v/>
      </c>
      <c r="R1973" s="47" t="n">
        <f aca="false">IF($P1973="",0,$P1973)</f>
        <v>0</v>
      </c>
    </row>
    <row r="1974" customFormat="false" ht="18" hidden="false" customHeight="true" outlineLevel="0" collapsed="false">
      <c r="A1974" s="39"/>
      <c r="B1974" s="41"/>
      <c r="C1974" s="40"/>
      <c r="D1974" s="40"/>
      <c r="E1974" s="40"/>
      <c r="F1974" s="42"/>
      <c r="G1974" s="39"/>
      <c r="H1974" s="40"/>
      <c r="I1974" s="40"/>
      <c r="J1974" s="40"/>
      <c r="K1974" s="41"/>
      <c r="L1974" s="39"/>
      <c r="M1974" s="48" t="str">
        <f aca="false">IF($E1974="","",IFERROR(INDEX(Parâmetros!$C$15:$C$20,MATCH($P1974,Parâmetros!$B$15:$B$20,0)),""))</f>
        <v/>
      </c>
      <c r="N1974" s="46" t="str">
        <f aca="false">IF($E1974="","",IF($P1974="","",IF($P1974&gt;=8,"Alta",IF($P1974&gt;=5,"Média","Baixa"))))</f>
        <v/>
      </c>
      <c r="O1974" s="46" t="str">
        <f aca="false">IF($E1974="","",IF(AND(Parâmetros!$C$5&gt;0,$P1974&lt;&gt;"",$P1974&gt;=Parâmetros!$C$5),"Sim","Não"))</f>
        <v/>
      </c>
      <c r="P1974" s="45" t="str">
        <f aca="false">IF($E1974="","",IF($G1974="","",IF($G1974="NOK",$F1974,0)))</f>
        <v/>
      </c>
      <c r="Q1974" s="46" t="str">
        <f aca="false">IF($E1974="","",IF($O1974&lt;&gt;"Sim","",COUNTIF($O$3:$O1974,"Sim")))</f>
        <v/>
      </c>
      <c r="R1974" s="47" t="n">
        <f aca="false">IF($P1974="",0,$P1974)</f>
        <v>0</v>
      </c>
    </row>
    <row r="1975" customFormat="false" ht="18" hidden="false" customHeight="true" outlineLevel="0" collapsed="false">
      <c r="A1975" s="39"/>
      <c r="B1975" s="41"/>
      <c r="C1975" s="40"/>
      <c r="D1975" s="40"/>
      <c r="E1975" s="40"/>
      <c r="F1975" s="42"/>
      <c r="G1975" s="39"/>
      <c r="H1975" s="40"/>
      <c r="I1975" s="40"/>
      <c r="J1975" s="40"/>
      <c r="K1975" s="41"/>
      <c r="L1975" s="39"/>
      <c r="M1975" s="48" t="str">
        <f aca="false">IF($E1975="","",IFERROR(INDEX(Parâmetros!$C$15:$C$20,MATCH($P1975,Parâmetros!$B$15:$B$20,0)),""))</f>
        <v/>
      </c>
      <c r="N1975" s="46" t="str">
        <f aca="false">IF($E1975="","",IF($P1975="","",IF($P1975&gt;=8,"Alta",IF($P1975&gt;=5,"Média","Baixa"))))</f>
        <v/>
      </c>
      <c r="O1975" s="46" t="str">
        <f aca="false">IF($E1975="","",IF(AND(Parâmetros!$C$5&gt;0,$P1975&lt;&gt;"",$P1975&gt;=Parâmetros!$C$5),"Sim","Não"))</f>
        <v/>
      </c>
      <c r="P1975" s="45" t="str">
        <f aca="false">IF($E1975="","",IF($G1975="","",IF($G1975="NOK",$F1975,0)))</f>
        <v/>
      </c>
      <c r="Q1975" s="46" t="str">
        <f aca="false">IF($E1975="","",IF($O1975&lt;&gt;"Sim","",COUNTIF($O$3:$O1975,"Sim")))</f>
        <v/>
      </c>
      <c r="R1975" s="47" t="n">
        <f aca="false">IF($P1975="",0,$P1975)</f>
        <v>0</v>
      </c>
    </row>
    <row r="1976" customFormat="false" ht="18" hidden="false" customHeight="true" outlineLevel="0" collapsed="false">
      <c r="A1976" s="39"/>
      <c r="B1976" s="41"/>
      <c r="C1976" s="40"/>
      <c r="D1976" s="40"/>
      <c r="E1976" s="40"/>
      <c r="F1976" s="42"/>
      <c r="G1976" s="39"/>
      <c r="H1976" s="40"/>
      <c r="I1976" s="40"/>
      <c r="J1976" s="40"/>
      <c r="K1976" s="41"/>
      <c r="L1976" s="39"/>
      <c r="M1976" s="48" t="str">
        <f aca="false">IF($E1976="","",IFERROR(INDEX(Parâmetros!$C$15:$C$20,MATCH($P1976,Parâmetros!$B$15:$B$20,0)),""))</f>
        <v/>
      </c>
      <c r="N1976" s="46" t="str">
        <f aca="false">IF($E1976="","",IF($P1976="","",IF($P1976&gt;=8,"Alta",IF($P1976&gt;=5,"Média","Baixa"))))</f>
        <v/>
      </c>
      <c r="O1976" s="46" t="str">
        <f aca="false">IF($E1976="","",IF(AND(Parâmetros!$C$5&gt;0,$P1976&lt;&gt;"",$P1976&gt;=Parâmetros!$C$5),"Sim","Não"))</f>
        <v/>
      </c>
      <c r="P1976" s="45" t="str">
        <f aca="false">IF($E1976="","",IF($G1976="","",IF($G1976="NOK",$F1976,0)))</f>
        <v/>
      </c>
      <c r="Q1976" s="46" t="str">
        <f aca="false">IF($E1976="","",IF($O1976&lt;&gt;"Sim","",COUNTIF($O$3:$O1976,"Sim")))</f>
        <v/>
      </c>
      <c r="R1976" s="47" t="n">
        <f aca="false">IF($P1976="",0,$P1976)</f>
        <v>0</v>
      </c>
    </row>
    <row r="1977" customFormat="false" ht="18" hidden="false" customHeight="true" outlineLevel="0" collapsed="false">
      <c r="A1977" s="39"/>
      <c r="B1977" s="41"/>
      <c r="C1977" s="40"/>
      <c r="D1977" s="40"/>
      <c r="E1977" s="40"/>
      <c r="F1977" s="42"/>
      <c r="G1977" s="39"/>
      <c r="H1977" s="40"/>
      <c r="I1977" s="40"/>
      <c r="J1977" s="40"/>
      <c r="K1977" s="41"/>
      <c r="L1977" s="39"/>
      <c r="M1977" s="48" t="str">
        <f aca="false">IF($E1977="","",IFERROR(INDEX(Parâmetros!$C$15:$C$20,MATCH($P1977,Parâmetros!$B$15:$B$20,0)),""))</f>
        <v/>
      </c>
      <c r="N1977" s="46" t="str">
        <f aca="false">IF($E1977="","",IF($P1977="","",IF($P1977&gt;=8,"Alta",IF($P1977&gt;=5,"Média","Baixa"))))</f>
        <v/>
      </c>
      <c r="O1977" s="46" t="str">
        <f aca="false">IF($E1977="","",IF(AND(Parâmetros!$C$5&gt;0,$P1977&lt;&gt;"",$P1977&gt;=Parâmetros!$C$5),"Sim","Não"))</f>
        <v/>
      </c>
      <c r="P1977" s="45" t="str">
        <f aca="false">IF($E1977="","",IF($G1977="","",IF($G1977="NOK",$F1977,0)))</f>
        <v/>
      </c>
      <c r="Q1977" s="46" t="str">
        <f aca="false">IF($E1977="","",IF($O1977&lt;&gt;"Sim","",COUNTIF($O$3:$O1977,"Sim")))</f>
        <v/>
      </c>
      <c r="R1977" s="47" t="n">
        <f aca="false">IF($P1977="",0,$P1977)</f>
        <v>0</v>
      </c>
    </row>
    <row r="1978" customFormat="false" ht="18" hidden="false" customHeight="true" outlineLevel="0" collapsed="false">
      <c r="A1978" s="39"/>
      <c r="B1978" s="41"/>
      <c r="C1978" s="40"/>
      <c r="D1978" s="40"/>
      <c r="E1978" s="40"/>
      <c r="F1978" s="42"/>
      <c r="G1978" s="39"/>
      <c r="H1978" s="40"/>
      <c r="I1978" s="40"/>
      <c r="J1978" s="40"/>
      <c r="K1978" s="41"/>
      <c r="L1978" s="39"/>
      <c r="M1978" s="48" t="str">
        <f aca="false">IF($E1978="","",IFERROR(INDEX(Parâmetros!$C$15:$C$20,MATCH($P1978,Parâmetros!$B$15:$B$20,0)),""))</f>
        <v/>
      </c>
      <c r="N1978" s="46" t="str">
        <f aca="false">IF($E1978="","",IF($P1978="","",IF($P1978&gt;=8,"Alta",IF($P1978&gt;=5,"Média","Baixa"))))</f>
        <v/>
      </c>
      <c r="O1978" s="46" t="str">
        <f aca="false">IF($E1978="","",IF(AND(Parâmetros!$C$5&gt;0,$P1978&lt;&gt;"",$P1978&gt;=Parâmetros!$C$5),"Sim","Não"))</f>
        <v/>
      </c>
      <c r="P1978" s="45" t="str">
        <f aca="false">IF($E1978="","",IF($G1978="","",IF($G1978="NOK",$F1978,0)))</f>
        <v/>
      </c>
      <c r="Q1978" s="46" t="str">
        <f aca="false">IF($E1978="","",IF($O1978&lt;&gt;"Sim","",COUNTIF($O$3:$O1978,"Sim")))</f>
        <v/>
      </c>
      <c r="R1978" s="47" t="n">
        <f aca="false">IF($P1978="",0,$P1978)</f>
        <v>0</v>
      </c>
    </row>
    <row r="1979" customFormat="false" ht="18" hidden="false" customHeight="true" outlineLevel="0" collapsed="false">
      <c r="A1979" s="39"/>
      <c r="B1979" s="41"/>
      <c r="C1979" s="40"/>
      <c r="D1979" s="40"/>
      <c r="E1979" s="40"/>
      <c r="F1979" s="42"/>
      <c r="G1979" s="39"/>
      <c r="H1979" s="40"/>
      <c r="I1979" s="40"/>
      <c r="J1979" s="40"/>
      <c r="K1979" s="41"/>
      <c r="L1979" s="39"/>
      <c r="M1979" s="48" t="str">
        <f aca="false">IF($E1979="","",IFERROR(INDEX(Parâmetros!$C$15:$C$20,MATCH($P1979,Parâmetros!$B$15:$B$20,0)),""))</f>
        <v/>
      </c>
      <c r="N1979" s="46" t="str">
        <f aca="false">IF($E1979="","",IF($P1979="","",IF($P1979&gt;=8,"Alta",IF($P1979&gt;=5,"Média","Baixa"))))</f>
        <v/>
      </c>
      <c r="O1979" s="46" t="str">
        <f aca="false">IF($E1979="","",IF(AND(Parâmetros!$C$5&gt;0,$P1979&lt;&gt;"",$P1979&gt;=Parâmetros!$C$5),"Sim","Não"))</f>
        <v/>
      </c>
      <c r="P1979" s="45" t="str">
        <f aca="false">IF($E1979="","",IF($G1979="","",IF($G1979="NOK",$F1979,0)))</f>
        <v/>
      </c>
      <c r="Q1979" s="46" t="str">
        <f aca="false">IF($E1979="","",IF($O1979&lt;&gt;"Sim","",COUNTIF($O$3:$O1979,"Sim")))</f>
        <v/>
      </c>
      <c r="R1979" s="47" t="n">
        <f aca="false">IF($P1979="",0,$P1979)</f>
        <v>0</v>
      </c>
    </row>
    <row r="1980" customFormat="false" ht="18" hidden="false" customHeight="true" outlineLevel="0" collapsed="false">
      <c r="A1980" s="39"/>
      <c r="B1980" s="41"/>
      <c r="C1980" s="40"/>
      <c r="D1980" s="40"/>
      <c r="E1980" s="40"/>
      <c r="F1980" s="42"/>
      <c r="G1980" s="39"/>
      <c r="H1980" s="40"/>
      <c r="I1980" s="40"/>
      <c r="J1980" s="40"/>
      <c r="K1980" s="41"/>
      <c r="L1980" s="39"/>
      <c r="M1980" s="48" t="str">
        <f aca="false">IF($E1980="","",IFERROR(INDEX(Parâmetros!$C$15:$C$20,MATCH($P1980,Parâmetros!$B$15:$B$20,0)),""))</f>
        <v/>
      </c>
      <c r="N1980" s="46" t="str">
        <f aca="false">IF($E1980="","",IF($P1980="","",IF($P1980&gt;=8,"Alta",IF($P1980&gt;=5,"Média","Baixa"))))</f>
        <v/>
      </c>
      <c r="O1980" s="46" t="str">
        <f aca="false">IF($E1980="","",IF(AND(Parâmetros!$C$5&gt;0,$P1980&lt;&gt;"",$P1980&gt;=Parâmetros!$C$5),"Sim","Não"))</f>
        <v/>
      </c>
      <c r="P1980" s="45" t="str">
        <f aca="false">IF($E1980="","",IF($G1980="","",IF($G1980="NOK",$F1980,0)))</f>
        <v/>
      </c>
      <c r="Q1980" s="46" t="str">
        <f aca="false">IF($E1980="","",IF($O1980&lt;&gt;"Sim","",COUNTIF($O$3:$O1980,"Sim")))</f>
        <v/>
      </c>
      <c r="R1980" s="47" t="n">
        <f aca="false">IF($P1980="",0,$P1980)</f>
        <v>0</v>
      </c>
    </row>
    <row r="1981" customFormat="false" ht="18" hidden="false" customHeight="true" outlineLevel="0" collapsed="false">
      <c r="A1981" s="39"/>
      <c r="B1981" s="41"/>
      <c r="C1981" s="40"/>
      <c r="D1981" s="40"/>
      <c r="E1981" s="40"/>
      <c r="F1981" s="42"/>
      <c r="G1981" s="39"/>
      <c r="H1981" s="40"/>
      <c r="I1981" s="40"/>
      <c r="J1981" s="40"/>
      <c r="K1981" s="41"/>
      <c r="L1981" s="39"/>
      <c r="M1981" s="48" t="str">
        <f aca="false">IF($E1981="","",IFERROR(INDEX(Parâmetros!$C$15:$C$20,MATCH($P1981,Parâmetros!$B$15:$B$20,0)),""))</f>
        <v/>
      </c>
      <c r="N1981" s="46" t="str">
        <f aca="false">IF($E1981="","",IF($P1981="","",IF($P1981&gt;=8,"Alta",IF($P1981&gt;=5,"Média","Baixa"))))</f>
        <v/>
      </c>
      <c r="O1981" s="46" t="str">
        <f aca="false">IF($E1981="","",IF(AND(Parâmetros!$C$5&gt;0,$P1981&lt;&gt;"",$P1981&gt;=Parâmetros!$C$5),"Sim","Não"))</f>
        <v/>
      </c>
      <c r="P1981" s="45" t="str">
        <f aca="false">IF($E1981="","",IF($G1981="","",IF($G1981="NOK",$F1981,0)))</f>
        <v/>
      </c>
      <c r="Q1981" s="46" t="str">
        <f aca="false">IF($E1981="","",IF($O1981&lt;&gt;"Sim","",COUNTIF($O$3:$O1981,"Sim")))</f>
        <v/>
      </c>
      <c r="R1981" s="47" t="n">
        <f aca="false">IF($P1981="",0,$P1981)</f>
        <v>0</v>
      </c>
    </row>
    <row r="1982" customFormat="false" ht="18" hidden="false" customHeight="true" outlineLevel="0" collapsed="false">
      <c r="A1982" s="39"/>
      <c r="B1982" s="41"/>
      <c r="C1982" s="40"/>
      <c r="D1982" s="40"/>
      <c r="E1982" s="40"/>
      <c r="F1982" s="42"/>
      <c r="G1982" s="39"/>
      <c r="H1982" s="40"/>
      <c r="I1982" s="40"/>
      <c r="J1982" s="40"/>
      <c r="K1982" s="41"/>
      <c r="L1982" s="39"/>
      <c r="M1982" s="48" t="str">
        <f aca="false">IF($E1982="","",IFERROR(INDEX(Parâmetros!$C$15:$C$20,MATCH($P1982,Parâmetros!$B$15:$B$20,0)),""))</f>
        <v/>
      </c>
      <c r="N1982" s="46" t="str">
        <f aca="false">IF($E1982="","",IF($P1982="","",IF($P1982&gt;=8,"Alta",IF($P1982&gt;=5,"Média","Baixa"))))</f>
        <v/>
      </c>
      <c r="O1982" s="46" t="str">
        <f aca="false">IF($E1982="","",IF(AND(Parâmetros!$C$5&gt;0,$P1982&lt;&gt;"",$P1982&gt;=Parâmetros!$C$5),"Sim","Não"))</f>
        <v/>
      </c>
      <c r="P1982" s="45" t="str">
        <f aca="false">IF($E1982="","",IF($G1982="","",IF($G1982="NOK",$F1982,0)))</f>
        <v/>
      </c>
      <c r="Q1982" s="46" t="str">
        <f aca="false">IF($E1982="","",IF($O1982&lt;&gt;"Sim","",COUNTIF($O$3:$O1982,"Sim")))</f>
        <v/>
      </c>
      <c r="R1982" s="47" t="n">
        <f aca="false">IF($P1982="",0,$P1982)</f>
        <v>0</v>
      </c>
    </row>
    <row r="1983" customFormat="false" ht="18" hidden="false" customHeight="true" outlineLevel="0" collapsed="false">
      <c r="A1983" s="39"/>
      <c r="B1983" s="41"/>
      <c r="C1983" s="40"/>
      <c r="D1983" s="40"/>
      <c r="E1983" s="40"/>
      <c r="F1983" s="42"/>
      <c r="G1983" s="39"/>
      <c r="H1983" s="40"/>
      <c r="I1983" s="40"/>
      <c r="J1983" s="40"/>
      <c r="K1983" s="41"/>
      <c r="L1983" s="39"/>
      <c r="M1983" s="48" t="str">
        <f aca="false">IF($E1983="","",IFERROR(INDEX(Parâmetros!$C$15:$C$20,MATCH($P1983,Parâmetros!$B$15:$B$20,0)),""))</f>
        <v/>
      </c>
      <c r="N1983" s="46" t="str">
        <f aca="false">IF($E1983="","",IF($P1983="","",IF($P1983&gt;=8,"Alta",IF($P1983&gt;=5,"Média","Baixa"))))</f>
        <v/>
      </c>
      <c r="O1983" s="46" t="str">
        <f aca="false">IF($E1983="","",IF(AND(Parâmetros!$C$5&gt;0,$P1983&lt;&gt;"",$P1983&gt;=Parâmetros!$C$5),"Sim","Não"))</f>
        <v/>
      </c>
      <c r="P1983" s="45" t="str">
        <f aca="false">IF($E1983="","",IF($G1983="","",IF($G1983="NOK",$F1983,0)))</f>
        <v/>
      </c>
      <c r="Q1983" s="46" t="str">
        <f aca="false">IF($E1983="","",IF($O1983&lt;&gt;"Sim","",COUNTIF($O$3:$O1983,"Sim")))</f>
        <v/>
      </c>
      <c r="R1983" s="47" t="n">
        <f aca="false">IF($P1983="",0,$P1983)</f>
        <v>0</v>
      </c>
    </row>
    <row r="1984" customFormat="false" ht="18" hidden="false" customHeight="true" outlineLevel="0" collapsed="false">
      <c r="A1984" s="39"/>
      <c r="B1984" s="41"/>
      <c r="C1984" s="40"/>
      <c r="D1984" s="40"/>
      <c r="E1984" s="40"/>
      <c r="F1984" s="42"/>
      <c r="G1984" s="39"/>
      <c r="H1984" s="40"/>
      <c r="I1984" s="40"/>
      <c r="J1984" s="40"/>
      <c r="K1984" s="41"/>
      <c r="L1984" s="39"/>
      <c r="M1984" s="48" t="str">
        <f aca="false">IF($E1984="","",IFERROR(INDEX(Parâmetros!$C$15:$C$20,MATCH($P1984,Parâmetros!$B$15:$B$20,0)),""))</f>
        <v/>
      </c>
      <c r="N1984" s="46" t="str">
        <f aca="false">IF($E1984="","",IF($P1984="","",IF($P1984&gt;=8,"Alta",IF($P1984&gt;=5,"Média","Baixa"))))</f>
        <v/>
      </c>
      <c r="O1984" s="46" t="str">
        <f aca="false">IF($E1984="","",IF(AND(Parâmetros!$C$5&gt;0,$P1984&lt;&gt;"",$P1984&gt;=Parâmetros!$C$5),"Sim","Não"))</f>
        <v/>
      </c>
      <c r="P1984" s="45" t="str">
        <f aca="false">IF($E1984="","",IF($G1984="","",IF($G1984="NOK",$F1984,0)))</f>
        <v/>
      </c>
      <c r="Q1984" s="46" t="str">
        <f aca="false">IF($E1984="","",IF($O1984&lt;&gt;"Sim","",COUNTIF($O$3:$O1984,"Sim")))</f>
        <v/>
      </c>
      <c r="R1984" s="47" t="n">
        <f aca="false">IF($P1984="",0,$P1984)</f>
        <v>0</v>
      </c>
    </row>
    <row r="1985" customFormat="false" ht="18" hidden="false" customHeight="true" outlineLevel="0" collapsed="false">
      <c r="A1985" s="39"/>
      <c r="B1985" s="41"/>
      <c r="C1985" s="40"/>
      <c r="D1985" s="40"/>
      <c r="E1985" s="40"/>
      <c r="F1985" s="42"/>
      <c r="G1985" s="39"/>
      <c r="H1985" s="40"/>
      <c r="I1985" s="40"/>
      <c r="J1985" s="40"/>
      <c r="K1985" s="41"/>
      <c r="L1985" s="39"/>
      <c r="M1985" s="48" t="str">
        <f aca="false">IF($E1985="","",IFERROR(INDEX(Parâmetros!$C$15:$C$20,MATCH($P1985,Parâmetros!$B$15:$B$20,0)),""))</f>
        <v/>
      </c>
      <c r="N1985" s="46" t="str">
        <f aca="false">IF($E1985="","",IF($P1985="","",IF($P1985&gt;=8,"Alta",IF($P1985&gt;=5,"Média","Baixa"))))</f>
        <v/>
      </c>
      <c r="O1985" s="46" t="str">
        <f aca="false">IF($E1985="","",IF(AND(Parâmetros!$C$5&gt;0,$P1985&lt;&gt;"",$P1985&gt;=Parâmetros!$C$5),"Sim","Não"))</f>
        <v/>
      </c>
      <c r="P1985" s="45" t="str">
        <f aca="false">IF($E1985="","",IF($G1985="","",IF($G1985="NOK",$F1985,0)))</f>
        <v/>
      </c>
      <c r="Q1985" s="46" t="str">
        <f aca="false">IF($E1985="","",IF($O1985&lt;&gt;"Sim","",COUNTIF($O$3:$O1985,"Sim")))</f>
        <v/>
      </c>
      <c r="R1985" s="47" t="n">
        <f aca="false">IF($P1985="",0,$P1985)</f>
        <v>0</v>
      </c>
    </row>
    <row r="1986" customFormat="false" ht="18" hidden="false" customHeight="true" outlineLevel="0" collapsed="false">
      <c r="A1986" s="39"/>
      <c r="B1986" s="41"/>
      <c r="C1986" s="40"/>
      <c r="D1986" s="40"/>
      <c r="E1986" s="40"/>
      <c r="F1986" s="42"/>
      <c r="G1986" s="39"/>
      <c r="H1986" s="40"/>
      <c r="I1986" s="40"/>
      <c r="J1986" s="40"/>
      <c r="K1986" s="41"/>
      <c r="L1986" s="39"/>
      <c r="M1986" s="48" t="str">
        <f aca="false">IF($E1986="","",IFERROR(INDEX(Parâmetros!$C$15:$C$20,MATCH($P1986,Parâmetros!$B$15:$B$20,0)),""))</f>
        <v/>
      </c>
      <c r="N1986" s="46" t="str">
        <f aca="false">IF($E1986="","",IF($P1986="","",IF($P1986&gt;=8,"Alta",IF($P1986&gt;=5,"Média","Baixa"))))</f>
        <v/>
      </c>
      <c r="O1986" s="46" t="str">
        <f aca="false">IF($E1986="","",IF(AND(Parâmetros!$C$5&gt;0,$P1986&lt;&gt;"",$P1986&gt;=Parâmetros!$C$5),"Sim","Não"))</f>
        <v/>
      </c>
      <c r="P1986" s="45" t="str">
        <f aca="false">IF($E1986="","",IF($G1986="","",IF($G1986="NOK",$F1986,0)))</f>
        <v/>
      </c>
      <c r="Q1986" s="46" t="str">
        <f aca="false">IF($E1986="","",IF($O1986&lt;&gt;"Sim","",COUNTIF($O$3:$O1986,"Sim")))</f>
        <v/>
      </c>
      <c r="R1986" s="47" t="n">
        <f aca="false">IF($P1986="",0,$P1986)</f>
        <v>0</v>
      </c>
    </row>
    <row r="1987" customFormat="false" ht="18" hidden="false" customHeight="true" outlineLevel="0" collapsed="false">
      <c r="A1987" s="39"/>
      <c r="B1987" s="41"/>
      <c r="C1987" s="40"/>
      <c r="D1987" s="40"/>
      <c r="E1987" s="40"/>
      <c r="F1987" s="42"/>
      <c r="G1987" s="39"/>
      <c r="H1987" s="40"/>
      <c r="I1987" s="40"/>
      <c r="J1987" s="40"/>
      <c r="K1987" s="41"/>
      <c r="L1987" s="39"/>
      <c r="M1987" s="48" t="str">
        <f aca="false">IF($E1987="","",IFERROR(INDEX(Parâmetros!$C$15:$C$20,MATCH($P1987,Parâmetros!$B$15:$B$20,0)),""))</f>
        <v/>
      </c>
      <c r="N1987" s="46" t="str">
        <f aca="false">IF($E1987="","",IF($P1987="","",IF($P1987&gt;=8,"Alta",IF($P1987&gt;=5,"Média","Baixa"))))</f>
        <v/>
      </c>
      <c r="O1987" s="46" t="str">
        <f aca="false">IF($E1987="","",IF(AND(Parâmetros!$C$5&gt;0,$P1987&lt;&gt;"",$P1987&gt;=Parâmetros!$C$5),"Sim","Não"))</f>
        <v/>
      </c>
      <c r="P1987" s="45" t="str">
        <f aca="false">IF($E1987="","",IF($G1987="","",IF($G1987="NOK",$F1987,0)))</f>
        <v/>
      </c>
      <c r="Q1987" s="46" t="str">
        <f aca="false">IF($E1987="","",IF($O1987&lt;&gt;"Sim","",COUNTIF($O$3:$O1987,"Sim")))</f>
        <v/>
      </c>
      <c r="R1987" s="47" t="n">
        <f aca="false">IF($P1987="",0,$P1987)</f>
        <v>0</v>
      </c>
    </row>
    <row r="1988" customFormat="false" ht="18" hidden="false" customHeight="true" outlineLevel="0" collapsed="false">
      <c r="A1988" s="39"/>
      <c r="B1988" s="41"/>
      <c r="C1988" s="40"/>
      <c r="D1988" s="40"/>
      <c r="E1988" s="40"/>
      <c r="F1988" s="42"/>
      <c r="G1988" s="39"/>
      <c r="H1988" s="40"/>
      <c r="I1988" s="40"/>
      <c r="J1988" s="40"/>
      <c r="K1988" s="41"/>
      <c r="L1988" s="39"/>
      <c r="M1988" s="48" t="str">
        <f aca="false">IF($E1988="","",IFERROR(INDEX(Parâmetros!$C$15:$C$20,MATCH($P1988,Parâmetros!$B$15:$B$20,0)),""))</f>
        <v/>
      </c>
      <c r="N1988" s="46" t="str">
        <f aca="false">IF($E1988="","",IF($P1988="","",IF($P1988&gt;=8,"Alta",IF($P1988&gt;=5,"Média","Baixa"))))</f>
        <v/>
      </c>
      <c r="O1988" s="46" t="str">
        <f aca="false">IF($E1988="","",IF(AND(Parâmetros!$C$5&gt;0,$P1988&lt;&gt;"",$P1988&gt;=Parâmetros!$C$5),"Sim","Não"))</f>
        <v/>
      </c>
      <c r="P1988" s="45" t="str">
        <f aca="false">IF($E1988="","",IF($G1988="","",IF($G1988="NOK",$F1988,0)))</f>
        <v/>
      </c>
      <c r="Q1988" s="46" t="str">
        <f aca="false">IF($E1988="","",IF($O1988&lt;&gt;"Sim","",COUNTIF($O$3:$O1988,"Sim")))</f>
        <v/>
      </c>
      <c r="R1988" s="47" t="n">
        <f aca="false">IF($P1988="",0,$P1988)</f>
        <v>0</v>
      </c>
    </row>
    <row r="1989" customFormat="false" ht="18" hidden="false" customHeight="true" outlineLevel="0" collapsed="false">
      <c r="A1989" s="39"/>
      <c r="B1989" s="41"/>
      <c r="C1989" s="40"/>
      <c r="D1989" s="40"/>
      <c r="E1989" s="40"/>
      <c r="F1989" s="42"/>
      <c r="G1989" s="39"/>
      <c r="H1989" s="40"/>
      <c r="I1989" s="40"/>
      <c r="J1989" s="40"/>
      <c r="K1989" s="41"/>
      <c r="L1989" s="39"/>
      <c r="M1989" s="48" t="str">
        <f aca="false">IF($E1989="","",IFERROR(INDEX(Parâmetros!$C$15:$C$20,MATCH($P1989,Parâmetros!$B$15:$B$20,0)),""))</f>
        <v/>
      </c>
      <c r="N1989" s="46" t="str">
        <f aca="false">IF($E1989="","",IF($P1989="","",IF($P1989&gt;=8,"Alta",IF($P1989&gt;=5,"Média","Baixa"))))</f>
        <v/>
      </c>
      <c r="O1989" s="46" t="str">
        <f aca="false">IF($E1989="","",IF(AND(Parâmetros!$C$5&gt;0,$P1989&lt;&gt;"",$P1989&gt;=Parâmetros!$C$5),"Sim","Não"))</f>
        <v/>
      </c>
      <c r="P1989" s="45" t="str">
        <f aca="false">IF($E1989="","",IF($G1989="","",IF($G1989="NOK",$F1989,0)))</f>
        <v/>
      </c>
      <c r="Q1989" s="46" t="str">
        <f aca="false">IF($E1989="","",IF($O1989&lt;&gt;"Sim","",COUNTIF($O$3:$O1989,"Sim")))</f>
        <v/>
      </c>
      <c r="R1989" s="47" t="n">
        <f aca="false">IF($P1989="",0,$P1989)</f>
        <v>0</v>
      </c>
    </row>
    <row r="1990" customFormat="false" ht="18" hidden="false" customHeight="true" outlineLevel="0" collapsed="false">
      <c r="A1990" s="39"/>
      <c r="B1990" s="41"/>
      <c r="C1990" s="40"/>
      <c r="D1990" s="40"/>
      <c r="E1990" s="40"/>
      <c r="F1990" s="42"/>
      <c r="G1990" s="39"/>
      <c r="H1990" s="40"/>
      <c r="I1990" s="40"/>
      <c r="J1990" s="40"/>
      <c r="K1990" s="41"/>
      <c r="L1990" s="39"/>
      <c r="M1990" s="48" t="str">
        <f aca="false">IF($E1990="","",IFERROR(INDEX(Parâmetros!$C$15:$C$20,MATCH($P1990,Parâmetros!$B$15:$B$20,0)),""))</f>
        <v/>
      </c>
      <c r="N1990" s="46" t="str">
        <f aca="false">IF($E1990="","",IF($P1990="","",IF($P1990&gt;=8,"Alta",IF($P1990&gt;=5,"Média","Baixa"))))</f>
        <v/>
      </c>
      <c r="O1990" s="46" t="str">
        <f aca="false">IF($E1990="","",IF(AND(Parâmetros!$C$5&gt;0,$P1990&lt;&gt;"",$P1990&gt;=Parâmetros!$C$5),"Sim","Não"))</f>
        <v/>
      </c>
      <c r="P1990" s="45" t="str">
        <f aca="false">IF($E1990="","",IF($G1990="","",IF($G1990="NOK",$F1990,0)))</f>
        <v/>
      </c>
      <c r="Q1990" s="46" t="str">
        <f aca="false">IF($E1990="","",IF($O1990&lt;&gt;"Sim","",COUNTIF($O$3:$O1990,"Sim")))</f>
        <v/>
      </c>
      <c r="R1990" s="47" t="n">
        <f aca="false">IF($P1990="",0,$P1990)</f>
        <v>0</v>
      </c>
    </row>
    <row r="1991" customFormat="false" ht="18" hidden="false" customHeight="true" outlineLevel="0" collapsed="false">
      <c r="A1991" s="39"/>
      <c r="B1991" s="41"/>
      <c r="C1991" s="40"/>
      <c r="D1991" s="40"/>
      <c r="E1991" s="40"/>
      <c r="F1991" s="42"/>
      <c r="G1991" s="39"/>
      <c r="H1991" s="40"/>
      <c r="I1991" s="40"/>
      <c r="J1991" s="40"/>
      <c r="K1991" s="41"/>
      <c r="L1991" s="39"/>
      <c r="M1991" s="48" t="str">
        <f aca="false">IF($E1991="","",IFERROR(INDEX(Parâmetros!$C$15:$C$20,MATCH($P1991,Parâmetros!$B$15:$B$20,0)),""))</f>
        <v/>
      </c>
      <c r="N1991" s="46" t="str">
        <f aca="false">IF($E1991="","",IF($P1991="","",IF($P1991&gt;=8,"Alta",IF($P1991&gt;=5,"Média","Baixa"))))</f>
        <v/>
      </c>
      <c r="O1991" s="46" t="str">
        <f aca="false">IF($E1991="","",IF(AND(Parâmetros!$C$5&gt;0,$P1991&lt;&gt;"",$P1991&gt;=Parâmetros!$C$5),"Sim","Não"))</f>
        <v/>
      </c>
      <c r="P1991" s="45" t="str">
        <f aca="false">IF($E1991="","",IF($G1991="","",IF($G1991="NOK",$F1991,0)))</f>
        <v/>
      </c>
      <c r="Q1991" s="46" t="str">
        <f aca="false">IF($E1991="","",IF($O1991&lt;&gt;"Sim","",COUNTIF($O$3:$O1991,"Sim")))</f>
        <v/>
      </c>
      <c r="R1991" s="47" t="n">
        <f aca="false">IF($P1991="",0,$P1991)</f>
        <v>0</v>
      </c>
    </row>
    <row r="1992" customFormat="false" ht="18" hidden="false" customHeight="true" outlineLevel="0" collapsed="false">
      <c r="A1992" s="39"/>
      <c r="B1992" s="41"/>
      <c r="C1992" s="40"/>
      <c r="D1992" s="40"/>
      <c r="E1992" s="40"/>
      <c r="F1992" s="42"/>
      <c r="G1992" s="39"/>
      <c r="H1992" s="40"/>
      <c r="I1992" s="40"/>
      <c r="J1992" s="40"/>
      <c r="K1992" s="41"/>
      <c r="L1992" s="39"/>
      <c r="M1992" s="48" t="str">
        <f aca="false">IF($E1992="","",IFERROR(INDEX(Parâmetros!$C$15:$C$20,MATCH($P1992,Parâmetros!$B$15:$B$20,0)),""))</f>
        <v/>
      </c>
      <c r="N1992" s="46" t="str">
        <f aca="false">IF($E1992="","",IF($P1992="","",IF($P1992&gt;=8,"Alta",IF($P1992&gt;=5,"Média","Baixa"))))</f>
        <v/>
      </c>
      <c r="O1992" s="46" t="str">
        <f aca="false">IF($E1992="","",IF(AND(Parâmetros!$C$5&gt;0,$P1992&lt;&gt;"",$P1992&gt;=Parâmetros!$C$5),"Sim","Não"))</f>
        <v/>
      </c>
      <c r="P1992" s="45" t="str">
        <f aca="false">IF($E1992="","",IF($G1992="","",IF($G1992="NOK",$F1992,0)))</f>
        <v/>
      </c>
      <c r="Q1992" s="46" t="str">
        <f aca="false">IF($E1992="","",IF($O1992&lt;&gt;"Sim","",COUNTIF($O$3:$O1992,"Sim")))</f>
        <v/>
      </c>
      <c r="R1992" s="47" t="n">
        <f aca="false">IF($P1992="",0,$P1992)</f>
        <v>0</v>
      </c>
    </row>
    <row r="1993" customFormat="false" ht="18" hidden="false" customHeight="true" outlineLevel="0" collapsed="false">
      <c r="A1993" s="39"/>
      <c r="B1993" s="41"/>
      <c r="C1993" s="40"/>
      <c r="D1993" s="40"/>
      <c r="E1993" s="40"/>
      <c r="F1993" s="42"/>
      <c r="G1993" s="39"/>
      <c r="H1993" s="40"/>
      <c r="I1993" s="40"/>
      <c r="J1993" s="40"/>
      <c r="K1993" s="41"/>
      <c r="L1993" s="39"/>
      <c r="M1993" s="48" t="str">
        <f aca="false">IF($E1993="","",IFERROR(INDEX(Parâmetros!$C$15:$C$20,MATCH($P1993,Parâmetros!$B$15:$B$20,0)),""))</f>
        <v/>
      </c>
      <c r="N1993" s="46" t="str">
        <f aca="false">IF($E1993="","",IF($P1993="","",IF($P1993&gt;=8,"Alta",IF($P1993&gt;=5,"Média","Baixa"))))</f>
        <v/>
      </c>
      <c r="O1993" s="46" t="str">
        <f aca="false">IF($E1993="","",IF(AND(Parâmetros!$C$5&gt;0,$P1993&lt;&gt;"",$P1993&gt;=Parâmetros!$C$5),"Sim","Não"))</f>
        <v/>
      </c>
      <c r="P1993" s="45" t="str">
        <f aca="false">IF($E1993="","",IF($G1993="","",IF($G1993="NOK",$F1993,0)))</f>
        <v/>
      </c>
      <c r="Q1993" s="46" t="str">
        <f aca="false">IF($E1993="","",IF($O1993&lt;&gt;"Sim","",COUNTIF($O$3:$O1993,"Sim")))</f>
        <v/>
      </c>
      <c r="R1993" s="47" t="n">
        <f aca="false">IF($P1993="",0,$P1993)</f>
        <v>0</v>
      </c>
    </row>
    <row r="1994" customFormat="false" ht="18" hidden="false" customHeight="true" outlineLevel="0" collapsed="false">
      <c r="A1994" s="39"/>
      <c r="B1994" s="41"/>
      <c r="C1994" s="40"/>
      <c r="D1994" s="40"/>
      <c r="E1994" s="40"/>
      <c r="F1994" s="42"/>
      <c r="G1994" s="39"/>
      <c r="H1994" s="40"/>
      <c r="I1994" s="40"/>
      <c r="J1994" s="40"/>
      <c r="K1994" s="41"/>
      <c r="L1994" s="39"/>
      <c r="M1994" s="48" t="str">
        <f aca="false">IF($E1994="","",IFERROR(INDEX(Parâmetros!$C$15:$C$20,MATCH($P1994,Parâmetros!$B$15:$B$20,0)),""))</f>
        <v/>
      </c>
      <c r="N1994" s="46" t="str">
        <f aca="false">IF($E1994="","",IF($P1994="","",IF($P1994&gt;=8,"Alta",IF($P1994&gt;=5,"Média","Baixa"))))</f>
        <v/>
      </c>
      <c r="O1994" s="46" t="str">
        <f aca="false">IF($E1994="","",IF(AND(Parâmetros!$C$5&gt;0,$P1994&lt;&gt;"",$P1994&gt;=Parâmetros!$C$5),"Sim","Não"))</f>
        <v/>
      </c>
      <c r="P1994" s="45" t="str">
        <f aca="false">IF($E1994="","",IF($G1994="","",IF($G1994="NOK",$F1994,0)))</f>
        <v/>
      </c>
      <c r="Q1994" s="46" t="str">
        <f aca="false">IF($E1994="","",IF($O1994&lt;&gt;"Sim","",COUNTIF($O$3:$O1994,"Sim")))</f>
        <v/>
      </c>
      <c r="R1994" s="47" t="n">
        <f aca="false">IF($P1994="",0,$P1994)</f>
        <v>0</v>
      </c>
    </row>
    <row r="1995" customFormat="false" ht="18" hidden="false" customHeight="true" outlineLevel="0" collapsed="false">
      <c r="A1995" s="39"/>
      <c r="B1995" s="41"/>
      <c r="C1995" s="40"/>
      <c r="D1995" s="40"/>
      <c r="E1995" s="40"/>
      <c r="F1995" s="42"/>
      <c r="G1995" s="39"/>
      <c r="H1995" s="40"/>
      <c r="I1995" s="40"/>
      <c r="J1995" s="40"/>
      <c r="K1995" s="41"/>
      <c r="L1995" s="39"/>
      <c r="M1995" s="48" t="str">
        <f aca="false">IF($E1995="","",IFERROR(INDEX(Parâmetros!$C$15:$C$20,MATCH($P1995,Parâmetros!$B$15:$B$20,0)),""))</f>
        <v/>
      </c>
      <c r="N1995" s="46" t="str">
        <f aca="false">IF($E1995="","",IF($P1995="","",IF($P1995&gt;=8,"Alta",IF($P1995&gt;=5,"Média","Baixa"))))</f>
        <v/>
      </c>
      <c r="O1995" s="46" t="str">
        <f aca="false">IF($E1995="","",IF(AND(Parâmetros!$C$5&gt;0,$P1995&lt;&gt;"",$P1995&gt;=Parâmetros!$C$5),"Sim","Não"))</f>
        <v/>
      </c>
      <c r="P1995" s="45" t="str">
        <f aca="false">IF($E1995="","",IF($G1995="","",IF($G1995="NOK",$F1995,0)))</f>
        <v/>
      </c>
      <c r="Q1995" s="46" t="str">
        <f aca="false">IF($E1995="","",IF($O1995&lt;&gt;"Sim","",COUNTIF($O$3:$O1995,"Sim")))</f>
        <v/>
      </c>
      <c r="R1995" s="47" t="n">
        <f aca="false">IF($P1995="",0,$P1995)</f>
        <v>0</v>
      </c>
    </row>
    <row r="1996" customFormat="false" ht="18" hidden="false" customHeight="true" outlineLevel="0" collapsed="false">
      <c r="A1996" s="39"/>
      <c r="B1996" s="41"/>
      <c r="C1996" s="40"/>
      <c r="D1996" s="40"/>
      <c r="E1996" s="40"/>
      <c r="F1996" s="42"/>
      <c r="G1996" s="39"/>
      <c r="H1996" s="40"/>
      <c r="I1996" s="40"/>
      <c r="J1996" s="40"/>
      <c r="K1996" s="41"/>
      <c r="L1996" s="39"/>
      <c r="M1996" s="48" t="str">
        <f aca="false">IF($E1996="","",IFERROR(INDEX(Parâmetros!$C$15:$C$20,MATCH($P1996,Parâmetros!$B$15:$B$20,0)),""))</f>
        <v/>
      </c>
      <c r="N1996" s="46" t="str">
        <f aca="false">IF($E1996="","",IF($P1996="","",IF($P1996&gt;=8,"Alta",IF($P1996&gt;=5,"Média","Baixa"))))</f>
        <v/>
      </c>
      <c r="O1996" s="46" t="str">
        <f aca="false">IF($E1996="","",IF(AND(Parâmetros!$C$5&gt;0,$P1996&lt;&gt;"",$P1996&gt;=Parâmetros!$C$5),"Sim","Não"))</f>
        <v/>
      </c>
      <c r="P1996" s="45" t="str">
        <f aca="false">IF($E1996="","",IF($G1996="","",IF($G1996="NOK",$F1996,0)))</f>
        <v/>
      </c>
      <c r="Q1996" s="46" t="str">
        <f aca="false">IF($E1996="","",IF($O1996&lt;&gt;"Sim","",COUNTIF($O$3:$O1996,"Sim")))</f>
        <v/>
      </c>
      <c r="R1996" s="47" t="n">
        <f aca="false">IF($P1996="",0,$P1996)</f>
        <v>0</v>
      </c>
    </row>
    <row r="1997" customFormat="false" ht="18" hidden="false" customHeight="true" outlineLevel="0" collapsed="false">
      <c r="A1997" s="39"/>
      <c r="B1997" s="41"/>
      <c r="C1997" s="40"/>
      <c r="D1997" s="40"/>
      <c r="E1997" s="40"/>
      <c r="F1997" s="42"/>
      <c r="G1997" s="39"/>
      <c r="H1997" s="40"/>
      <c r="I1997" s="40"/>
      <c r="J1997" s="40"/>
      <c r="K1997" s="41"/>
      <c r="L1997" s="39"/>
      <c r="M1997" s="48" t="str">
        <f aca="false">IF($E1997="","",IFERROR(INDEX(Parâmetros!$C$15:$C$20,MATCH($P1997,Parâmetros!$B$15:$B$20,0)),""))</f>
        <v/>
      </c>
      <c r="N1997" s="46" t="str">
        <f aca="false">IF($E1997="","",IF($P1997="","",IF($P1997&gt;=8,"Alta",IF($P1997&gt;=5,"Média","Baixa"))))</f>
        <v/>
      </c>
      <c r="O1997" s="46" t="str">
        <f aca="false">IF($E1997="","",IF(AND(Parâmetros!$C$5&gt;0,$P1997&lt;&gt;"",$P1997&gt;=Parâmetros!$C$5),"Sim","Não"))</f>
        <v/>
      </c>
      <c r="P1997" s="45" t="str">
        <f aca="false">IF($E1997="","",IF($G1997="","",IF($G1997="NOK",$F1997,0)))</f>
        <v/>
      </c>
      <c r="Q1997" s="46" t="str">
        <f aca="false">IF($E1997="","",IF($O1997&lt;&gt;"Sim","",COUNTIF($O$3:$O1997,"Sim")))</f>
        <v/>
      </c>
      <c r="R1997" s="47" t="n">
        <f aca="false">IF($P1997="",0,$P1997)</f>
        <v>0</v>
      </c>
    </row>
    <row r="1998" customFormat="false" ht="18" hidden="false" customHeight="true" outlineLevel="0" collapsed="false">
      <c r="A1998" s="39"/>
      <c r="B1998" s="41"/>
      <c r="C1998" s="40"/>
      <c r="D1998" s="40"/>
      <c r="E1998" s="40"/>
      <c r="F1998" s="42"/>
      <c r="G1998" s="39"/>
      <c r="H1998" s="40"/>
      <c r="I1998" s="40"/>
      <c r="J1998" s="40"/>
      <c r="K1998" s="41"/>
      <c r="L1998" s="39"/>
      <c r="M1998" s="48" t="str">
        <f aca="false">IF($E1998="","",IFERROR(INDEX(Parâmetros!$C$15:$C$20,MATCH($P1998,Parâmetros!$B$15:$B$20,0)),""))</f>
        <v/>
      </c>
      <c r="N1998" s="46" t="str">
        <f aca="false">IF($E1998="","",IF($P1998="","",IF($P1998&gt;=8,"Alta",IF($P1998&gt;=5,"Média","Baixa"))))</f>
        <v/>
      </c>
      <c r="O1998" s="46" t="str">
        <f aca="false">IF($E1998="","",IF(AND(Parâmetros!$C$5&gt;0,$P1998&lt;&gt;"",$P1998&gt;=Parâmetros!$C$5),"Sim","Não"))</f>
        <v/>
      </c>
      <c r="P1998" s="45" t="str">
        <f aca="false">IF($E1998="","",IF($G1998="","",IF($G1998="NOK",$F1998,0)))</f>
        <v/>
      </c>
      <c r="Q1998" s="46" t="str">
        <f aca="false">IF($E1998="","",IF($O1998&lt;&gt;"Sim","",COUNTIF($O$3:$O1998,"Sim")))</f>
        <v/>
      </c>
      <c r="R1998" s="47" t="n">
        <f aca="false">IF($P1998="",0,$P1998)</f>
        <v>0</v>
      </c>
    </row>
    <row r="1999" customFormat="false" ht="18" hidden="false" customHeight="true" outlineLevel="0" collapsed="false">
      <c r="A1999" s="39"/>
      <c r="B1999" s="41"/>
      <c r="C1999" s="40"/>
      <c r="D1999" s="40"/>
      <c r="E1999" s="40"/>
      <c r="F1999" s="42"/>
      <c r="G1999" s="39"/>
      <c r="H1999" s="40"/>
      <c r="I1999" s="40"/>
      <c r="J1999" s="40"/>
      <c r="K1999" s="41"/>
      <c r="L1999" s="39"/>
      <c r="M1999" s="48" t="str">
        <f aca="false">IF($E1999="","",IFERROR(INDEX(Parâmetros!$C$15:$C$20,MATCH($P1999,Parâmetros!$B$15:$B$20,0)),""))</f>
        <v/>
      </c>
      <c r="N1999" s="46" t="str">
        <f aca="false">IF($E1999="","",IF($P1999="","",IF($P1999&gt;=8,"Alta",IF($P1999&gt;=5,"Média","Baixa"))))</f>
        <v/>
      </c>
      <c r="O1999" s="46" t="str">
        <f aca="false">IF($E1999="","",IF(AND(Parâmetros!$C$5&gt;0,$P1999&lt;&gt;"",$P1999&gt;=Parâmetros!$C$5),"Sim","Não"))</f>
        <v/>
      </c>
      <c r="P1999" s="45" t="str">
        <f aca="false">IF($E1999="","",IF($G1999="","",IF($G1999="NOK",$F1999,0)))</f>
        <v/>
      </c>
      <c r="Q1999" s="46" t="str">
        <f aca="false">IF($E1999="","",IF($O1999&lt;&gt;"Sim","",COUNTIF($O$3:$O1999,"Sim")))</f>
        <v/>
      </c>
      <c r="R1999" s="47" t="n">
        <f aca="false">IF($P1999="",0,$P1999)</f>
        <v>0</v>
      </c>
    </row>
    <row r="2000" customFormat="false" ht="18" hidden="false" customHeight="true" outlineLevel="0" collapsed="false">
      <c r="A2000" s="39"/>
      <c r="B2000" s="41"/>
      <c r="C2000" s="40"/>
      <c r="D2000" s="40"/>
      <c r="E2000" s="40"/>
      <c r="F2000" s="42"/>
      <c r="G2000" s="39"/>
      <c r="H2000" s="40"/>
      <c r="I2000" s="40"/>
      <c r="J2000" s="40"/>
      <c r="K2000" s="41"/>
      <c r="L2000" s="39"/>
      <c r="M2000" s="48" t="str">
        <f aca="false">IF($E2000="","",IFERROR(INDEX(Parâmetros!$C$15:$C$20,MATCH($P2000,Parâmetros!$B$15:$B$20,0)),""))</f>
        <v/>
      </c>
      <c r="N2000" s="46" t="str">
        <f aca="false">IF($E2000="","",IF($P2000="","",IF($P2000&gt;=8,"Alta",IF($P2000&gt;=5,"Média","Baixa"))))</f>
        <v/>
      </c>
      <c r="O2000" s="46" t="str">
        <f aca="false">IF($E2000="","",IF(AND(Parâmetros!$C$5&gt;0,$P2000&lt;&gt;"",$P2000&gt;=Parâmetros!$C$5),"Sim","Não"))</f>
        <v/>
      </c>
      <c r="P2000" s="45" t="str">
        <f aca="false">IF($E2000="","",IF($G2000="","",IF($G2000="NOK",$F2000,0)))</f>
        <v/>
      </c>
      <c r="Q2000" s="46" t="str">
        <f aca="false">IF($E2000="","",IF($O2000&lt;&gt;"Sim","",COUNTIF($O$3:$O2000,"Sim")))</f>
        <v/>
      </c>
      <c r="R2000" s="47" t="n">
        <f aca="false">IF($P2000="",0,$P2000)</f>
        <v>0</v>
      </c>
    </row>
    <row r="2001" customFormat="false" ht="18" hidden="false" customHeight="true" outlineLevel="0" collapsed="false">
      <c r="A2001" s="39"/>
      <c r="B2001" s="41"/>
      <c r="C2001" s="40"/>
      <c r="D2001" s="40"/>
      <c r="E2001" s="40"/>
      <c r="F2001" s="42"/>
      <c r="G2001" s="39"/>
      <c r="H2001" s="40"/>
      <c r="I2001" s="40"/>
      <c r="J2001" s="40"/>
      <c r="K2001" s="41"/>
      <c r="L2001" s="39"/>
      <c r="M2001" s="48" t="str">
        <f aca="false">IF($E2001="","",IFERROR(INDEX(Parâmetros!$C$15:$C$20,MATCH($P2001,Parâmetros!$B$15:$B$20,0)),""))</f>
        <v/>
      </c>
      <c r="N2001" s="46" t="str">
        <f aca="false">IF($E2001="","",IF($P2001="","",IF($P2001&gt;=8,"Alta",IF($P2001&gt;=5,"Média","Baixa"))))</f>
        <v/>
      </c>
      <c r="O2001" s="46" t="str">
        <f aca="false">IF($E2001="","",IF(AND(Parâmetros!$C$5&gt;0,$P2001&lt;&gt;"",$P2001&gt;=Parâmetros!$C$5),"Sim","Não"))</f>
        <v/>
      </c>
      <c r="P2001" s="45" t="str">
        <f aca="false">IF($E2001="","",IF($G2001="","",IF($G2001="NOK",$F2001,0)))</f>
        <v/>
      </c>
      <c r="Q2001" s="46" t="str">
        <f aca="false">IF($E2001="","",IF($O2001&lt;&gt;"Sim","",COUNTIF($O$3:$O2001,"Sim")))</f>
        <v/>
      </c>
      <c r="R2001" s="47" t="n">
        <f aca="false">IF($P2001="",0,$P2001)</f>
        <v>0</v>
      </c>
    </row>
    <row r="2002" customFormat="false" ht="18" hidden="false" customHeight="true" outlineLevel="0" collapsed="false">
      <c r="A2002" s="39"/>
      <c r="B2002" s="41"/>
      <c r="C2002" s="40"/>
      <c r="D2002" s="40"/>
      <c r="E2002" s="40"/>
      <c r="F2002" s="42"/>
      <c r="G2002" s="39"/>
      <c r="H2002" s="40"/>
      <c r="I2002" s="40"/>
      <c r="J2002" s="40"/>
      <c r="K2002" s="41"/>
      <c r="L2002" s="39"/>
      <c r="M2002" s="48" t="str">
        <f aca="false">IF($E2002="","",IFERROR(INDEX(Parâmetros!$C$15:$C$20,MATCH($P2002,Parâmetros!$B$15:$B$20,0)),""))</f>
        <v/>
      </c>
      <c r="N2002" s="46" t="str">
        <f aca="false">IF($E2002="","",IF($P2002="","",IF($P2002&gt;=8,"Alta",IF($P2002&gt;=5,"Média","Baixa"))))</f>
        <v/>
      </c>
      <c r="O2002" s="46" t="str">
        <f aca="false">IF($E2002="","",IF(AND(Parâmetros!$C$5&gt;0,$P2002&lt;&gt;"",$P2002&gt;=Parâmetros!$C$5),"Sim","Não"))</f>
        <v/>
      </c>
      <c r="P2002" s="45" t="str">
        <f aca="false">IF($E2002="","",IF($G2002="","",IF($G2002="NOK",$F2002,0)))</f>
        <v/>
      </c>
      <c r="Q2002" s="46" t="str">
        <f aca="false">IF($E2002="","",IF($O2002&lt;&gt;"Sim","",COUNTIF($O$3:$O2002,"Sim")))</f>
        <v/>
      </c>
      <c r="R2002" s="47" t="n">
        <f aca="false">IF($P2002="",0,$P2002)</f>
        <v>0</v>
      </c>
    </row>
  </sheetData>
  <autoFilter ref="A2:O2002"/>
  <conditionalFormatting sqref="M3:M2002">
    <cfRule type="cellIs" priority="2" operator="equal" aboveAverage="0" equalAverage="0" bottom="0" percent="0" rank="0" text="" dxfId="0">
      <formula>"Bloqueio"</formula>
    </cfRule>
    <cfRule type="cellIs" priority="3" operator="equal" aboveAverage="0" equalAverage="0" bottom="0" percent="0" rank="0" text="" dxfId="0">
      <formula>"Corrigir imediatamente"</formula>
    </cfRule>
    <cfRule type="cellIs" priority="4" operator="equal" aboveAverage="0" equalAverage="0" bottom="0" percent="0" rank="0" text="" dxfId="20">
      <formula>"Corrigir na próxima parada"</formula>
    </cfRule>
    <cfRule type="cellIs" priority="5" operator="equal" aboveAverage="0" equalAverage="0" bottom="0" percent="0" rank="0" text="" dxfId="1">
      <formula>"Programar correção"</formula>
    </cfRule>
    <cfRule type="cellIs" priority="6" operator="equal" aboveAverage="0" equalAverage="0" bottom="0" percent="0" rank="0" text="" dxfId="2">
      <formula>"Conforme / N/A"</formula>
    </cfRule>
  </conditionalFormatting>
  <conditionalFormatting sqref="G3:G2002">
    <cfRule type="cellIs" priority="7" operator="equal" aboveAverage="0" equalAverage="0" bottom="0" percent="0" rank="0" text="" dxfId="4">
      <formula>"NOK"</formula>
    </cfRule>
  </conditionalFormatting>
  <conditionalFormatting sqref="N3:N2002">
    <cfRule type="cellIs" priority="8" operator="equal" aboveAverage="0" equalAverage="0" bottom="0" percent="0" rank="0" text="" dxfId="4">
      <formula>"Alta"</formula>
    </cfRule>
  </conditionalFormatting>
  <dataValidations count="2">
    <dataValidation allowBlank="true" error="Use OK, NOK ou N/A." errorStyle="stop" errorTitle="Resposta" operator="between" showDropDown="false" showErrorMessage="false" showInputMessage="false" sqref="G3:G2002" type="list">
      <formula1>Parâmetros!$L$5:$L$7</formula1>
      <formula2>0</formula2>
    </dataValidation>
    <dataValidation allowBlank="true" errorStyle="stop" operator="between" showDropDown="false" showErrorMessage="false" showInputMessage="false" sqref="L3:L2002" type="list">
      <formula1>Parâmetros!$N$5:$N$6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A1:Q3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2" topLeftCell="E3" activePane="bottomRight" state="frozen"/>
      <selection pane="topLeft" activeCell="A1" activeCellId="0" sqref="A1"/>
      <selection pane="topRight" activeCell="E1" activeCellId="0" sqref="E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4" min="2" style="0" width="12"/>
    <col collapsed="false" customWidth="true" hidden="false" outlineLevel="0" max="7" min="5" style="0" width="22"/>
    <col collapsed="false" customWidth="true" hidden="false" outlineLevel="0" max="8" min="8" style="0" width="46"/>
    <col collapsed="false" customWidth="true" hidden="false" outlineLevel="0" max="9" min="9" style="0" width="11"/>
    <col collapsed="false" customWidth="true" hidden="false" outlineLevel="0" max="10" min="10" style="0" width="8"/>
    <col collapsed="false" customWidth="true" hidden="false" outlineLevel="0" max="11" min="11" style="0" width="12"/>
    <col collapsed="false" customWidth="true" hidden="false" outlineLevel="0" max="12" min="12" style="0" width="44"/>
    <col collapsed="false" customWidth="true" hidden="false" outlineLevel="0" max="13" min="13" style="0" width="18"/>
    <col collapsed="false" customWidth="true" hidden="false" outlineLevel="0" max="15" min="14" style="0" width="13"/>
    <col collapsed="false" customWidth="true" hidden="false" outlineLevel="0" max="16" min="16" style="0" width="12"/>
    <col collapsed="false" customWidth="true" hidden="true" outlineLevel="0" max="17" min="17" style="0" width="9"/>
    <col collapsed="false" customWidth="true" hidden="true" outlineLevel="0" max="18" min="18" style="0" width="13"/>
  </cols>
  <sheetData>
    <row r="1" customFormat="false" ht="17.35" hidden="false" customHeight="false" outlineLevel="0" collapsed="false">
      <c r="A1" s="13" t="s">
        <v>337</v>
      </c>
      <c r="E1" s="38" t="s">
        <v>338</v>
      </c>
    </row>
    <row r="2" customFormat="false" ht="33.75" hidden="false" customHeight="true" outlineLevel="0" collapsed="false">
      <c r="A2" s="18" t="s">
        <v>339</v>
      </c>
      <c r="B2" s="18" t="s">
        <v>285</v>
      </c>
      <c r="C2" s="18" t="s">
        <v>286</v>
      </c>
      <c r="D2" s="18" t="s">
        <v>251</v>
      </c>
      <c r="E2" s="18" t="s">
        <v>287</v>
      </c>
      <c r="F2" s="18" t="s">
        <v>103</v>
      </c>
      <c r="G2" s="18" t="s">
        <v>154</v>
      </c>
      <c r="H2" s="18" t="s">
        <v>340</v>
      </c>
      <c r="I2" s="18" t="s">
        <v>57</v>
      </c>
      <c r="J2" s="18" t="s">
        <v>82</v>
      </c>
      <c r="K2" s="18" t="s">
        <v>296</v>
      </c>
      <c r="L2" s="18" t="s">
        <v>292</v>
      </c>
      <c r="M2" s="18" t="s">
        <v>293</v>
      </c>
      <c r="N2" s="18" t="s">
        <v>294</v>
      </c>
      <c r="O2" s="18" t="s">
        <v>111</v>
      </c>
      <c r="P2" s="18" t="s">
        <v>341</v>
      </c>
      <c r="Q2" s="18" t="s">
        <v>342</v>
      </c>
    </row>
    <row r="3" customFormat="false" ht="18" hidden="false" customHeight="true" outlineLevel="0" collapsed="false">
      <c r="A3" s="39" t="n">
        <v>1</v>
      </c>
      <c r="B3" s="47" t="str">
        <f aca="false">IF($Q3="","",INDEX('Lançar Resultado'!$A$3:$A$2002,$Q3))</f>
        <v>COMP-01</v>
      </c>
      <c r="C3" s="44" t="n">
        <f aca="false">IF($Q3="","",INDEX('Lançar Resultado'!$B$3:$B$2002,$Q3))</f>
        <v>46232</v>
      </c>
      <c r="D3" s="46" t="str">
        <f aca="false">IF($Q3="","",IF(SUMPRODUCT((Inspeções!$B$3:$B$122=$B3)*(Inspeções!$A$3:$A$122=$C3)*(ROW(Inspeções!$B$3:$B$122)-3+1))=0,"",INDEX(Inspeções!$C$3:$C$122,SUMPRODUCT((Inspeções!$B$3:$B$122=$B3)*(Inspeções!$A$3:$A$122=$C3)*(ROW(Inspeções!$B$3:$B$122)-3+1)))))</f>
        <v>Carlos Silva</v>
      </c>
      <c r="E3" s="47" t="str">
        <f aca="false">IF($Q3="","",INDEX('Lançar Resultado'!$C$3:$C$2002,$Q3))</f>
        <v>Compressor de ar</v>
      </c>
      <c r="F3" s="47" t="str">
        <f aca="false">IF($Q3="","",IFERROR(INDEX(Equipamentos!$E$3:$E$52,MATCH($B3,Equipamentos!$A$3:$A$52,0)),""))</f>
        <v>Casa de Máquinas</v>
      </c>
      <c r="G3" s="47" t="str">
        <f aca="false">IF($Q3="","",INDEX('Lançar Resultado'!$D$3:$D$2002,$Q3))</f>
        <v>Reservatório</v>
      </c>
      <c r="H3" s="47" t="str">
        <f aca="false">IF($Q3="","",INDEX('Lançar Resultado'!$E$3:$E$2002,$Q3))</f>
        <v>Dreno do reservatório</v>
      </c>
      <c r="I3" s="46" t="str">
        <f aca="false">IF($Q3="","",INDEX('Lançar Resultado'!$G$3:$G$2002,$Q3))</f>
        <v>NOK</v>
      </c>
      <c r="J3" s="45" t="n">
        <f aca="false">IF($Q3="","",INDEX('Lançar Resultado'!$P$3:$P$2002,$Q3))</f>
        <v>5</v>
      </c>
      <c r="K3" s="46" t="str">
        <f aca="false">IF($Q3="","",INDEX('Lançar Resultado'!$N$3:$N$2002,$Q3))</f>
        <v>Média</v>
      </c>
      <c r="L3" s="47" t="str">
        <f aca="false">IF($Q3="","",INDEX('Lançar Resultado'!$I$3:$I$2002,$Q3))</f>
        <v>Programar drenagem do reservatório no fim do turno</v>
      </c>
      <c r="M3" s="47" t="str">
        <f aca="false">IF($Q3="","",INDEX('Lançar Resultado'!$J$3:$J$2002,$Q3))</f>
        <v>Carlos Silva</v>
      </c>
      <c r="N3" s="44" t="n">
        <f aca="false">IF($Q3="","",INDEX('Lançar Resultado'!$K$3:$K$2002,$Q3))</f>
        <v>46236</v>
      </c>
      <c r="O3" s="46" t="str">
        <f aca="false">IF($Q3="","",INDEX('Lançar Resultado'!$L$3:$L$2002,$Q3))</f>
        <v>Aberta</v>
      </c>
      <c r="P3" s="45" t="str">
        <f aca="false">IF($Q3="","",IF(OR($O3="Concluída",$N3=""),"",IF($N3&lt;INT(Parâmetros!$C$4),INT(Parâmetros!$C$4)-$N3,"")))</f>
        <v/>
      </c>
      <c r="Q3" s="45" t="n">
        <f aca="false">IFERROR(MATCH(1,'Lançar Resultado'!$Q$3:$Q$2002,0),"")</f>
        <v>7</v>
      </c>
    </row>
    <row r="4" customFormat="false" ht="18" hidden="false" customHeight="true" outlineLevel="0" collapsed="false">
      <c r="A4" s="39" t="n">
        <v>2</v>
      </c>
      <c r="B4" s="47" t="str">
        <f aca="false">IF($Q4="","",INDEX('Lançar Resultado'!$A$3:$A$2002,$Q4))</f>
        <v>TORN-02</v>
      </c>
      <c r="C4" s="44" t="n">
        <f aca="false">IF($Q4="","",INDEX('Lançar Resultado'!$B$3:$B$2002,$Q4))</f>
        <v>46228</v>
      </c>
      <c r="D4" s="46" t="str">
        <f aca="false">IF($Q4="","",IF(SUMPRODUCT((Inspeções!$B$3:$B$122=$B4)*(Inspeções!$A$3:$A$122=$C4)*(ROW(Inspeções!$B$3:$B$122)-3+1))=0,"",INDEX(Inspeções!$C$3:$C$122,SUMPRODUCT((Inspeções!$B$3:$B$122=$B4)*(Inspeções!$A$3:$A$122=$C4)*(ROW(Inspeções!$B$3:$B$122)-3+1)))))</f>
        <v>Juliana Reis</v>
      </c>
      <c r="E4" s="47" t="str">
        <f aca="false">IF($Q4="","",INDEX('Lançar Resultado'!$C$3:$C$2002,$Q4))</f>
        <v>Torno mecânico</v>
      </c>
      <c r="F4" s="47" t="str">
        <f aca="false">IF($Q4="","",IFERROR(INDEX(Equipamentos!$E$3:$E$52,MATCH($B4,Equipamentos!$A$3:$A$52,0)),""))</f>
        <v>Usinagem — Setor B</v>
      </c>
      <c r="G4" s="47" t="str">
        <f aca="false">IF($Q4="","",INDEX('Lançar Resultado'!$D$3:$D$2002,$Q4))</f>
        <v>Elétrica</v>
      </c>
      <c r="H4" s="47" t="str">
        <f aca="false">IF($Q4="","",INDEX('Lançar Resultado'!$E$3:$E$2002,$Q4))</f>
        <v>Botão de emergência funcional</v>
      </c>
      <c r="I4" s="46" t="str">
        <f aca="false">IF($Q4="","",INDEX('Lançar Resultado'!$G$3:$G$2002,$Q4))</f>
        <v>NOK</v>
      </c>
      <c r="J4" s="45" t="n">
        <f aca="false">IF($Q4="","",INDEX('Lançar Resultado'!$P$3:$P$2002,$Q4))</f>
        <v>10</v>
      </c>
      <c r="K4" s="46" t="str">
        <f aca="false">IF($Q4="","",INDEX('Lançar Resultado'!$N$3:$N$2002,$Q4))</f>
        <v>Alta</v>
      </c>
      <c r="L4" s="47" t="str">
        <f aca="false">IF($Q4="","",INDEX('Lançar Resultado'!$I$3:$I$2002,$Q4))</f>
        <v>Substituir o botão de emergência — máquina bloqueada até a correção</v>
      </c>
      <c r="M4" s="47" t="str">
        <f aca="false">IF($Q4="","",INDEX('Lançar Resultado'!$J$3:$J$2002,$Q4))</f>
        <v>Juliana Reis</v>
      </c>
      <c r="N4" s="44" t="n">
        <f aca="false">IF($Q4="","",INDEX('Lançar Resultado'!$K$3:$K$2002,$Q4))</f>
        <v>46233</v>
      </c>
      <c r="O4" s="46" t="str">
        <f aca="false">IF($Q4="","",INDEX('Lançar Resultado'!$L$3:$L$2002,$Q4))</f>
        <v>Aberta</v>
      </c>
      <c r="P4" s="45" t="n">
        <f aca="false">IF($Q4="","",IF(OR($O4="Concluída",$N4=""),"",IF($N4&lt;INT(Parâmetros!$C$4),INT(Parâmetros!$C$4)-$N4,"")))</f>
        <v>1</v>
      </c>
      <c r="Q4" s="45" t="n">
        <f aca="false">IFERROR(MATCH(2,'Lançar Resultado'!$Q$3:$Q$2002,0),"")</f>
        <v>11</v>
      </c>
    </row>
    <row r="5" customFormat="false" ht="18" hidden="false" customHeight="true" outlineLevel="0" collapsed="false">
      <c r="A5" s="39" t="n">
        <v>3</v>
      </c>
      <c r="B5" s="47" t="str">
        <f aca="false">IF($Q5="","",INDEX('Lançar Resultado'!$A$3:$A$2002,$Q5))</f>
        <v>TORN-02</v>
      </c>
      <c r="C5" s="44" t="n">
        <f aca="false">IF($Q5="","",INDEX('Lançar Resultado'!$B$3:$B$2002,$Q5))</f>
        <v>46228</v>
      </c>
      <c r="D5" s="46" t="str">
        <f aca="false">IF($Q5="","",IF(SUMPRODUCT((Inspeções!$B$3:$B$122=$B5)*(Inspeções!$A$3:$A$122=$C5)*(ROW(Inspeções!$B$3:$B$122)-3+1))=0,"",INDEX(Inspeções!$C$3:$C$122,SUMPRODUCT((Inspeções!$B$3:$B$122=$B5)*(Inspeções!$A$3:$A$122=$C5)*(ROW(Inspeções!$B$3:$B$122)-3+1)))))</f>
        <v>Juliana Reis</v>
      </c>
      <c r="E5" s="47" t="str">
        <f aca="false">IF($Q5="","",INDEX('Lançar Resultado'!$C$3:$C$2002,$Q5))</f>
        <v>Torno mecânico</v>
      </c>
      <c r="F5" s="47" t="str">
        <f aca="false">IF($Q5="","",IFERROR(INDEX(Equipamentos!$E$3:$E$52,MATCH($B5,Equipamentos!$A$3:$A$52,0)),""))</f>
        <v>Usinagem — Setor B</v>
      </c>
      <c r="G5" s="47" t="str">
        <f aca="false">IF($Q5="","",INDEX('Lançar Resultado'!$D$3:$D$2002,$Q5))</f>
        <v>Proteções</v>
      </c>
      <c r="H5" s="47" t="str">
        <f aca="false">IF($Q5="","",INDEX('Lançar Resultado'!$E$3:$E$2002,$Q5))</f>
        <v>Proteção da árvore e da castanha</v>
      </c>
      <c r="I5" s="46" t="str">
        <f aca="false">IF($Q5="","",INDEX('Lançar Resultado'!$G$3:$G$2002,$Q5))</f>
        <v>NOK</v>
      </c>
      <c r="J5" s="45" t="n">
        <f aca="false">IF($Q5="","",INDEX('Lançar Resultado'!$P$3:$P$2002,$Q5))</f>
        <v>9</v>
      </c>
      <c r="K5" s="46" t="str">
        <f aca="false">IF($Q5="","",INDEX('Lançar Resultado'!$N$3:$N$2002,$Q5))</f>
        <v>Alta</v>
      </c>
      <c r="L5" s="47" t="str">
        <f aca="false">IF($Q5="","",INDEX('Lançar Resultado'!$I$3:$I$2002,$Q5))</f>
        <v>Reinstalar a proteção da castanha</v>
      </c>
      <c r="M5" s="47" t="str">
        <f aca="false">IF($Q5="","",INDEX('Lançar Resultado'!$J$3:$J$2002,$Q5))</f>
        <v>Juliana Reis</v>
      </c>
      <c r="N5" s="44" t="n">
        <f aca="false">IF($Q5="","",INDEX('Lançar Resultado'!$K$3:$K$2002,$Q5))</f>
        <v>46237</v>
      </c>
      <c r="O5" s="46" t="str">
        <f aca="false">IF($Q5="","",INDEX('Lançar Resultado'!$L$3:$L$2002,$Q5))</f>
        <v>Aberta</v>
      </c>
      <c r="P5" s="45" t="str">
        <f aca="false">IF($Q5="","",IF(OR($O5="Concluída",$N5=""),"",IF($N5&lt;INT(Parâmetros!$C$4),INT(Parâmetros!$C$4)-$N5,"")))</f>
        <v/>
      </c>
      <c r="Q5" s="45" t="n">
        <f aca="false">IFERROR(MATCH(3,'Lançar Resultado'!$Q$3:$Q$2002,0),"")</f>
        <v>12</v>
      </c>
    </row>
    <row r="6" customFormat="false" ht="18" hidden="false" customHeight="true" outlineLevel="0" collapsed="false">
      <c r="A6" s="39" t="n">
        <v>4</v>
      </c>
      <c r="B6" s="47" t="str">
        <f aca="false">IF($Q6="","",INDEX('Lançar Resultado'!$A$3:$A$2002,$Q6))</f>
        <v>TORN-02</v>
      </c>
      <c r="C6" s="44" t="n">
        <f aca="false">IF($Q6="","",INDEX('Lançar Resultado'!$B$3:$B$2002,$Q6))</f>
        <v>46228</v>
      </c>
      <c r="D6" s="46" t="str">
        <f aca="false">IF($Q6="","",IF(SUMPRODUCT((Inspeções!$B$3:$B$122=$B6)*(Inspeções!$A$3:$A$122=$C6)*(ROW(Inspeções!$B$3:$B$122)-3+1))=0,"",INDEX(Inspeções!$C$3:$C$122,SUMPRODUCT((Inspeções!$B$3:$B$122=$B6)*(Inspeções!$A$3:$A$122=$C6)*(ROW(Inspeções!$B$3:$B$122)-3+1)))))</f>
        <v>Juliana Reis</v>
      </c>
      <c r="E6" s="47" t="str">
        <f aca="false">IF($Q6="","",INDEX('Lançar Resultado'!$C$3:$C$2002,$Q6))</f>
        <v>Torno mecânico</v>
      </c>
      <c r="F6" s="47" t="str">
        <f aca="false">IF($Q6="","",IFERROR(INDEX(Equipamentos!$E$3:$E$52,MATCH($B6,Equipamentos!$A$3:$A$52,0)),""))</f>
        <v>Usinagem — Setor B</v>
      </c>
      <c r="G6" s="47" t="str">
        <f aca="false">IF($Q6="","",INDEX('Lançar Resultado'!$D$3:$D$2002,$Q6))</f>
        <v>Refrigeração</v>
      </c>
      <c r="H6" s="47" t="str">
        <f aca="false">IF($Q6="","",INDEX('Lançar Resultado'!$E$3:$E$2002,$Q6))</f>
        <v>Sistema de refrigeração do corte</v>
      </c>
      <c r="I6" s="46" t="str">
        <f aca="false">IF($Q6="","",INDEX('Lançar Resultado'!$G$3:$G$2002,$Q6))</f>
        <v>NOK</v>
      </c>
      <c r="J6" s="45" t="n">
        <f aca="false">IF($Q6="","",INDEX('Lançar Resultado'!$P$3:$P$2002,$Q6))</f>
        <v>5</v>
      </c>
      <c r="K6" s="46" t="str">
        <f aca="false">IF($Q6="","",INDEX('Lançar Resultado'!$N$3:$N$2002,$Q6))</f>
        <v>Média</v>
      </c>
      <c r="L6" s="47" t="str">
        <f aca="false">IF($Q6="","",INDEX('Lançar Resultado'!$I$3:$I$2002,$Q6))</f>
        <v>Desobstruir o circuito e testar a bomba</v>
      </c>
      <c r="M6" s="47" t="str">
        <f aca="false">IF($Q6="","",INDEX('Lançar Resultado'!$J$3:$J$2002,$Q6))</f>
        <v>Juliana Reis</v>
      </c>
      <c r="N6" s="44" t="n">
        <f aca="false">IF($Q6="","",INDEX('Lançar Resultado'!$K$3:$K$2002,$Q6))</f>
        <v>46244</v>
      </c>
      <c r="O6" s="46" t="str">
        <f aca="false">IF($Q6="","",INDEX('Lançar Resultado'!$L$3:$L$2002,$Q6))</f>
        <v>Aberta</v>
      </c>
      <c r="P6" s="45" t="str">
        <f aca="false">IF($Q6="","",IF(OR($O6="Concluída",$N6=""),"",IF($N6&lt;INT(Parâmetros!$C$4),INT(Parâmetros!$C$4)-$N6,"")))</f>
        <v/>
      </c>
      <c r="Q6" s="45" t="n">
        <f aca="false">IFERROR(MATCH(4,'Lançar Resultado'!$Q$3:$Q$2002,0),"")</f>
        <v>16</v>
      </c>
    </row>
    <row r="7" customFormat="false" ht="18" hidden="false" customHeight="true" outlineLevel="0" collapsed="false">
      <c r="A7" s="39" t="n">
        <v>5</v>
      </c>
      <c r="B7" s="47" t="str">
        <f aca="false">IF($Q7="","",INDEX('Lançar Resultado'!$A$3:$A$2002,$Q7))</f>
        <v>EMPI-01</v>
      </c>
      <c r="C7" s="44" t="n">
        <f aca="false">IF($Q7="","",INDEX('Lançar Resultado'!$B$3:$B$2002,$Q7))</f>
        <v>46223</v>
      </c>
      <c r="D7" s="46" t="str">
        <f aca="false">IF($Q7="","",IF(SUMPRODUCT((Inspeções!$B$3:$B$122=$B7)*(Inspeções!$A$3:$A$122=$C7)*(ROW(Inspeções!$B$3:$B$122)-3+1))=0,"",INDEX(Inspeções!$C$3:$C$122,SUMPRODUCT((Inspeções!$B$3:$B$122=$B7)*(Inspeções!$A$3:$A$122=$C7)*(ROW(Inspeções!$B$3:$B$122)-3+1)))))</f>
        <v>Rafael Lima</v>
      </c>
      <c r="E7" s="47" t="str">
        <f aca="false">IF($Q7="","",INDEX('Lançar Resultado'!$C$3:$C$2002,$Q7))</f>
        <v>Empilhadeira</v>
      </c>
      <c r="F7" s="47" t="str">
        <f aca="false">IF($Q7="","",IFERROR(INDEX(Equipamentos!$E$3:$E$52,MATCH($B7,Equipamentos!$A$3:$A$52,0)),""))</f>
        <v>Expedição</v>
      </c>
      <c r="G7" s="47" t="str">
        <f aca="false">IF($Q7="","",INDEX('Lançar Resultado'!$D$3:$D$2002,$Q7))</f>
        <v>Documentação</v>
      </c>
      <c r="H7" s="47" t="str">
        <f aca="false">IF($Q7="","",INDEX('Lançar Resultado'!$E$3:$E$2002,$Q7))</f>
        <v>Habilitação do operador (NR-11) vigente</v>
      </c>
      <c r="I7" s="46" t="str">
        <f aca="false">IF($Q7="","",INDEX('Lançar Resultado'!$G$3:$G$2002,$Q7))</f>
        <v>NOK</v>
      </c>
      <c r="J7" s="45" t="n">
        <f aca="false">IF($Q7="","",INDEX('Lançar Resultado'!$P$3:$P$2002,$Q7))</f>
        <v>9</v>
      </c>
      <c r="K7" s="46" t="str">
        <f aca="false">IF($Q7="","",INDEX('Lançar Resultado'!$N$3:$N$2002,$Q7))</f>
        <v>Alta</v>
      </c>
      <c r="L7" s="47" t="str">
        <f aca="false">IF($Q7="","",INDEX('Lançar Resultado'!$I$3:$I$2002,$Q7))</f>
        <v>Reciclagem do operador — NR-11</v>
      </c>
      <c r="M7" s="47" t="str">
        <f aca="false">IF($Q7="","",INDEX('Lançar Resultado'!$J$3:$J$2002,$Q7))</f>
        <v>Rafael Lima</v>
      </c>
      <c r="N7" s="44" t="n">
        <f aca="false">IF($Q7="","",INDEX('Lançar Resultado'!$K$3:$K$2002,$Q7))</f>
        <v>46230</v>
      </c>
      <c r="O7" s="46" t="str">
        <f aca="false">IF($Q7="","",INDEX('Lançar Resultado'!$L$3:$L$2002,$Q7))</f>
        <v>Aberta</v>
      </c>
      <c r="P7" s="45" t="n">
        <f aca="false">IF($Q7="","",IF(OR($O7="Concluída",$N7=""),"",IF($N7&lt;INT(Parâmetros!$C$4),INT(Parâmetros!$C$4)-$N7,"")))</f>
        <v>4</v>
      </c>
      <c r="Q7" s="45" t="n">
        <f aca="false">IFERROR(MATCH(5,'Lançar Resultado'!$Q$3:$Q$2002,0),"")</f>
        <v>19</v>
      </c>
    </row>
    <row r="8" customFormat="false" ht="18" hidden="false" customHeight="true" outlineLevel="0" collapsed="false">
      <c r="A8" s="39" t="n">
        <v>6</v>
      </c>
      <c r="B8" s="47" t="str">
        <f aca="false">IF($Q8="","",INDEX('Lançar Resultado'!$A$3:$A$2002,$Q8))</f>
        <v>EMPI-01</v>
      </c>
      <c r="C8" s="44" t="n">
        <f aca="false">IF($Q8="","",INDEX('Lançar Resultado'!$B$3:$B$2002,$Q8))</f>
        <v>46223</v>
      </c>
      <c r="D8" s="46" t="str">
        <f aca="false">IF($Q8="","",IF(SUMPRODUCT((Inspeções!$B$3:$B$122=$B8)*(Inspeções!$A$3:$A$122=$C8)*(ROW(Inspeções!$B$3:$B$122)-3+1))=0,"",INDEX(Inspeções!$C$3:$C$122,SUMPRODUCT((Inspeções!$B$3:$B$122=$B8)*(Inspeções!$A$3:$A$122=$C8)*(ROW(Inspeções!$B$3:$B$122)-3+1)))))</f>
        <v>Rafael Lima</v>
      </c>
      <c r="E8" s="47" t="str">
        <f aca="false">IF($Q8="","",INDEX('Lançar Resultado'!$C$3:$C$2002,$Q8))</f>
        <v>Empilhadeira</v>
      </c>
      <c r="F8" s="47" t="str">
        <f aca="false">IF($Q8="","",IFERROR(INDEX(Equipamentos!$E$3:$E$52,MATCH($B8,Equipamentos!$A$3:$A$52,0)),""))</f>
        <v>Expedição</v>
      </c>
      <c r="G8" s="47" t="str">
        <f aca="false">IF($Q8="","",INDEX('Lançar Resultado'!$D$3:$D$2002,$Q8))</f>
        <v>Elevação</v>
      </c>
      <c r="H8" s="47" t="str">
        <f aca="false">IF($Q8="","",INDEX('Lançar Resultado'!$E$3:$E$2002,$Q8))</f>
        <v>Correntes de elevação e lubrificação</v>
      </c>
      <c r="I8" s="46" t="str">
        <f aca="false">IF($Q8="","",INDEX('Lançar Resultado'!$G$3:$G$2002,$Q8))</f>
        <v>NOK</v>
      </c>
      <c r="J8" s="45" t="n">
        <f aca="false">IF($Q8="","",INDEX('Lançar Resultado'!$P$3:$P$2002,$Q8))</f>
        <v>7</v>
      </c>
      <c r="K8" s="46" t="str">
        <f aca="false">IF($Q8="","",INDEX('Lançar Resultado'!$N$3:$N$2002,$Q8))</f>
        <v>Média</v>
      </c>
      <c r="L8" s="47" t="str">
        <f aca="false">IF($Q8="","",INDEX('Lançar Resultado'!$I$3:$I$2002,$Q8))</f>
        <v>Lubrificar as correntes de elevação</v>
      </c>
      <c r="M8" s="47" t="str">
        <f aca="false">IF($Q8="","",INDEX('Lançar Resultado'!$J$3:$J$2002,$Q8))</f>
        <v>Rafael Lima</v>
      </c>
      <c r="N8" s="44" t="n">
        <f aca="false">IF($Q8="","",INDEX('Lançar Resultado'!$K$3:$K$2002,$Q8))</f>
        <v>46240</v>
      </c>
      <c r="O8" s="46" t="str">
        <f aca="false">IF($Q8="","",INDEX('Lançar Resultado'!$L$3:$L$2002,$Q8))</f>
        <v>Aberta</v>
      </c>
      <c r="P8" s="45" t="str">
        <f aca="false">IF($Q8="","",IF(OR($O8="Concluída",$N8=""),"",IF($N8&lt;INT(Parâmetros!$C$4),INT(Parâmetros!$C$4)-$N8,"")))</f>
        <v/>
      </c>
      <c r="Q8" s="45" t="n">
        <f aca="false">IFERROR(MATCH(6,'Lançar Resultado'!$Q$3:$Q$2002,0),"")</f>
        <v>21</v>
      </c>
    </row>
    <row r="9" customFormat="false" ht="18" hidden="false" customHeight="true" outlineLevel="0" collapsed="false">
      <c r="A9" s="39" t="n">
        <v>7</v>
      </c>
      <c r="B9" s="47" t="str">
        <f aca="false">IF($Q9="","",INDEX('Lançar Resultado'!$A$3:$A$2002,$Q9))</f>
        <v>EMPI-01</v>
      </c>
      <c r="C9" s="44" t="n">
        <f aca="false">IF($Q9="","",INDEX('Lançar Resultado'!$B$3:$B$2002,$Q9))</f>
        <v>46223</v>
      </c>
      <c r="D9" s="46" t="str">
        <f aca="false">IF($Q9="","",IF(SUMPRODUCT((Inspeções!$B$3:$B$122=$B9)*(Inspeções!$A$3:$A$122=$C9)*(ROW(Inspeções!$B$3:$B$122)-3+1))=0,"",INDEX(Inspeções!$C$3:$C$122,SUMPRODUCT((Inspeções!$B$3:$B$122=$B9)*(Inspeções!$A$3:$A$122=$C9)*(ROW(Inspeções!$B$3:$B$122)-3+1)))))</f>
        <v>Rafael Lima</v>
      </c>
      <c r="E9" s="47" t="str">
        <f aca="false">IF($Q9="","",INDEX('Lançar Resultado'!$C$3:$C$2002,$Q9))</f>
        <v>Empilhadeira</v>
      </c>
      <c r="F9" s="47" t="str">
        <f aca="false">IF($Q9="","",IFERROR(INDEX(Equipamentos!$E$3:$E$52,MATCH($B9,Equipamentos!$A$3:$A$52,0)),""))</f>
        <v>Expedição</v>
      </c>
      <c r="G9" s="47" t="str">
        <f aca="false">IF($Q9="","",INDEX('Lançar Resultado'!$D$3:$D$2002,$Q9))</f>
        <v>Elevação</v>
      </c>
      <c r="H9" s="47" t="str">
        <f aca="false">IF($Q9="","",INDEX('Lançar Resultado'!$E$3:$E$2002,$Q9))</f>
        <v>Vazamento no cilindro de elevação</v>
      </c>
      <c r="I9" s="46" t="str">
        <f aca="false">IF($Q9="","",INDEX('Lançar Resultado'!$G$3:$G$2002,$Q9))</f>
        <v>NOK</v>
      </c>
      <c r="J9" s="45" t="n">
        <f aca="false">IF($Q9="","",INDEX('Lançar Resultado'!$P$3:$P$2002,$Q9))</f>
        <v>7</v>
      </c>
      <c r="K9" s="46" t="str">
        <f aca="false">IF($Q9="","",INDEX('Lançar Resultado'!$N$3:$N$2002,$Q9))</f>
        <v>Média</v>
      </c>
      <c r="L9" s="47" t="str">
        <f aca="false">IF($Q9="","",INDEX('Lançar Resultado'!$I$3:$I$2002,$Q9))</f>
        <v>Trocar o vedante do cilindro de elevação</v>
      </c>
      <c r="M9" s="47" t="str">
        <f aca="false">IF($Q9="","",INDEX('Lançar Resultado'!$J$3:$J$2002,$Q9))</f>
        <v>Rafael Lima</v>
      </c>
      <c r="N9" s="44" t="n">
        <f aca="false">IF($Q9="","",INDEX('Lançar Resultado'!$K$3:$K$2002,$Q9))</f>
        <v>46248</v>
      </c>
      <c r="O9" s="46" t="str">
        <f aca="false">IF($Q9="","",INDEX('Lançar Resultado'!$L$3:$L$2002,$Q9))</f>
        <v>Aberta</v>
      </c>
      <c r="P9" s="45" t="str">
        <f aca="false">IF($Q9="","",IF(OR($O9="Concluída",$N9=""),"",IF($N9&lt;INT(Parâmetros!$C$4),INT(Parâmetros!$C$4)-$N9,"")))</f>
        <v/>
      </c>
      <c r="Q9" s="45" t="n">
        <f aca="false">IFERROR(MATCH(7,'Lançar Resultado'!$Q$3:$Q$2002,0),"")</f>
        <v>22</v>
      </c>
    </row>
    <row r="10" customFormat="false" ht="18" hidden="false" customHeight="true" outlineLevel="0" collapsed="false">
      <c r="A10" s="39" t="n">
        <v>8</v>
      </c>
      <c r="B10" s="47" t="str">
        <f aca="false">IF($Q10="","",INDEX('Lançar Resultado'!$A$3:$A$2002,$Q10))</f>
        <v>EMPI-01</v>
      </c>
      <c r="C10" s="44" t="n">
        <f aca="false">IF($Q10="","",INDEX('Lançar Resultado'!$B$3:$B$2002,$Q10))</f>
        <v>46223</v>
      </c>
      <c r="D10" s="46" t="str">
        <f aca="false">IF($Q10="","",IF(SUMPRODUCT((Inspeções!$B$3:$B$122=$B10)*(Inspeções!$A$3:$A$122=$C10)*(ROW(Inspeções!$B$3:$B$122)-3+1))=0,"",INDEX(Inspeções!$C$3:$C$122,SUMPRODUCT((Inspeções!$B$3:$B$122=$B10)*(Inspeções!$A$3:$A$122=$C10)*(ROW(Inspeções!$B$3:$B$122)-3+1)))))</f>
        <v>Rafael Lima</v>
      </c>
      <c r="E10" s="47" t="str">
        <f aca="false">IF($Q10="","",INDEX('Lançar Resultado'!$C$3:$C$2002,$Q10))</f>
        <v>Empilhadeira</v>
      </c>
      <c r="F10" s="47" t="str">
        <f aca="false">IF($Q10="","",IFERROR(INDEX(Equipamentos!$E$3:$E$52,MATCH($B10,Equipamentos!$A$3:$A$52,0)),""))</f>
        <v>Expedição</v>
      </c>
      <c r="G10" s="47" t="str">
        <f aca="false">IF($Q10="","",INDEX('Lançar Resultado'!$D$3:$D$2002,$Q10))</f>
        <v>Segurança</v>
      </c>
      <c r="H10" s="47" t="str">
        <f aca="false">IF($Q10="","",INDEX('Lançar Resultado'!$E$3:$E$2002,$Q10))</f>
        <v>Alarme de ré e sinalização sonora</v>
      </c>
      <c r="I10" s="46" t="str">
        <f aca="false">IF($Q10="","",INDEX('Lançar Resultado'!$G$3:$G$2002,$Q10))</f>
        <v>NOK</v>
      </c>
      <c r="J10" s="45" t="n">
        <f aca="false">IF($Q10="","",INDEX('Lançar Resultado'!$P$3:$P$2002,$Q10))</f>
        <v>7</v>
      </c>
      <c r="K10" s="46" t="str">
        <f aca="false">IF($Q10="","",INDEX('Lançar Resultado'!$N$3:$N$2002,$Q10))</f>
        <v>Média</v>
      </c>
      <c r="L10" s="47" t="str">
        <f aca="false">IF($Q10="","",INDEX('Lançar Resultado'!$I$3:$I$2002,$Q10))</f>
        <v>Substituir o alarme de ré</v>
      </c>
      <c r="M10" s="47" t="str">
        <f aca="false">IF($Q10="","",INDEX('Lançar Resultado'!$J$3:$J$2002,$Q10))</f>
        <v>Rafael Lima</v>
      </c>
      <c r="N10" s="44" t="n">
        <f aca="false">IF($Q10="","",INDEX('Lançar Resultado'!$K$3:$K$2002,$Q10))</f>
        <v>46238</v>
      </c>
      <c r="O10" s="46" t="str">
        <f aca="false">IF($Q10="","",INDEX('Lançar Resultado'!$L$3:$L$2002,$Q10))</f>
        <v>Aberta</v>
      </c>
      <c r="P10" s="45" t="str">
        <f aca="false">IF($Q10="","",IF(OR($O10="Concluída",$N10=""),"",IF($N10&lt;INT(Parâmetros!$C$4),INT(Parâmetros!$C$4)-$N10,"")))</f>
        <v/>
      </c>
      <c r="Q10" s="45" t="n">
        <f aca="false">IFERROR(MATCH(8,'Lançar Resultado'!$Q$3:$Q$2002,0),"")</f>
        <v>24</v>
      </c>
    </row>
    <row r="11" customFormat="false" ht="18" hidden="false" customHeight="true" outlineLevel="0" collapsed="false">
      <c r="A11" s="39" t="n">
        <v>9</v>
      </c>
      <c r="B11" s="47" t="str">
        <f aca="false">IF($Q11="","",INDEX('Lançar Resultado'!$A$3:$A$2002,$Q11))</f>
        <v>ESTE-01</v>
      </c>
      <c r="C11" s="44" t="n">
        <f aca="false">IF($Q11="","",INDEX('Lançar Resultado'!$B$3:$B$2002,$Q11))</f>
        <v>46209</v>
      </c>
      <c r="D11" s="46" t="str">
        <f aca="false">IF($Q11="","",IF(SUMPRODUCT((Inspeções!$B$3:$B$122=$B11)*(Inspeções!$A$3:$A$122=$C11)*(ROW(Inspeções!$B$3:$B$122)-3+1))=0,"",INDEX(Inspeções!$C$3:$C$122,SUMPRODUCT((Inspeções!$B$3:$B$122=$B11)*(Inspeções!$A$3:$A$122=$C11)*(ROW(Inspeções!$B$3:$B$122)-3+1)))))</f>
        <v>Carlos Silva</v>
      </c>
      <c r="E11" s="47" t="str">
        <f aca="false">IF($Q11="","",INDEX('Lançar Resultado'!$C$3:$C$2002,$Q11))</f>
        <v>Esteira transportadora</v>
      </c>
      <c r="F11" s="47" t="str">
        <f aca="false">IF($Q11="","",IFERROR(INDEX(Equipamentos!$E$3:$E$52,MATCH($B11,Equipamentos!$A$3:$A$52,0)),""))</f>
        <v>Expedição</v>
      </c>
      <c r="G11" s="47" t="str">
        <f aca="false">IF($Q11="","",INDEX('Lançar Resultado'!$D$3:$D$2002,$Q11))</f>
        <v>Correia</v>
      </c>
      <c r="H11" s="47" t="str">
        <f aca="false">IF($Q11="","",INDEX('Lançar Resultado'!$E$3:$E$2002,$Q11))</f>
        <v>Emendas e desgaste da correia</v>
      </c>
      <c r="I11" s="46" t="str">
        <f aca="false">IF($Q11="","",INDEX('Lançar Resultado'!$G$3:$G$2002,$Q11))</f>
        <v>NOK</v>
      </c>
      <c r="J11" s="45" t="n">
        <f aca="false">IF($Q11="","",INDEX('Lançar Resultado'!$P$3:$P$2002,$Q11))</f>
        <v>7</v>
      </c>
      <c r="K11" s="46" t="str">
        <f aca="false">IF($Q11="","",INDEX('Lançar Resultado'!$N$3:$N$2002,$Q11))</f>
        <v>Média</v>
      </c>
      <c r="L11" s="47" t="str">
        <f aca="false">IF($Q11="","",INDEX('Lançar Resultado'!$I$3:$I$2002,$Q11))</f>
        <v>Refazer a emenda da correia</v>
      </c>
      <c r="M11" s="47" t="str">
        <f aca="false">IF($Q11="","",INDEX('Lançar Resultado'!$J$3:$J$2002,$Q11))</f>
        <v>Carlos Silva</v>
      </c>
      <c r="N11" s="44" t="n">
        <f aca="false">IF($Q11="","",INDEX('Lançar Resultado'!$K$3:$K$2002,$Q11))</f>
        <v>46232</v>
      </c>
      <c r="O11" s="46" t="str">
        <f aca="false">IF($Q11="","",INDEX('Lançar Resultado'!$L$3:$L$2002,$Q11))</f>
        <v>Aberta</v>
      </c>
      <c r="P11" s="45" t="n">
        <f aca="false">IF($Q11="","",IF(OR($O11="Concluída",$N11=""),"",IF($N11&lt;INT(Parâmetros!$C$4),INT(Parâmetros!$C$4)-$N11,"")))</f>
        <v>2</v>
      </c>
      <c r="Q11" s="45" t="n">
        <f aca="false">IFERROR(MATCH(9,'Lançar Resultado'!$Q$3:$Q$2002,0),"")</f>
        <v>31</v>
      </c>
    </row>
    <row r="12" customFormat="false" ht="18" hidden="false" customHeight="true" outlineLevel="0" collapsed="false">
      <c r="A12" s="39" t="n">
        <v>10</v>
      </c>
      <c r="B12" s="47" t="str">
        <f aca="false">IF($Q12="","",INDEX('Lançar Resultado'!$A$3:$A$2002,$Q12))</f>
        <v>ESTE-01</v>
      </c>
      <c r="C12" s="44" t="n">
        <f aca="false">IF($Q12="","",INDEX('Lançar Resultado'!$B$3:$B$2002,$Q12))</f>
        <v>46209</v>
      </c>
      <c r="D12" s="46" t="str">
        <f aca="false">IF($Q12="","",IF(SUMPRODUCT((Inspeções!$B$3:$B$122=$B12)*(Inspeções!$A$3:$A$122=$C12)*(ROW(Inspeções!$B$3:$B$122)-3+1))=0,"",INDEX(Inspeções!$C$3:$C$122,SUMPRODUCT((Inspeções!$B$3:$B$122=$B12)*(Inspeções!$A$3:$A$122=$C12)*(ROW(Inspeções!$B$3:$B$122)-3+1)))))</f>
        <v>Carlos Silva</v>
      </c>
      <c r="E12" s="47" t="str">
        <f aca="false">IF($Q12="","",INDEX('Lançar Resultado'!$C$3:$C$2002,$Q12))</f>
        <v>Esteira transportadora</v>
      </c>
      <c r="F12" s="47" t="str">
        <f aca="false">IF($Q12="","",IFERROR(INDEX(Equipamentos!$E$3:$E$52,MATCH($B12,Equipamentos!$A$3:$A$52,0)),""))</f>
        <v>Expedição</v>
      </c>
      <c r="G12" s="47" t="str">
        <f aca="false">IF($Q12="","",INDEX('Lançar Resultado'!$D$3:$D$2002,$Q12))</f>
        <v>Roletes</v>
      </c>
      <c r="H12" s="47" t="str">
        <f aca="false">IF($Q12="","",INDEX('Lançar Resultado'!$E$3:$E$2002,$Q12))</f>
        <v>Roletes travados ou ruidosos</v>
      </c>
      <c r="I12" s="46" t="str">
        <f aca="false">IF($Q12="","",INDEX('Lançar Resultado'!$G$3:$G$2002,$Q12))</f>
        <v>NOK</v>
      </c>
      <c r="J12" s="45" t="n">
        <f aca="false">IF($Q12="","",INDEX('Lançar Resultado'!$P$3:$P$2002,$Q12))</f>
        <v>5</v>
      </c>
      <c r="K12" s="46" t="str">
        <f aca="false">IF($Q12="","",INDEX('Lançar Resultado'!$N$3:$N$2002,$Q12))</f>
        <v>Média</v>
      </c>
      <c r="L12" s="47" t="str">
        <f aca="false">IF($Q12="","",INDEX('Lançar Resultado'!$I$3:$I$2002,$Q12))</f>
        <v>Substituir os roletes travados</v>
      </c>
      <c r="M12" s="47" t="str">
        <f aca="false">IF($Q12="","",INDEX('Lançar Resultado'!$J$3:$J$2002,$Q12))</f>
        <v>Carlos Silva</v>
      </c>
      <c r="N12" s="44" t="n">
        <f aca="false">IF($Q12="","",INDEX('Lançar Resultado'!$K$3:$K$2002,$Q12))</f>
        <v>46243</v>
      </c>
      <c r="O12" s="46" t="str">
        <f aca="false">IF($Q12="","",INDEX('Lançar Resultado'!$L$3:$L$2002,$Q12))</f>
        <v>Aberta</v>
      </c>
      <c r="P12" s="45" t="str">
        <f aca="false">IF($Q12="","",IF(OR($O12="Concluída",$N12=""),"",IF($N12&lt;INT(Parâmetros!$C$4),INT(Parâmetros!$C$4)-$N12,"")))</f>
        <v/>
      </c>
      <c r="Q12" s="45" t="n">
        <f aca="false">IFERROR(MATCH(10,'Lançar Resultado'!$Q$3:$Q$2002,0),"")</f>
        <v>32</v>
      </c>
    </row>
    <row r="13" customFormat="false" ht="18" hidden="false" customHeight="true" outlineLevel="0" collapsed="false">
      <c r="A13" s="39" t="n">
        <v>11</v>
      </c>
      <c r="B13" s="47" t="str">
        <f aca="false">IF($Q13="","",INDEX('Lançar Resultado'!$A$3:$A$2002,$Q13))</f>
        <v>PREN-01</v>
      </c>
      <c r="C13" s="44" t="n">
        <f aca="false">IF($Q13="","",INDEX('Lançar Resultado'!$B$3:$B$2002,$Q13))</f>
        <v>46194</v>
      </c>
      <c r="D13" s="46" t="str">
        <f aca="false">IF($Q13="","",IF(SUMPRODUCT((Inspeções!$B$3:$B$122=$B13)*(Inspeções!$A$3:$A$122=$C13)*(ROW(Inspeções!$B$3:$B$122)-3+1))=0,"",INDEX(Inspeções!$C$3:$C$122,SUMPRODUCT((Inspeções!$B$3:$B$122=$B13)*(Inspeções!$A$3:$A$122=$C13)*(ROW(Inspeções!$B$3:$B$122)-3+1)))))</f>
        <v>Juliana Reis</v>
      </c>
      <c r="E13" s="47" t="str">
        <f aca="false">IF($Q13="","",INDEX('Lançar Resultado'!$C$3:$C$2002,$Q13))</f>
        <v>Prensa hidráulica</v>
      </c>
      <c r="F13" s="47" t="str">
        <f aca="false">IF($Q13="","",IFERROR(INDEX(Equipamentos!$E$3:$E$52,MATCH($B13,Equipamentos!$A$3:$A$52,0)),""))</f>
        <v>Estamparia</v>
      </c>
      <c r="G13" s="47" t="str">
        <f aca="false">IF($Q13="","",INDEX('Lançar Resultado'!$D$3:$D$2002,$Q13))</f>
        <v>Segurança</v>
      </c>
      <c r="H13" s="47" t="str">
        <f aca="false">IF($Q13="","",INDEX('Lançar Resultado'!$E$3:$E$2002,$Q13))</f>
        <v>Cortina de luz ou proteção fixa</v>
      </c>
      <c r="I13" s="46" t="str">
        <f aca="false">IF($Q13="","",INDEX('Lançar Resultado'!$G$3:$G$2002,$Q13))</f>
        <v>NOK</v>
      </c>
      <c r="J13" s="45" t="n">
        <f aca="false">IF($Q13="","",INDEX('Lançar Resultado'!$P$3:$P$2002,$Q13))</f>
        <v>10</v>
      </c>
      <c r="K13" s="46" t="str">
        <f aca="false">IF($Q13="","",INDEX('Lançar Resultado'!$N$3:$N$2002,$Q13))</f>
        <v>Alta</v>
      </c>
      <c r="L13" s="47" t="str">
        <f aca="false">IF($Q13="","",INDEX('Lançar Resultado'!$I$3:$I$2002,$Q13))</f>
        <v>Realinhar e testar a cortina de luz — máquina bloqueada até a correção</v>
      </c>
      <c r="M13" s="47" t="str">
        <f aca="false">IF($Q13="","",INDEX('Lançar Resultado'!$J$3:$J$2002,$Q13))</f>
        <v>Juliana Reis</v>
      </c>
      <c r="N13" s="44" t="n">
        <f aca="false">IF($Q13="","",INDEX('Lançar Resultado'!$K$3:$K$2002,$Q13))</f>
        <v>46226</v>
      </c>
      <c r="O13" s="46" t="str">
        <f aca="false">IF($Q13="","",INDEX('Lançar Resultado'!$L$3:$L$2002,$Q13))</f>
        <v>Aberta</v>
      </c>
      <c r="P13" s="45" t="n">
        <f aca="false">IF($Q13="","",IF(OR($O13="Concluída",$N13=""),"",IF($N13&lt;INT(Parâmetros!$C$4),INT(Parâmetros!$C$4)-$N13,"")))</f>
        <v>8</v>
      </c>
      <c r="Q13" s="45" t="n">
        <f aca="false">IFERROR(MATCH(11,'Lançar Resultado'!$Q$3:$Q$2002,0),"")</f>
        <v>37</v>
      </c>
    </row>
    <row r="14" customFormat="false" ht="18" hidden="false" customHeight="true" outlineLevel="0" collapsed="false">
      <c r="A14" s="39" t="n">
        <v>12</v>
      </c>
      <c r="B14" s="47" t="str">
        <f aca="false">IF($Q14="","",INDEX('Lançar Resultado'!$A$3:$A$2002,$Q14))</f>
        <v>PREN-01</v>
      </c>
      <c r="C14" s="44" t="n">
        <f aca="false">IF($Q14="","",INDEX('Lançar Resultado'!$B$3:$B$2002,$Q14))</f>
        <v>46194</v>
      </c>
      <c r="D14" s="46" t="str">
        <f aca="false">IF($Q14="","",IF(SUMPRODUCT((Inspeções!$B$3:$B$122=$B14)*(Inspeções!$A$3:$A$122=$C14)*(ROW(Inspeções!$B$3:$B$122)-3+1))=0,"",INDEX(Inspeções!$C$3:$C$122,SUMPRODUCT((Inspeções!$B$3:$B$122=$B14)*(Inspeções!$A$3:$A$122=$C14)*(ROW(Inspeções!$B$3:$B$122)-3+1)))))</f>
        <v>Juliana Reis</v>
      </c>
      <c r="E14" s="47" t="str">
        <f aca="false">IF($Q14="","",INDEX('Lançar Resultado'!$C$3:$C$2002,$Q14))</f>
        <v>Prensa hidráulica</v>
      </c>
      <c r="F14" s="47" t="str">
        <f aca="false">IF($Q14="","",IFERROR(INDEX(Equipamentos!$E$3:$E$52,MATCH($B14,Equipamentos!$A$3:$A$52,0)),""))</f>
        <v>Estamparia</v>
      </c>
      <c r="G14" s="47" t="str">
        <f aca="false">IF($Q14="","",INDEX('Lançar Resultado'!$D$3:$D$2002,$Q14))</f>
        <v>Hidráulica</v>
      </c>
      <c r="H14" s="47" t="str">
        <f aca="false">IF($Q14="","",INDEX('Lançar Resultado'!$E$3:$E$2002,$Q14))</f>
        <v>Vazamento em mangueiras e cilindro</v>
      </c>
      <c r="I14" s="46" t="str">
        <f aca="false">IF($Q14="","",INDEX('Lançar Resultado'!$G$3:$G$2002,$Q14))</f>
        <v>NOK</v>
      </c>
      <c r="J14" s="45" t="n">
        <f aca="false">IF($Q14="","",INDEX('Lançar Resultado'!$P$3:$P$2002,$Q14))</f>
        <v>7</v>
      </c>
      <c r="K14" s="46" t="str">
        <f aca="false">IF($Q14="","",INDEX('Lançar Resultado'!$N$3:$N$2002,$Q14))</f>
        <v>Média</v>
      </c>
      <c r="L14" s="47" t="str">
        <f aca="false">IF($Q14="","",INDEX('Lançar Resultado'!$I$3:$I$2002,$Q14))</f>
        <v>Trocar a mangueira do cilindro principal</v>
      </c>
      <c r="M14" s="47" t="str">
        <f aca="false">IF($Q14="","",INDEX('Lançar Resultado'!$J$3:$J$2002,$Q14))</f>
        <v>Juliana Reis</v>
      </c>
      <c r="N14" s="44" t="n">
        <f aca="false">IF($Q14="","",INDEX('Lançar Resultado'!$K$3:$K$2002,$Q14))</f>
        <v>46246</v>
      </c>
      <c r="O14" s="46" t="str">
        <f aca="false">IF($Q14="","",INDEX('Lançar Resultado'!$L$3:$L$2002,$Q14))</f>
        <v>Aberta</v>
      </c>
      <c r="P14" s="45" t="str">
        <f aca="false">IF($Q14="","",IF(OR($O14="Concluída",$N14=""),"",IF($N14&lt;INT(Parâmetros!$C$4),INT(Parâmetros!$C$4)-$N14,"")))</f>
        <v/>
      </c>
      <c r="Q14" s="45" t="n">
        <f aca="false">IFERROR(MATCH(12,'Lançar Resultado'!$Q$3:$Q$2002,0),"")</f>
        <v>38</v>
      </c>
    </row>
    <row r="15" customFormat="false" ht="18" hidden="false" customHeight="true" outlineLevel="0" collapsed="false">
      <c r="A15" s="39" t="n">
        <v>13</v>
      </c>
      <c r="B15" s="47" t="str">
        <f aca="false">IF($Q15="","",INDEX('Lançar Resultado'!$A$3:$A$2002,$Q15))</f>
        <v/>
      </c>
      <c r="C15" s="44" t="str">
        <f aca="false">IF($Q15="","",INDEX('Lançar Resultado'!$B$3:$B$2002,$Q15))</f>
        <v/>
      </c>
      <c r="D15" s="46" t="str">
        <f aca="false">IF($Q15="","",IF(SUMPRODUCT((Inspeções!$B$3:$B$122=$B15)*(Inspeções!$A$3:$A$122=$C15)*(ROW(Inspeções!$B$3:$B$122)-3+1))=0,"",INDEX(Inspeções!$C$3:$C$122,SUMPRODUCT((Inspeções!$B$3:$B$122=$B15)*(Inspeções!$A$3:$A$122=$C15)*(ROW(Inspeções!$B$3:$B$122)-3+1)))))</f>
        <v/>
      </c>
      <c r="E15" s="47" t="str">
        <f aca="false">IF($Q15="","",INDEX('Lançar Resultado'!$C$3:$C$2002,$Q15))</f>
        <v/>
      </c>
      <c r="F15" s="47" t="str">
        <f aca="false">IF($Q15="","",IFERROR(INDEX(Equipamentos!$E$3:$E$52,MATCH($B15,Equipamentos!$A$3:$A$52,0)),""))</f>
        <v/>
      </c>
      <c r="G15" s="47" t="str">
        <f aca="false">IF($Q15="","",INDEX('Lançar Resultado'!$D$3:$D$2002,$Q15))</f>
        <v/>
      </c>
      <c r="H15" s="47" t="str">
        <f aca="false">IF($Q15="","",INDEX('Lançar Resultado'!$E$3:$E$2002,$Q15))</f>
        <v/>
      </c>
      <c r="I15" s="46" t="str">
        <f aca="false">IF($Q15="","",INDEX('Lançar Resultado'!$G$3:$G$2002,$Q15))</f>
        <v/>
      </c>
      <c r="J15" s="45" t="str">
        <f aca="false">IF($Q15="","",INDEX('Lançar Resultado'!$P$3:$P$2002,$Q15))</f>
        <v/>
      </c>
      <c r="K15" s="46" t="str">
        <f aca="false">IF($Q15="","",INDEX('Lançar Resultado'!$N$3:$N$2002,$Q15))</f>
        <v/>
      </c>
      <c r="L15" s="47" t="str">
        <f aca="false">IF($Q15="","",INDEX('Lançar Resultado'!$I$3:$I$2002,$Q15))</f>
        <v/>
      </c>
      <c r="M15" s="47" t="str">
        <f aca="false">IF($Q15="","",INDEX('Lançar Resultado'!$J$3:$J$2002,$Q15))</f>
        <v/>
      </c>
      <c r="N15" s="44" t="str">
        <f aca="false">IF($Q15="","",INDEX('Lançar Resultado'!$K$3:$K$2002,$Q15))</f>
        <v/>
      </c>
      <c r="O15" s="46" t="str">
        <f aca="false">IF($Q15="","",INDEX('Lançar Resultado'!$L$3:$L$2002,$Q15))</f>
        <v/>
      </c>
      <c r="P15" s="45" t="str">
        <f aca="false">IF($Q15="","",IF(OR($O15="Concluída",$N15=""),"",IF($N15&lt;INT(Parâmetros!$C$4),INT(Parâmetros!$C$4)-$N15,"")))</f>
        <v/>
      </c>
      <c r="Q15" s="45" t="str">
        <f aca="false">IFERROR(MATCH(13,'Lançar Resultado'!$Q$3:$Q$2002,0),"")</f>
        <v/>
      </c>
    </row>
    <row r="16" customFormat="false" ht="18" hidden="false" customHeight="true" outlineLevel="0" collapsed="false">
      <c r="A16" s="39" t="n">
        <v>14</v>
      </c>
      <c r="B16" s="47" t="str">
        <f aca="false">IF($Q16="","",INDEX('Lançar Resultado'!$A$3:$A$2002,$Q16))</f>
        <v/>
      </c>
      <c r="C16" s="44" t="str">
        <f aca="false">IF($Q16="","",INDEX('Lançar Resultado'!$B$3:$B$2002,$Q16))</f>
        <v/>
      </c>
      <c r="D16" s="46" t="str">
        <f aca="false">IF($Q16="","",IF(SUMPRODUCT((Inspeções!$B$3:$B$122=$B16)*(Inspeções!$A$3:$A$122=$C16)*(ROW(Inspeções!$B$3:$B$122)-3+1))=0,"",INDEX(Inspeções!$C$3:$C$122,SUMPRODUCT((Inspeções!$B$3:$B$122=$B16)*(Inspeções!$A$3:$A$122=$C16)*(ROW(Inspeções!$B$3:$B$122)-3+1)))))</f>
        <v/>
      </c>
      <c r="E16" s="47" t="str">
        <f aca="false">IF($Q16="","",INDEX('Lançar Resultado'!$C$3:$C$2002,$Q16))</f>
        <v/>
      </c>
      <c r="F16" s="47" t="str">
        <f aca="false">IF($Q16="","",IFERROR(INDEX(Equipamentos!$E$3:$E$52,MATCH($B16,Equipamentos!$A$3:$A$52,0)),""))</f>
        <v/>
      </c>
      <c r="G16" s="47" t="str">
        <f aca="false">IF($Q16="","",INDEX('Lançar Resultado'!$D$3:$D$2002,$Q16))</f>
        <v/>
      </c>
      <c r="H16" s="47" t="str">
        <f aca="false">IF($Q16="","",INDEX('Lançar Resultado'!$E$3:$E$2002,$Q16))</f>
        <v/>
      </c>
      <c r="I16" s="46" t="str">
        <f aca="false">IF($Q16="","",INDEX('Lançar Resultado'!$G$3:$G$2002,$Q16))</f>
        <v/>
      </c>
      <c r="J16" s="45" t="str">
        <f aca="false">IF($Q16="","",INDEX('Lançar Resultado'!$P$3:$P$2002,$Q16))</f>
        <v/>
      </c>
      <c r="K16" s="46" t="str">
        <f aca="false">IF($Q16="","",INDEX('Lançar Resultado'!$N$3:$N$2002,$Q16))</f>
        <v/>
      </c>
      <c r="L16" s="47" t="str">
        <f aca="false">IF($Q16="","",INDEX('Lançar Resultado'!$I$3:$I$2002,$Q16))</f>
        <v/>
      </c>
      <c r="M16" s="47" t="str">
        <f aca="false">IF($Q16="","",INDEX('Lançar Resultado'!$J$3:$J$2002,$Q16))</f>
        <v/>
      </c>
      <c r="N16" s="44" t="str">
        <f aca="false">IF($Q16="","",INDEX('Lançar Resultado'!$K$3:$K$2002,$Q16))</f>
        <v/>
      </c>
      <c r="O16" s="46" t="str">
        <f aca="false">IF($Q16="","",INDEX('Lançar Resultado'!$L$3:$L$2002,$Q16))</f>
        <v/>
      </c>
      <c r="P16" s="45" t="str">
        <f aca="false">IF($Q16="","",IF(OR($O16="Concluída",$N16=""),"",IF($N16&lt;INT(Parâmetros!$C$4),INT(Parâmetros!$C$4)-$N16,"")))</f>
        <v/>
      </c>
      <c r="Q16" s="45" t="str">
        <f aca="false">IFERROR(MATCH(14,'Lançar Resultado'!$Q$3:$Q$2002,0),"")</f>
        <v/>
      </c>
    </row>
    <row r="17" customFormat="false" ht="18" hidden="false" customHeight="true" outlineLevel="0" collapsed="false">
      <c r="A17" s="39" t="n">
        <v>15</v>
      </c>
      <c r="B17" s="47" t="str">
        <f aca="false">IF($Q17="","",INDEX('Lançar Resultado'!$A$3:$A$2002,$Q17))</f>
        <v/>
      </c>
      <c r="C17" s="44" t="str">
        <f aca="false">IF($Q17="","",INDEX('Lançar Resultado'!$B$3:$B$2002,$Q17))</f>
        <v/>
      </c>
      <c r="D17" s="46" t="str">
        <f aca="false">IF($Q17="","",IF(SUMPRODUCT((Inspeções!$B$3:$B$122=$B17)*(Inspeções!$A$3:$A$122=$C17)*(ROW(Inspeções!$B$3:$B$122)-3+1))=0,"",INDEX(Inspeções!$C$3:$C$122,SUMPRODUCT((Inspeções!$B$3:$B$122=$B17)*(Inspeções!$A$3:$A$122=$C17)*(ROW(Inspeções!$B$3:$B$122)-3+1)))))</f>
        <v/>
      </c>
      <c r="E17" s="47" t="str">
        <f aca="false">IF($Q17="","",INDEX('Lançar Resultado'!$C$3:$C$2002,$Q17))</f>
        <v/>
      </c>
      <c r="F17" s="47" t="str">
        <f aca="false">IF($Q17="","",IFERROR(INDEX(Equipamentos!$E$3:$E$52,MATCH($B17,Equipamentos!$A$3:$A$52,0)),""))</f>
        <v/>
      </c>
      <c r="G17" s="47" t="str">
        <f aca="false">IF($Q17="","",INDEX('Lançar Resultado'!$D$3:$D$2002,$Q17))</f>
        <v/>
      </c>
      <c r="H17" s="47" t="str">
        <f aca="false">IF($Q17="","",INDEX('Lançar Resultado'!$E$3:$E$2002,$Q17))</f>
        <v/>
      </c>
      <c r="I17" s="46" t="str">
        <f aca="false">IF($Q17="","",INDEX('Lançar Resultado'!$G$3:$G$2002,$Q17))</f>
        <v/>
      </c>
      <c r="J17" s="45" t="str">
        <f aca="false">IF($Q17="","",INDEX('Lançar Resultado'!$P$3:$P$2002,$Q17))</f>
        <v/>
      </c>
      <c r="K17" s="46" t="str">
        <f aca="false">IF($Q17="","",INDEX('Lançar Resultado'!$N$3:$N$2002,$Q17))</f>
        <v/>
      </c>
      <c r="L17" s="47" t="str">
        <f aca="false">IF($Q17="","",INDEX('Lançar Resultado'!$I$3:$I$2002,$Q17))</f>
        <v/>
      </c>
      <c r="M17" s="47" t="str">
        <f aca="false">IF($Q17="","",INDEX('Lançar Resultado'!$J$3:$J$2002,$Q17))</f>
        <v/>
      </c>
      <c r="N17" s="44" t="str">
        <f aca="false">IF($Q17="","",INDEX('Lançar Resultado'!$K$3:$K$2002,$Q17))</f>
        <v/>
      </c>
      <c r="O17" s="46" t="str">
        <f aca="false">IF($Q17="","",INDEX('Lançar Resultado'!$L$3:$L$2002,$Q17))</f>
        <v/>
      </c>
      <c r="P17" s="45" t="str">
        <f aca="false">IF($Q17="","",IF(OR($O17="Concluída",$N17=""),"",IF($N17&lt;INT(Parâmetros!$C$4),INT(Parâmetros!$C$4)-$N17,"")))</f>
        <v/>
      </c>
      <c r="Q17" s="45" t="str">
        <f aca="false">IFERROR(MATCH(15,'Lançar Resultado'!$Q$3:$Q$2002,0),"")</f>
        <v/>
      </c>
    </row>
    <row r="18" customFormat="false" ht="18" hidden="false" customHeight="true" outlineLevel="0" collapsed="false">
      <c r="A18" s="39" t="n">
        <v>16</v>
      </c>
      <c r="B18" s="47" t="str">
        <f aca="false">IF($Q18="","",INDEX('Lançar Resultado'!$A$3:$A$2002,$Q18))</f>
        <v/>
      </c>
      <c r="C18" s="44" t="str">
        <f aca="false">IF($Q18="","",INDEX('Lançar Resultado'!$B$3:$B$2002,$Q18))</f>
        <v/>
      </c>
      <c r="D18" s="46" t="str">
        <f aca="false">IF($Q18="","",IF(SUMPRODUCT((Inspeções!$B$3:$B$122=$B18)*(Inspeções!$A$3:$A$122=$C18)*(ROW(Inspeções!$B$3:$B$122)-3+1))=0,"",INDEX(Inspeções!$C$3:$C$122,SUMPRODUCT((Inspeções!$B$3:$B$122=$B18)*(Inspeções!$A$3:$A$122=$C18)*(ROW(Inspeções!$B$3:$B$122)-3+1)))))</f>
        <v/>
      </c>
      <c r="E18" s="47" t="str">
        <f aca="false">IF($Q18="","",INDEX('Lançar Resultado'!$C$3:$C$2002,$Q18))</f>
        <v/>
      </c>
      <c r="F18" s="47" t="str">
        <f aca="false">IF($Q18="","",IFERROR(INDEX(Equipamentos!$E$3:$E$52,MATCH($B18,Equipamentos!$A$3:$A$52,0)),""))</f>
        <v/>
      </c>
      <c r="G18" s="47" t="str">
        <f aca="false">IF($Q18="","",INDEX('Lançar Resultado'!$D$3:$D$2002,$Q18))</f>
        <v/>
      </c>
      <c r="H18" s="47" t="str">
        <f aca="false">IF($Q18="","",INDEX('Lançar Resultado'!$E$3:$E$2002,$Q18))</f>
        <v/>
      </c>
      <c r="I18" s="46" t="str">
        <f aca="false">IF($Q18="","",INDEX('Lançar Resultado'!$G$3:$G$2002,$Q18))</f>
        <v/>
      </c>
      <c r="J18" s="45" t="str">
        <f aca="false">IF($Q18="","",INDEX('Lançar Resultado'!$P$3:$P$2002,$Q18))</f>
        <v/>
      </c>
      <c r="K18" s="46" t="str">
        <f aca="false">IF($Q18="","",INDEX('Lançar Resultado'!$N$3:$N$2002,$Q18))</f>
        <v/>
      </c>
      <c r="L18" s="47" t="str">
        <f aca="false">IF($Q18="","",INDEX('Lançar Resultado'!$I$3:$I$2002,$Q18))</f>
        <v/>
      </c>
      <c r="M18" s="47" t="str">
        <f aca="false">IF($Q18="","",INDEX('Lançar Resultado'!$J$3:$J$2002,$Q18))</f>
        <v/>
      </c>
      <c r="N18" s="44" t="str">
        <f aca="false">IF($Q18="","",INDEX('Lançar Resultado'!$K$3:$K$2002,$Q18))</f>
        <v/>
      </c>
      <c r="O18" s="46" t="str">
        <f aca="false">IF($Q18="","",INDEX('Lançar Resultado'!$L$3:$L$2002,$Q18))</f>
        <v/>
      </c>
      <c r="P18" s="45" t="str">
        <f aca="false">IF($Q18="","",IF(OR($O18="Concluída",$N18=""),"",IF($N18&lt;INT(Parâmetros!$C$4),INT(Parâmetros!$C$4)-$N18,"")))</f>
        <v/>
      </c>
      <c r="Q18" s="45" t="str">
        <f aca="false">IFERROR(MATCH(16,'Lançar Resultado'!$Q$3:$Q$2002,0),"")</f>
        <v/>
      </c>
    </row>
    <row r="19" customFormat="false" ht="18" hidden="false" customHeight="true" outlineLevel="0" collapsed="false">
      <c r="A19" s="39" t="n">
        <v>17</v>
      </c>
      <c r="B19" s="47" t="str">
        <f aca="false">IF($Q19="","",INDEX('Lançar Resultado'!$A$3:$A$2002,$Q19))</f>
        <v/>
      </c>
      <c r="C19" s="44" t="str">
        <f aca="false">IF($Q19="","",INDEX('Lançar Resultado'!$B$3:$B$2002,$Q19))</f>
        <v/>
      </c>
      <c r="D19" s="46" t="str">
        <f aca="false">IF($Q19="","",IF(SUMPRODUCT((Inspeções!$B$3:$B$122=$B19)*(Inspeções!$A$3:$A$122=$C19)*(ROW(Inspeções!$B$3:$B$122)-3+1))=0,"",INDEX(Inspeções!$C$3:$C$122,SUMPRODUCT((Inspeções!$B$3:$B$122=$B19)*(Inspeções!$A$3:$A$122=$C19)*(ROW(Inspeções!$B$3:$B$122)-3+1)))))</f>
        <v/>
      </c>
      <c r="E19" s="47" t="str">
        <f aca="false">IF($Q19="","",INDEX('Lançar Resultado'!$C$3:$C$2002,$Q19))</f>
        <v/>
      </c>
      <c r="F19" s="47" t="str">
        <f aca="false">IF($Q19="","",IFERROR(INDEX(Equipamentos!$E$3:$E$52,MATCH($B19,Equipamentos!$A$3:$A$52,0)),""))</f>
        <v/>
      </c>
      <c r="G19" s="47" t="str">
        <f aca="false">IF($Q19="","",INDEX('Lançar Resultado'!$D$3:$D$2002,$Q19))</f>
        <v/>
      </c>
      <c r="H19" s="47" t="str">
        <f aca="false">IF($Q19="","",INDEX('Lançar Resultado'!$E$3:$E$2002,$Q19))</f>
        <v/>
      </c>
      <c r="I19" s="46" t="str">
        <f aca="false">IF($Q19="","",INDEX('Lançar Resultado'!$G$3:$G$2002,$Q19))</f>
        <v/>
      </c>
      <c r="J19" s="45" t="str">
        <f aca="false">IF($Q19="","",INDEX('Lançar Resultado'!$P$3:$P$2002,$Q19))</f>
        <v/>
      </c>
      <c r="K19" s="46" t="str">
        <f aca="false">IF($Q19="","",INDEX('Lançar Resultado'!$N$3:$N$2002,$Q19))</f>
        <v/>
      </c>
      <c r="L19" s="47" t="str">
        <f aca="false">IF($Q19="","",INDEX('Lançar Resultado'!$I$3:$I$2002,$Q19))</f>
        <v/>
      </c>
      <c r="M19" s="47" t="str">
        <f aca="false">IF($Q19="","",INDEX('Lançar Resultado'!$J$3:$J$2002,$Q19))</f>
        <v/>
      </c>
      <c r="N19" s="44" t="str">
        <f aca="false">IF($Q19="","",INDEX('Lançar Resultado'!$K$3:$K$2002,$Q19))</f>
        <v/>
      </c>
      <c r="O19" s="46" t="str">
        <f aca="false">IF($Q19="","",INDEX('Lançar Resultado'!$L$3:$L$2002,$Q19))</f>
        <v/>
      </c>
      <c r="P19" s="45" t="str">
        <f aca="false">IF($Q19="","",IF(OR($O19="Concluída",$N19=""),"",IF($N19&lt;INT(Parâmetros!$C$4),INT(Parâmetros!$C$4)-$N19,"")))</f>
        <v/>
      </c>
      <c r="Q19" s="45" t="str">
        <f aca="false">IFERROR(MATCH(17,'Lançar Resultado'!$Q$3:$Q$2002,0),"")</f>
        <v/>
      </c>
    </row>
    <row r="20" customFormat="false" ht="18" hidden="false" customHeight="true" outlineLevel="0" collapsed="false">
      <c r="A20" s="39" t="n">
        <v>18</v>
      </c>
      <c r="B20" s="47" t="str">
        <f aca="false">IF($Q20="","",INDEX('Lançar Resultado'!$A$3:$A$2002,$Q20))</f>
        <v/>
      </c>
      <c r="C20" s="44" t="str">
        <f aca="false">IF($Q20="","",INDEX('Lançar Resultado'!$B$3:$B$2002,$Q20))</f>
        <v/>
      </c>
      <c r="D20" s="46" t="str">
        <f aca="false">IF($Q20="","",IF(SUMPRODUCT((Inspeções!$B$3:$B$122=$B20)*(Inspeções!$A$3:$A$122=$C20)*(ROW(Inspeções!$B$3:$B$122)-3+1))=0,"",INDEX(Inspeções!$C$3:$C$122,SUMPRODUCT((Inspeções!$B$3:$B$122=$B20)*(Inspeções!$A$3:$A$122=$C20)*(ROW(Inspeções!$B$3:$B$122)-3+1)))))</f>
        <v/>
      </c>
      <c r="E20" s="47" t="str">
        <f aca="false">IF($Q20="","",INDEX('Lançar Resultado'!$C$3:$C$2002,$Q20))</f>
        <v/>
      </c>
      <c r="F20" s="47" t="str">
        <f aca="false">IF($Q20="","",IFERROR(INDEX(Equipamentos!$E$3:$E$52,MATCH($B20,Equipamentos!$A$3:$A$52,0)),""))</f>
        <v/>
      </c>
      <c r="G20" s="47" t="str">
        <f aca="false">IF($Q20="","",INDEX('Lançar Resultado'!$D$3:$D$2002,$Q20))</f>
        <v/>
      </c>
      <c r="H20" s="47" t="str">
        <f aca="false">IF($Q20="","",INDEX('Lançar Resultado'!$E$3:$E$2002,$Q20))</f>
        <v/>
      </c>
      <c r="I20" s="46" t="str">
        <f aca="false">IF($Q20="","",INDEX('Lançar Resultado'!$G$3:$G$2002,$Q20))</f>
        <v/>
      </c>
      <c r="J20" s="45" t="str">
        <f aca="false">IF($Q20="","",INDEX('Lançar Resultado'!$P$3:$P$2002,$Q20))</f>
        <v/>
      </c>
      <c r="K20" s="46" t="str">
        <f aca="false">IF($Q20="","",INDEX('Lançar Resultado'!$N$3:$N$2002,$Q20))</f>
        <v/>
      </c>
      <c r="L20" s="47" t="str">
        <f aca="false">IF($Q20="","",INDEX('Lançar Resultado'!$I$3:$I$2002,$Q20))</f>
        <v/>
      </c>
      <c r="M20" s="47" t="str">
        <f aca="false">IF($Q20="","",INDEX('Lançar Resultado'!$J$3:$J$2002,$Q20))</f>
        <v/>
      </c>
      <c r="N20" s="44" t="str">
        <f aca="false">IF($Q20="","",INDEX('Lançar Resultado'!$K$3:$K$2002,$Q20))</f>
        <v/>
      </c>
      <c r="O20" s="46" t="str">
        <f aca="false">IF($Q20="","",INDEX('Lançar Resultado'!$L$3:$L$2002,$Q20))</f>
        <v/>
      </c>
      <c r="P20" s="45" t="str">
        <f aca="false">IF($Q20="","",IF(OR($O20="Concluída",$N20=""),"",IF($N20&lt;INT(Parâmetros!$C$4),INT(Parâmetros!$C$4)-$N20,"")))</f>
        <v/>
      </c>
      <c r="Q20" s="45" t="str">
        <f aca="false">IFERROR(MATCH(18,'Lançar Resultado'!$Q$3:$Q$2002,0),"")</f>
        <v/>
      </c>
    </row>
    <row r="21" customFormat="false" ht="18" hidden="false" customHeight="true" outlineLevel="0" collapsed="false">
      <c r="A21" s="39" t="n">
        <v>19</v>
      </c>
      <c r="B21" s="47" t="str">
        <f aca="false">IF($Q21="","",INDEX('Lançar Resultado'!$A$3:$A$2002,$Q21))</f>
        <v/>
      </c>
      <c r="C21" s="44" t="str">
        <f aca="false">IF($Q21="","",INDEX('Lançar Resultado'!$B$3:$B$2002,$Q21))</f>
        <v/>
      </c>
      <c r="D21" s="46" t="str">
        <f aca="false">IF($Q21="","",IF(SUMPRODUCT((Inspeções!$B$3:$B$122=$B21)*(Inspeções!$A$3:$A$122=$C21)*(ROW(Inspeções!$B$3:$B$122)-3+1))=0,"",INDEX(Inspeções!$C$3:$C$122,SUMPRODUCT((Inspeções!$B$3:$B$122=$B21)*(Inspeções!$A$3:$A$122=$C21)*(ROW(Inspeções!$B$3:$B$122)-3+1)))))</f>
        <v/>
      </c>
      <c r="E21" s="47" t="str">
        <f aca="false">IF($Q21="","",INDEX('Lançar Resultado'!$C$3:$C$2002,$Q21))</f>
        <v/>
      </c>
      <c r="F21" s="47" t="str">
        <f aca="false">IF($Q21="","",IFERROR(INDEX(Equipamentos!$E$3:$E$52,MATCH($B21,Equipamentos!$A$3:$A$52,0)),""))</f>
        <v/>
      </c>
      <c r="G21" s="47" t="str">
        <f aca="false">IF($Q21="","",INDEX('Lançar Resultado'!$D$3:$D$2002,$Q21))</f>
        <v/>
      </c>
      <c r="H21" s="47" t="str">
        <f aca="false">IF($Q21="","",INDEX('Lançar Resultado'!$E$3:$E$2002,$Q21))</f>
        <v/>
      </c>
      <c r="I21" s="46" t="str">
        <f aca="false">IF($Q21="","",INDEX('Lançar Resultado'!$G$3:$G$2002,$Q21))</f>
        <v/>
      </c>
      <c r="J21" s="45" t="str">
        <f aca="false">IF($Q21="","",INDEX('Lançar Resultado'!$P$3:$P$2002,$Q21))</f>
        <v/>
      </c>
      <c r="K21" s="46" t="str">
        <f aca="false">IF($Q21="","",INDEX('Lançar Resultado'!$N$3:$N$2002,$Q21))</f>
        <v/>
      </c>
      <c r="L21" s="47" t="str">
        <f aca="false">IF($Q21="","",INDEX('Lançar Resultado'!$I$3:$I$2002,$Q21))</f>
        <v/>
      </c>
      <c r="M21" s="47" t="str">
        <f aca="false">IF($Q21="","",INDEX('Lançar Resultado'!$J$3:$J$2002,$Q21))</f>
        <v/>
      </c>
      <c r="N21" s="44" t="str">
        <f aca="false">IF($Q21="","",INDEX('Lançar Resultado'!$K$3:$K$2002,$Q21))</f>
        <v/>
      </c>
      <c r="O21" s="46" t="str">
        <f aca="false">IF($Q21="","",INDEX('Lançar Resultado'!$L$3:$L$2002,$Q21))</f>
        <v/>
      </c>
      <c r="P21" s="45" t="str">
        <f aca="false">IF($Q21="","",IF(OR($O21="Concluída",$N21=""),"",IF($N21&lt;INT(Parâmetros!$C$4),INT(Parâmetros!$C$4)-$N21,"")))</f>
        <v/>
      </c>
      <c r="Q21" s="45" t="str">
        <f aca="false">IFERROR(MATCH(19,'Lançar Resultado'!$Q$3:$Q$2002,0),"")</f>
        <v/>
      </c>
    </row>
    <row r="22" customFormat="false" ht="18" hidden="false" customHeight="true" outlineLevel="0" collapsed="false">
      <c r="A22" s="39" t="n">
        <v>20</v>
      </c>
      <c r="B22" s="47" t="str">
        <f aca="false">IF($Q22="","",INDEX('Lançar Resultado'!$A$3:$A$2002,$Q22))</f>
        <v/>
      </c>
      <c r="C22" s="44" t="str">
        <f aca="false">IF($Q22="","",INDEX('Lançar Resultado'!$B$3:$B$2002,$Q22))</f>
        <v/>
      </c>
      <c r="D22" s="46" t="str">
        <f aca="false">IF($Q22="","",IF(SUMPRODUCT((Inspeções!$B$3:$B$122=$B22)*(Inspeções!$A$3:$A$122=$C22)*(ROW(Inspeções!$B$3:$B$122)-3+1))=0,"",INDEX(Inspeções!$C$3:$C$122,SUMPRODUCT((Inspeções!$B$3:$B$122=$B22)*(Inspeções!$A$3:$A$122=$C22)*(ROW(Inspeções!$B$3:$B$122)-3+1)))))</f>
        <v/>
      </c>
      <c r="E22" s="47" t="str">
        <f aca="false">IF($Q22="","",INDEX('Lançar Resultado'!$C$3:$C$2002,$Q22))</f>
        <v/>
      </c>
      <c r="F22" s="47" t="str">
        <f aca="false">IF($Q22="","",IFERROR(INDEX(Equipamentos!$E$3:$E$52,MATCH($B22,Equipamentos!$A$3:$A$52,0)),""))</f>
        <v/>
      </c>
      <c r="G22" s="47" t="str">
        <f aca="false">IF($Q22="","",INDEX('Lançar Resultado'!$D$3:$D$2002,$Q22))</f>
        <v/>
      </c>
      <c r="H22" s="47" t="str">
        <f aca="false">IF($Q22="","",INDEX('Lançar Resultado'!$E$3:$E$2002,$Q22))</f>
        <v/>
      </c>
      <c r="I22" s="46" t="str">
        <f aca="false">IF($Q22="","",INDEX('Lançar Resultado'!$G$3:$G$2002,$Q22))</f>
        <v/>
      </c>
      <c r="J22" s="45" t="str">
        <f aca="false">IF($Q22="","",INDEX('Lançar Resultado'!$P$3:$P$2002,$Q22))</f>
        <v/>
      </c>
      <c r="K22" s="46" t="str">
        <f aca="false">IF($Q22="","",INDEX('Lançar Resultado'!$N$3:$N$2002,$Q22))</f>
        <v/>
      </c>
      <c r="L22" s="47" t="str">
        <f aca="false">IF($Q22="","",INDEX('Lançar Resultado'!$I$3:$I$2002,$Q22))</f>
        <v/>
      </c>
      <c r="M22" s="47" t="str">
        <f aca="false">IF($Q22="","",INDEX('Lançar Resultado'!$J$3:$J$2002,$Q22))</f>
        <v/>
      </c>
      <c r="N22" s="44" t="str">
        <f aca="false">IF($Q22="","",INDEX('Lançar Resultado'!$K$3:$K$2002,$Q22))</f>
        <v/>
      </c>
      <c r="O22" s="46" t="str">
        <f aca="false">IF($Q22="","",INDEX('Lançar Resultado'!$L$3:$L$2002,$Q22))</f>
        <v/>
      </c>
      <c r="P22" s="45" t="str">
        <f aca="false">IF($Q22="","",IF(OR($O22="Concluída",$N22=""),"",IF($N22&lt;INT(Parâmetros!$C$4),INT(Parâmetros!$C$4)-$N22,"")))</f>
        <v/>
      </c>
      <c r="Q22" s="45" t="str">
        <f aca="false">IFERROR(MATCH(20,'Lançar Resultado'!$Q$3:$Q$2002,0),"")</f>
        <v/>
      </c>
    </row>
    <row r="23" customFormat="false" ht="18" hidden="false" customHeight="true" outlineLevel="0" collapsed="false">
      <c r="A23" s="39" t="n">
        <v>21</v>
      </c>
      <c r="B23" s="47" t="str">
        <f aca="false">IF($Q23="","",INDEX('Lançar Resultado'!$A$3:$A$2002,$Q23))</f>
        <v/>
      </c>
      <c r="C23" s="44" t="str">
        <f aca="false">IF($Q23="","",INDEX('Lançar Resultado'!$B$3:$B$2002,$Q23))</f>
        <v/>
      </c>
      <c r="D23" s="46" t="str">
        <f aca="false">IF($Q23="","",IF(SUMPRODUCT((Inspeções!$B$3:$B$122=$B23)*(Inspeções!$A$3:$A$122=$C23)*(ROW(Inspeções!$B$3:$B$122)-3+1))=0,"",INDEX(Inspeções!$C$3:$C$122,SUMPRODUCT((Inspeções!$B$3:$B$122=$B23)*(Inspeções!$A$3:$A$122=$C23)*(ROW(Inspeções!$B$3:$B$122)-3+1)))))</f>
        <v/>
      </c>
      <c r="E23" s="47" t="str">
        <f aca="false">IF($Q23="","",INDEX('Lançar Resultado'!$C$3:$C$2002,$Q23))</f>
        <v/>
      </c>
      <c r="F23" s="47" t="str">
        <f aca="false">IF($Q23="","",IFERROR(INDEX(Equipamentos!$E$3:$E$52,MATCH($B23,Equipamentos!$A$3:$A$52,0)),""))</f>
        <v/>
      </c>
      <c r="G23" s="47" t="str">
        <f aca="false">IF($Q23="","",INDEX('Lançar Resultado'!$D$3:$D$2002,$Q23))</f>
        <v/>
      </c>
      <c r="H23" s="47" t="str">
        <f aca="false">IF($Q23="","",INDEX('Lançar Resultado'!$E$3:$E$2002,$Q23))</f>
        <v/>
      </c>
      <c r="I23" s="46" t="str">
        <f aca="false">IF($Q23="","",INDEX('Lançar Resultado'!$G$3:$G$2002,$Q23))</f>
        <v/>
      </c>
      <c r="J23" s="45" t="str">
        <f aca="false">IF($Q23="","",INDEX('Lançar Resultado'!$P$3:$P$2002,$Q23))</f>
        <v/>
      </c>
      <c r="K23" s="46" t="str">
        <f aca="false">IF($Q23="","",INDEX('Lançar Resultado'!$N$3:$N$2002,$Q23))</f>
        <v/>
      </c>
      <c r="L23" s="47" t="str">
        <f aca="false">IF($Q23="","",INDEX('Lançar Resultado'!$I$3:$I$2002,$Q23))</f>
        <v/>
      </c>
      <c r="M23" s="47" t="str">
        <f aca="false">IF($Q23="","",INDEX('Lançar Resultado'!$J$3:$J$2002,$Q23))</f>
        <v/>
      </c>
      <c r="N23" s="44" t="str">
        <f aca="false">IF($Q23="","",INDEX('Lançar Resultado'!$K$3:$K$2002,$Q23))</f>
        <v/>
      </c>
      <c r="O23" s="46" t="str">
        <f aca="false">IF($Q23="","",INDEX('Lançar Resultado'!$L$3:$L$2002,$Q23))</f>
        <v/>
      </c>
      <c r="P23" s="45" t="str">
        <f aca="false">IF($Q23="","",IF(OR($O23="Concluída",$N23=""),"",IF($N23&lt;INT(Parâmetros!$C$4),INT(Parâmetros!$C$4)-$N23,"")))</f>
        <v/>
      </c>
      <c r="Q23" s="45" t="str">
        <f aca="false">IFERROR(MATCH(21,'Lançar Resultado'!$Q$3:$Q$2002,0),"")</f>
        <v/>
      </c>
    </row>
    <row r="24" customFormat="false" ht="18" hidden="false" customHeight="true" outlineLevel="0" collapsed="false">
      <c r="A24" s="39" t="n">
        <v>22</v>
      </c>
      <c r="B24" s="47" t="str">
        <f aca="false">IF($Q24="","",INDEX('Lançar Resultado'!$A$3:$A$2002,$Q24))</f>
        <v/>
      </c>
      <c r="C24" s="44" t="str">
        <f aca="false">IF($Q24="","",INDEX('Lançar Resultado'!$B$3:$B$2002,$Q24))</f>
        <v/>
      </c>
      <c r="D24" s="46" t="str">
        <f aca="false">IF($Q24="","",IF(SUMPRODUCT((Inspeções!$B$3:$B$122=$B24)*(Inspeções!$A$3:$A$122=$C24)*(ROW(Inspeções!$B$3:$B$122)-3+1))=0,"",INDEX(Inspeções!$C$3:$C$122,SUMPRODUCT((Inspeções!$B$3:$B$122=$B24)*(Inspeções!$A$3:$A$122=$C24)*(ROW(Inspeções!$B$3:$B$122)-3+1)))))</f>
        <v/>
      </c>
      <c r="E24" s="47" t="str">
        <f aca="false">IF($Q24="","",INDEX('Lançar Resultado'!$C$3:$C$2002,$Q24))</f>
        <v/>
      </c>
      <c r="F24" s="47" t="str">
        <f aca="false">IF($Q24="","",IFERROR(INDEX(Equipamentos!$E$3:$E$52,MATCH($B24,Equipamentos!$A$3:$A$52,0)),""))</f>
        <v/>
      </c>
      <c r="G24" s="47" t="str">
        <f aca="false">IF($Q24="","",INDEX('Lançar Resultado'!$D$3:$D$2002,$Q24))</f>
        <v/>
      </c>
      <c r="H24" s="47" t="str">
        <f aca="false">IF($Q24="","",INDEX('Lançar Resultado'!$E$3:$E$2002,$Q24))</f>
        <v/>
      </c>
      <c r="I24" s="46" t="str">
        <f aca="false">IF($Q24="","",INDEX('Lançar Resultado'!$G$3:$G$2002,$Q24))</f>
        <v/>
      </c>
      <c r="J24" s="45" t="str">
        <f aca="false">IF($Q24="","",INDEX('Lançar Resultado'!$P$3:$P$2002,$Q24))</f>
        <v/>
      </c>
      <c r="K24" s="46" t="str">
        <f aca="false">IF($Q24="","",INDEX('Lançar Resultado'!$N$3:$N$2002,$Q24))</f>
        <v/>
      </c>
      <c r="L24" s="47" t="str">
        <f aca="false">IF($Q24="","",INDEX('Lançar Resultado'!$I$3:$I$2002,$Q24))</f>
        <v/>
      </c>
      <c r="M24" s="47" t="str">
        <f aca="false">IF($Q24="","",INDEX('Lançar Resultado'!$J$3:$J$2002,$Q24))</f>
        <v/>
      </c>
      <c r="N24" s="44" t="str">
        <f aca="false">IF($Q24="","",INDEX('Lançar Resultado'!$K$3:$K$2002,$Q24))</f>
        <v/>
      </c>
      <c r="O24" s="46" t="str">
        <f aca="false">IF($Q24="","",INDEX('Lançar Resultado'!$L$3:$L$2002,$Q24))</f>
        <v/>
      </c>
      <c r="P24" s="45" t="str">
        <f aca="false">IF($Q24="","",IF(OR($O24="Concluída",$N24=""),"",IF($N24&lt;INT(Parâmetros!$C$4),INT(Parâmetros!$C$4)-$N24,"")))</f>
        <v/>
      </c>
      <c r="Q24" s="45" t="str">
        <f aca="false">IFERROR(MATCH(22,'Lançar Resultado'!$Q$3:$Q$2002,0),"")</f>
        <v/>
      </c>
    </row>
    <row r="25" customFormat="false" ht="18" hidden="false" customHeight="true" outlineLevel="0" collapsed="false">
      <c r="A25" s="39" t="n">
        <v>23</v>
      </c>
      <c r="B25" s="47" t="str">
        <f aca="false">IF($Q25="","",INDEX('Lançar Resultado'!$A$3:$A$2002,$Q25))</f>
        <v/>
      </c>
      <c r="C25" s="44" t="str">
        <f aca="false">IF($Q25="","",INDEX('Lançar Resultado'!$B$3:$B$2002,$Q25))</f>
        <v/>
      </c>
      <c r="D25" s="46" t="str">
        <f aca="false">IF($Q25="","",IF(SUMPRODUCT((Inspeções!$B$3:$B$122=$B25)*(Inspeções!$A$3:$A$122=$C25)*(ROW(Inspeções!$B$3:$B$122)-3+1))=0,"",INDEX(Inspeções!$C$3:$C$122,SUMPRODUCT((Inspeções!$B$3:$B$122=$B25)*(Inspeções!$A$3:$A$122=$C25)*(ROW(Inspeções!$B$3:$B$122)-3+1)))))</f>
        <v/>
      </c>
      <c r="E25" s="47" t="str">
        <f aca="false">IF($Q25="","",INDEX('Lançar Resultado'!$C$3:$C$2002,$Q25))</f>
        <v/>
      </c>
      <c r="F25" s="47" t="str">
        <f aca="false">IF($Q25="","",IFERROR(INDEX(Equipamentos!$E$3:$E$52,MATCH($B25,Equipamentos!$A$3:$A$52,0)),""))</f>
        <v/>
      </c>
      <c r="G25" s="47" t="str">
        <f aca="false">IF($Q25="","",INDEX('Lançar Resultado'!$D$3:$D$2002,$Q25))</f>
        <v/>
      </c>
      <c r="H25" s="47" t="str">
        <f aca="false">IF($Q25="","",INDEX('Lançar Resultado'!$E$3:$E$2002,$Q25))</f>
        <v/>
      </c>
      <c r="I25" s="46" t="str">
        <f aca="false">IF($Q25="","",INDEX('Lançar Resultado'!$G$3:$G$2002,$Q25))</f>
        <v/>
      </c>
      <c r="J25" s="45" t="str">
        <f aca="false">IF($Q25="","",INDEX('Lançar Resultado'!$P$3:$P$2002,$Q25))</f>
        <v/>
      </c>
      <c r="K25" s="46" t="str">
        <f aca="false">IF($Q25="","",INDEX('Lançar Resultado'!$N$3:$N$2002,$Q25))</f>
        <v/>
      </c>
      <c r="L25" s="47" t="str">
        <f aca="false">IF($Q25="","",INDEX('Lançar Resultado'!$I$3:$I$2002,$Q25))</f>
        <v/>
      </c>
      <c r="M25" s="47" t="str">
        <f aca="false">IF($Q25="","",INDEX('Lançar Resultado'!$J$3:$J$2002,$Q25))</f>
        <v/>
      </c>
      <c r="N25" s="44" t="str">
        <f aca="false">IF($Q25="","",INDEX('Lançar Resultado'!$K$3:$K$2002,$Q25))</f>
        <v/>
      </c>
      <c r="O25" s="46" t="str">
        <f aca="false">IF($Q25="","",INDEX('Lançar Resultado'!$L$3:$L$2002,$Q25))</f>
        <v/>
      </c>
      <c r="P25" s="45" t="str">
        <f aca="false">IF($Q25="","",IF(OR($O25="Concluída",$N25=""),"",IF($N25&lt;INT(Parâmetros!$C$4),INT(Parâmetros!$C$4)-$N25,"")))</f>
        <v/>
      </c>
      <c r="Q25" s="45" t="str">
        <f aca="false">IFERROR(MATCH(23,'Lançar Resultado'!$Q$3:$Q$2002,0),"")</f>
        <v/>
      </c>
    </row>
    <row r="26" customFormat="false" ht="18" hidden="false" customHeight="true" outlineLevel="0" collapsed="false">
      <c r="A26" s="39" t="n">
        <v>24</v>
      </c>
      <c r="B26" s="47" t="str">
        <f aca="false">IF($Q26="","",INDEX('Lançar Resultado'!$A$3:$A$2002,$Q26))</f>
        <v/>
      </c>
      <c r="C26" s="44" t="str">
        <f aca="false">IF($Q26="","",INDEX('Lançar Resultado'!$B$3:$B$2002,$Q26))</f>
        <v/>
      </c>
      <c r="D26" s="46" t="str">
        <f aca="false">IF($Q26="","",IF(SUMPRODUCT((Inspeções!$B$3:$B$122=$B26)*(Inspeções!$A$3:$A$122=$C26)*(ROW(Inspeções!$B$3:$B$122)-3+1))=0,"",INDEX(Inspeções!$C$3:$C$122,SUMPRODUCT((Inspeções!$B$3:$B$122=$B26)*(Inspeções!$A$3:$A$122=$C26)*(ROW(Inspeções!$B$3:$B$122)-3+1)))))</f>
        <v/>
      </c>
      <c r="E26" s="47" t="str">
        <f aca="false">IF($Q26="","",INDEX('Lançar Resultado'!$C$3:$C$2002,$Q26))</f>
        <v/>
      </c>
      <c r="F26" s="47" t="str">
        <f aca="false">IF($Q26="","",IFERROR(INDEX(Equipamentos!$E$3:$E$52,MATCH($B26,Equipamentos!$A$3:$A$52,0)),""))</f>
        <v/>
      </c>
      <c r="G26" s="47" t="str">
        <f aca="false">IF($Q26="","",INDEX('Lançar Resultado'!$D$3:$D$2002,$Q26))</f>
        <v/>
      </c>
      <c r="H26" s="47" t="str">
        <f aca="false">IF($Q26="","",INDEX('Lançar Resultado'!$E$3:$E$2002,$Q26))</f>
        <v/>
      </c>
      <c r="I26" s="46" t="str">
        <f aca="false">IF($Q26="","",INDEX('Lançar Resultado'!$G$3:$G$2002,$Q26))</f>
        <v/>
      </c>
      <c r="J26" s="45" t="str">
        <f aca="false">IF($Q26="","",INDEX('Lançar Resultado'!$P$3:$P$2002,$Q26))</f>
        <v/>
      </c>
      <c r="K26" s="46" t="str">
        <f aca="false">IF($Q26="","",INDEX('Lançar Resultado'!$N$3:$N$2002,$Q26))</f>
        <v/>
      </c>
      <c r="L26" s="47" t="str">
        <f aca="false">IF($Q26="","",INDEX('Lançar Resultado'!$I$3:$I$2002,$Q26))</f>
        <v/>
      </c>
      <c r="M26" s="47" t="str">
        <f aca="false">IF($Q26="","",INDEX('Lançar Resultado'!$J$3:$J$2002,$Q26))</f>
        <v/>
      </c>
      <c r="N26" s="44" t="str">
        <f aca="false">IF($Q26="","",INDEX('Lançar Resultado'!$K$3:$K$2002,$Q26))</f>
        <v/>
      </c>
      <c r="O26" s="46" t="str">
        <f aca="false">IF($Q26="","",INDEX('Lançar Resultado'!$L$3:$L$2002,$Q26))</f>
        <v/>
      </c>
      <c r="P26" s="45" t="str">
        <f aca="false">IF($Q26="","",IF(OR($O26="Concluída",$N26=""),"",IF($N26&lt;INT(Parâmetros!$C$4),INT(Parâmetros!$C$4)-$N26,"")))</f>
        <v/>
      </c>
      <c r="Q26" s="45" t="str">
        <f aca="false">IFERROR(MATCH(24,'Lançar Resultado'!$Q$3:$Q$2002,0),"")</f>
        <v/>
      </c>
    </row>
    <row r="27" customFormat="false" ht="18" hidden="false" customHeight="true" outlineLevel="0" collapsed="false">
      <c r="A27" s="39" t="n">
        <v>25</v>
      </c>
      <c r="B27" s="47" t="str">
        <f aca="false">IF($Q27="","",INDEX('Lançar Resultado'!$A$3:$A$2002,$Q27))</f>
        <v/>
      </c>
      <c r="C27" s="44" t="str">
        <f aca="false">IF($Q27="","",INDEX('Lançar Resultado'!$B$3:$B$2002,$Q27))</f>
        <v/>
      </c>
      <c r="D27" s="46" t="str">
        <f aca="false">IF($Q27="","",IF(SUMPRODUCT((Inspeções!$B$3:$B$122=$B27)*(Inspeções!$A$3:$A$122=$C27)*(ROW(Inspeções!$B$3:$B$122)-3+1))=0,"",INDEX(Inspeções!$C$3:$C$122,SUMPRODUCT((Inspeções!$B$3:$B$122=$B27)*(Inspeções!$A$3:$A$122=$C27)*(ROW(Inspeções!$B$3:$B$122)-3+1)))))</f>
        <v/>
      </c>
      <c r="E27" s="47" t="str">
        <f aca="false">IF($Q27="","",INDEX('Lançar Resultado'!$C$3:$C$2002,$Q27))</f>
        <v/>
      </c>
      <c r="F27" s="47" t="str">
        <f aca="false">IF($Q27="","",IFERROR(INDEX(Equipamentos!$E$3:$E$52,MATCH($B27,Equipamentos!$A$3:$A$52,0)),""))</f>
        <v/>
      </c>
      <c r="G27" s="47" t="str">
        <f aca="false">IF($Q27="","",INDEX('Lançar Resultado'!$D$3:$D$2002,$Q27))</f>
        <v/>
      </c>
      <c r="H27" s="47" t="str">
        <f aca="false">IF($Q27="","",INDEX('Lançar Resultado'!$E$3:$E$2002,$Q27))</f>
        <v/>
      </c>
      <c r="I27" s="46" t="str">
        <f aca="false">IF($Q27="","",INDEX('Lançar Resultado'!$G$3:$G$2002,$Q27))</f>
        <v/>
      </c>
      <c r="J27" s="45" t="str">
        <f aca="false">IF($Q27="","",INDEX('Lançar Resultado'!$P$3:$P$2002,$Q27))</f>
        <v/>
      </c>
      <c r="K27" s="46" t="str">
        <f aca="false">IF($Q27="","",INDEX('Lançar Resultado'!$N$3:$N$2002,$Q27))</f>
        <v/>
      </c>
      <c r="L27" s="47" t="str">
        <f aca="false">IF($Q27="","",INDEX('Lançar Resultado'!$I$3:$I$2002,$Q27))</f>
        <v/>
      </c>
      <c r="M27" s="47" t="str">
        <f aca="false">IF($Q27="","",INDEX('Lançar Resultado'!$J$3:$J$2002,$Q27))</f>
        <v/>
      </c>
      <c r="N27" s="44" t="str">
        <f aca="false">IF($Q27="","",INDEX('Lançar Resultado'!$K$3:$K$2002,$Q27))</f>
        <v/>
      </c>
      <c r="O27" s="46" t="str">
        <f aca="false">IF($Q27="","",INDEX('Lançar Resultado'!$L$3:$L$2002,$Q27))</f>
        <v/>
      </c>
      <c r="P27" s="45" t="str">
        <f aca="false">IF($Q27="","",IF(OR($O27="Concluída",$N27=""),"",IF($N27&lt;INT(Parâmetros!$C$4),INT(Parâmetros!$C$4)-$N27,"")))</f>
        <v/>
      </c>
      <c r="Q27" s="45" t="str">
        <f aca="false">IFERROR(MATCH(25,'Lançar Resultado'!$Q$3:$Q$2002,0),"")</f>
        <v/>
      </c>
    </row>
    <row r="28" customFormat="false" ht="18" hidden="false" customHeight="true" outlineLevel="0" collapsed="false">
      <c r="A28" s="39" t="n">
        <v>26</v>
      </c>
      <c r="B28" s="47" t="str">
        <f aca="false">IF($Q28="","",INDEX('Lançar Resultado'!$A$3:$A$2002,$Q28))</f>
        <v/>
      </c>
      <c r="C28" s="44" t="str">
        <f aca="false">IF($Q28="","",INDEX('Lançar Resultado'!$B$3:$B$2002,$Q28))</f>
        <v/>
      </c>
      <c r="D28" s="46" t="str">
        <f aca="false">IF($Q28="","",IF(SUMPRODUCT((Inspeções!$B$3:$B$122=$B28)*(Inspeções!$A$3:$A$122=$C28)*(ROW(Inspeções!$B$3:$B$122)-3+1))=0,"",INDEX(Inspeções!$C$3:$C$122,SUMPRODUCT((Inspeções!$B$3:$B$122=$B28)*(Inspeções!$A$3:$A$122=$C28)*(ROW(Inspeções!$B$3:$B$122)-3+1)))))</f>
        <v/>
      </c>
      <c r="E28" s="47" t="str">
        <f aca="false">IF($Q28="","",INDEX('Lançar Resultado'!$C$3:$C$2002,$Q28))</f>
        <v/>
      </c>
      <c r="F28" s="47" t="str">
        <f aca="false">IF($Q28="","",IFERROR(INDEX(Equipamentos!$E$3:$E$52,MATCH($B28,Equipamentos!$A$3:$A$52,0)),""))</f>
        <v/>
      </c>
      <c r="G28" s="47" t="str">
        <f aca="false">IF($Q28="","",INDEX('Lançar Resultado'!$D$3:$D$2002,$Q28))</f>
        <v/>
      </c>
      <c r="H28" s="47" t="str">
        <f aca="false">IF($Q28="","",INDEX('Lançar Resultado'!$E$3:$E$2002,$Q28))</f>
        <v/>
      </c>
      <c r="I28" s="46" t="str">
        <f aca="false">IF($Q28="","",INDEX('Lançar Resultado'!$G$3:$G$2002,$Q28))</f>
        <v/>
      </c>
      <c r="J28" s="45" t="str">
        <f aca="false">IF($Q28="","",INDEX('Lançar Resultado'!$P$3:$P$2002,$Q28))</f>
        <v/>
      </c>
      <c r="K28" s="46" t="str">
        <f aca="false">IF($Q28="","",INDEX('Lançar Resultado'!$N$3:$N$2002,$Q28))</f>
        <v/>
      </c>
      <c r="L28" s="47" t="str">
        <f aca="false">IF($Q28="","",INDEX('Lançar Resultado'!$I$3:$I$2002,$Q28))</f>
        <v/>
      </c>
      <c r="M28" s="47" t="str">
        <f aca="false">IF($Q28="","",INDEX('Lançar Resultado'!$J$3:$J$2002,$Q28))</f>
        <v/>
      </c>
      <c r="N28" s="44" t="str">
        <f aca="false">IF($Q28="","",INDEX('Lançar Resultado'!$K$3:$K$2002,$Q28))</f>
        <v/>
      </c>
      <c r="O28" s="46" t="str">
        <f aca="false">IF($Q28="","",INDEX('Lançar Resultado'!$L$3:$L$2002,$Q28))</f>
        <v/>
      </c>
      <c r="P28" s="45" t="str">
        <f aca="false">IF($Q28="","",IF(OR($O28="Concluída",$N28=""),"",IF($N28&lt;INT(Parâmetros!$C$4),INT(Parâmetros!$C$4)-$N28,"")))</f>
        <v/>
      </c>
      <c r="Q28" s="45" t="str">
        <f aca="false">IFERROR(MATCH(26,'Lançar Resultado'!$Q$3:$Q$2002,0),"")</f>
        <v/>
      </c>
    </row>
    <row r="29" customFormat="false" ht="18" hidden="false" customHeight="true" outlineLevel="0" collapsed="false">
      <c r="A29" s="39" t="n">
        <v>27</v>
      </c>
      <c r="B29" s="47" t="str">
        <f aca="false">IF($Q29="","",INDEX('Lançar Resultado'!$A$3:$A$2002,$Q29))</f>
        <v/>
      </c>
      <c r="C29" s="44" t="str">
        <f aca="false">IF($Q29="","",INDEX('Lançar Resultado'!$B$3:$B$2002,$Q29))</f>
        <v/>
      </c>
      <c r="D29" s="46" t="str">
        <f aca="false">IF($Q29="","",IF(SUMPRODUCT((Inspeções!$B$3:$B$122=$B29)*(Inspeções!$A$3:$A$122=$C29)*(ROW(Inspeções!$B$3:$B$122)-3+1))=0,"",INDEX(Inspeções!$C$3:$C$122,SUMPRODUCT((Inspeções!$B$3:$B$122=$B29)*(Inspeções!$A$3:$A$122=$C29)*(ROW(Inspeções!$B$3:$B$122)-3+1)))))</f>
        <v/>
      </c>
      <c r="E29" s="47" t="str">
        <f aca="false">IF($Q29="","",INDEX('Lançar Resultado'!$C$3:$C$2002,$Q29))</f>
        <v/>
      </c>
      <c r="F29" s="47" t="str">
        <f aca="false">IF($Q29="","",IFERROR(INDEX(Equipamentos!$E$3:$E$52,MATCH($B29,Equipamentos!$A$3:$A$52,0)),""))</f>
        <v/>
      </c>
      <c r="G29" s="47" t="str">
        <f aca="false">IF($Q29="","",INDEX('Lançar Resultado'!$D$3:$D$2002,$Q29))</f>
        <v/>
      </c>
      <c r="H29" s="47" t="str">
        <f aca="false">IF($Q29="","",INDEX('Lançar Resultado'!$E$3:$E$2002,$Q29))</f>
        <v/>
      </c>
      <c r="I29" s="46" t="str">
        <f aca="false">IF($Q29="","",INDEX('Lançar Resultado'!$G$3:$G$2002,$Q29))</f>
        <v/>
      </c>
      <c r="J29" s="45" t="str">
        <f aca="false">IF($Q29="","",INDEX('Lançar Resultado'!$P$3:$P$2002,$Q29))</f>
        <v/>
      </c>
      <c r="K29" s="46" t="str">
        <f aca="false">IF($Q29="","",INDEX('Lançar Resultado'!$N$3:$N$2002,$Q29))</f>
        <v/>
      </c>
      <c r="L29" s="47" t="str">
        <f aca="false">IF($Q29="","",INDEX('Lançar Resultado'!$I$3:$I$2002,$Q29))</f>
        <v/>
      </c>
      <c r="M29" s="47" t="str">
        <f aca="false">IF($Q29="","",INDEX('Lançar Resultado'!$J$3:$J$2002,$Q29))</f>
        <v/>
      </c>
      <c r="N29" s="44" t="str">
        <f aca="false">IF($Q29="","",INDEX('Lançar Resultado'!$K$3:$K$2002,$Q29))</f>
        <v/>
      </c>
      <c r="O29" s="46" t="str">
        <f aca="false">IF($Q29="","",INDEX('Lançar Resultado'!$L$3:$L$2002,$Q29))</f>
        <v/>
      </c>
      <c r="P29" s="45" t="str">
        <f aca="false">IF($Q29="","",IF(OR($O29="Concluída",$N29=""),"",IF($N29&lt;INT(Parâmetros!$C$4),INT(Parâmetros!$C$4)-$N29,"")))</f>
        <v/>
      </c>
      <c r="Q29" s="45" t="str">
        <f aca="false">IFERROR(MATCH(27,'Lançar Resultado'!$Q$3:$Q$2002,0),"")</f>
        <v/>
      </c>
    </row>
    <row r="30" customFormat="false" ht="18" hidden="false" customHeight="true" outlineLevel="0" collapsed="false">
      <c r="A30" s="39" t="n">
        <v>28</v>
      </c>
      <c r="B30" s="47" t="str">
        <f aca="false">IF($Q30="","",INDEX('Lançar Resultado'!$A$3:$A$2002,$Q30))</f>
        <v/>
      </c>
      <c r="C30" s="44" t="str">
        <f aca="false">IF($Q30="","",INDEX('Lançar Resultado'!$B$3:$B$2002,$Q30))</f>
        <v/>
      </c>
      <c r="D30" s="46" t="str">
        <f aca="false">IF($Q30="","",IF(SUMPRODUCT((Inspeções!$B$3:$B$122=$B30)*(Inspeções!$A$3:$A$122=$C30)*(ROW(Inspeções!$B$3:$B$122)-3+1))=0,"",INDEX(Inspeções!$C$3:$C$122,SUMPRODUCT((Inspeções!$B$3:$B$122=$B30)*(Inspeções!$A$3:$A$122=$C30)*(ROW(Inspeções!$B$3:$B$122)-3+1)))))</f>
        <v/>
      </c>
      <c r="E30" s="47" t="str">
        <f aca="false">IF($Q30="","",INDEX('Lançar Resultado'!$C$3:$C$2002,$Q30))</f>
        <v/>
      </c>
      <c r="F30" s="47" t="str">
        <f aca="false">IF($Q30="","",IFERROR(INDEX(Equipamentos!$E$3:$E$52,MATCH($B30,Equipamentos!$A$3:$A$52,0)),""))</f>
        <v/>
      </c>
      <c r="G30" s="47" t="str">
        <f aca="false">IF($Q30="","",INDEX('Lançar Resultado'!$D$3:$D$2002,$Q30))</f>
        <v/>
      </c>
      <c r="H30" s="47" t="str">
        <f aca="false">IF($Q30="","",INDEX('Lançar Resultado'!$E$3:$E$2002,$Q30))</f>
        <v/>
      </c>
      <c r="I30" s="46" t="str">
        <f aca="false">IF($Q30="","",INDEX('Lançar Resultado'!$G$3:$G$2002,$Q30))</f>
        <v/>
      </c>
      <c r="J30" s="45" t="str">
        <f aca="false">IF($Q30="","",INDEX('Lançar Resultado'!$P$3:$P$2002,$Q30))</f>
        <v/>
      </c>
      <c r="K30" s="46" t="str">
        <f aca="false">IF($Q30="","",INDEX('Lançar Resultado'!$N$3:$N$2002,$Q30))</f>
        <v/>
      </c>
      <c r="L30" s="47" t="str">
        <f aca="false">IF($Q30="","",INDEX('Lançar Resultado'!$I$3:$I$2002,$Q30))</f>
        <v/>
      </c>
      <c r="M30" s="47" t="str">
        <f aca="false">IF($Q30="","",INDEX('Lançar Resultado'!$J$3:$J$2002,$Q30))</f>
        <v/>
      </c>
      <c r="N30" s="44" t="str">
        <f aca="false">IF($Q30="","",INDEX('Lançar Resultado'!$K$3:$K$2002,$Q30))</f>
        <v/>
      </c>
      <c r="O30" s="46" t="str">
        <f aca="false">IF($Q30="","",INDEX('Lançar Resultado'!$L$3:$L$2002,$Q30))</f>
        <v/>
      </c>
      <c r="P30" s="45" t="str">
        <f aca="false">IF($Q30="","",IF(OR($O30="Concluída",$N30=""),"",IF($N30&lt;INT(Parâmetros!$C$4),INT(Parâmetros!$C$4)-$N30,"")))</f>
        <v/>
      </c>
      <c r="Q30" s="45" t="str">
        <f aca="false">IFERROR(MATCH(28,'Lançar Resultado'!$Q$3:$Q$2002,0),"")</f>
        <v/>
      </c>
    </row>
    <row r="31" customFormat="false" ht="18" hidden="false" customHeight="true" outlineLevel="0" collapsed="false">
      <c r="A31" s="39" t="n">
        <v>29</v>
      </c>
      <c r="B31" s="47" t="str">
        <f aca="false">IF($Q31="","",INDEX('Lançar Resultado'!$A$3:$A$2002,$Q31))</f>
        <v/>
      </c>
      <c r="C31" s="44" t="str">
        <f aca="false">IF($Q31="","",INDEX('Lançar Resultado'!$B$3:$B$2002,$Q31))</f>
        <v/>
      </c>
      <c r="D31" s="46" t="str">
        <f aca="false">IF($Q31="","",IF(SUMPRODUCT((Inspeções!$B$3:$B$122=$B31)*(Inspeções!$A$3:$A$122=$C31)*(ROW(Inspeções!$B$3:$B$122)-3+1))=0,"",INDEX(Inspeções!$C$3:$C$122,SUMPRODUCT((Inspeções!$B$3:$B$122=$B31)*(Inspeções!$A$3:$A$122=$C31)*(ROW(Inspeções!$B$3:$B$122)-3+1)))))</f>
        <v/>
      </c>
      <c r="E31" s="47" t="str">
        <f aca="false">IF($Q31="","",INDEX('Lançar Resultado'!$C$3:$C$2002,$Q31))</f>
        <v/>
      </c>
      <c r="F31" s="47" t="str">
        <f aca="false">IF($Q31="","",IFERROR(INDEX(Equipamentos!$E$3:$E$52,MATCH($B31,Equipamentos!$A$3:$A$52,0)),""))</f>
        <v/>
      </c>
      <c r="G31" s="47" t="str">
        <f aca="false">IF($Q31="","",INDEX('Lançar Resultado'!$D$3:$D$2002,$Q31))</f>
        <v/>
      </c>
      <c r="H31" s="47" t="str">
        <f aca="false">IF($Q31="","",INDEX('Lançar Resultado'!$E$3:$E$2002,$Q31))</f>
        <v/>
      </c>
      <c r="I31" s="46" t="str">
        <f aca="false">IF($Q31="","",INDEX('Lançar Resultado'!$G$3:$G$2002,$Q31))</f>
        <v/>
      </c>
      <c r="J31" s="45" t="str">
        <f aca="false">IF($Q31="","",INDEX('Lançar Resultado'!$P$3:$P$2002,$Q31))</f>
        <v/>
      </c>
      <c r="K31" s="46" t="str">
        <f aca="false">IF($Q31="","",INDEX('Lançar Resultado'!$N$3:$N$2002,$Q31))</f>
        <v/>
      </c>
      <c r="L31" s="47" t="str">
        <f aca="false">IF($Q31="","",INDEX('Lançar Resultado'!$I$3:$I$2002,$Q31))</f>
        <v/>
      </c>
      <c r="M31" s="47" t="str">
        <f aca="false">IF($Q31="","",INDEX('Lançar Resultado'!$J$3:$J$2002,$Q31))</f>
        <v/>
      </c>
      <c r="N31" s="44" t="str">
        <f aca="false">IF($Q31="","",INDEX('Lançar Resultado'!$K$3:$K$2002,$Q31))</f>
        <v/>
      </c>
      <c r="O31" s="46" t="str">
        <f aca="false">IF($Q31="","",INDEX('Lançar Resultado'!$L$3:$L$2002,$Q31))</f>
        <v/>
      </c>
      <c r="P31" s="45" t="str">
        <f aca="false">IF($Q31="","",IF(OR($O31="Concluída",$N31=""),"",IF($N31&lt;INT(Parâmetros!$C$4),INT(Parâmetros!$C$4)-$N31,"")))</f>
        <v/>
      </c>
      <c r="Q31" s="45" t="str">
        <f aca="false">IFERROR(MATCH(29,'Lançar Resultado'!$Q$3:$Q$2002,0),"")</f>
        <v/>
      </c>
    </row>
    <row r="32" customFormat="false" ht="18" hidden="false" customHeight="true" outlineLevel="0" collapsed="false">
      <c r="A32" s="39" t="n">
        <v>30</v>
      </c>
      <c r="B32" s="47" t="str">
        <f aca="false">IF($Q32="","",INDEX('Lançar Resultado'!$A$3:$A$2002,$Q32))</f>
        <v/>
      </c>
      <c r="C32" s="44" t="str">
        <f aca="false">IF($Q32="","",INDEX('Lançar Resultado'!$B$3:$B$2002,$Q32))</f>
        <v/>
      </c>
      <c r="D32" s="46" t="str">
        <f aca="false">IF($Q32="","",IF(SUMPRODUCT((Inspeções!$B$3:$B$122=$B32)*(Inspeções!$A$3:$A$122=$C32)*(ROW(Inspeções!$B$3:$B$122)-3+1))=0,"",INDEX(Inspeções!$C$3:$C$122,SUMPRODUCT((Inspeções!$B$3:$B$122=$B32)*(Inspeções!$A$3:$A$122=$C32)*(ROW(Inspeções!$B$3:$B$122)-3+1)))))</f>
        <v/>
      </c>
      <c r="E32" s="47" t="str">
        <f aca="false">IF($Q32="","",INDEX('Lançar Resultado'!$C$3:$C$2002,$Q32))</f>
        <v/>
      </c>
      <c r="F32" s="47" t="str">
        <f aca="false">IF($Q32="","",IFERROR(INDEX(Equipamentos!$E$3:$E$52,MATCH($B32,Equipamentos!$A$3:$A$52,0)),""))</f>
        <v/>
      </c>
      <c r="G32" s="47" t="str">
        <f aca="false">IF($Q32="","",INDEX('Lançar Resultado'!$D$3:$D$2002,$Q32))</f>
        <v/>
      </c>
      <c r="H32" s="47" t="str">
        <f aca="false">IF($Q32="","",INDEX('Lançar Resultado'!$E$3:$E$2002,$Q32))</f>
        <v/>
      </c>
      <c r="I32" s="46" t="str">
        <f aca="false">IF($Q32="","",INDEX('Lançar Resultado'!$G$3:$G$2002,$Q32))</f>
        <v/>
      </c>
      <c r="J32" s="45" t="str">
        <f aca="false">IF($Q32="","",INDEX('Lançar Resultado'!$P$3:$P$2002,$Q32))</f>
        <v/>
      </c>
      <c r="K32" s="46" t="str">
        <f aca="false">IF($Q32="","",INDEX('Lançar Resultado'!$N$3:$N$2002,$Q32))</f>
        <v/>
      </c>
      <c r="L32" s="47" t="str">
        <f aca="false">IF($Q32="","",INDEX('Lançar Resultado'!$I$3:$I$2002,$Q32))</f>
        <v/>
      </c>
      <c r="M32" s="47" t="str">
        <f aca="false">IF($Q32="","",INDEX('Lançar Resultado'!$J$3:$J$2002,$Q32))</f>
        <v/>
      </c>
      <c r="N32" s="44" t="str">
        <f aca="false">IF($Q32="","",INDEX('Lançar Resultado'!$K$3:$K$2002,$Q32))</f>
        <v/>
      </c>
      <c r="O32" s="46" t="str">
        <f aca="false">IF($Q32="","",INDEX('Lançar Resultado'!$L$3:$L$2002,$Q32))</f>
        <v/>
      </c>
      <c r="P32" s="45" t="str">
        <f aca="false">IF($Q32="","",IF(OR($O32="Concluída",$N32=""),"",IF($N32&lt;INT(Parâmetros!$C$4),INT(Parâmetros!$C$4)-$N32,"")))</f>
        <v/>
      </c>
      <c r="Q32" s="45" t="str">
        <f aca="false">IFERROR(MATCH(30,'Lançar Resultado'!$Q$3:$Q$2002,0),"")</f>
        <v/>
      </c>
    </row>
    <row r="33" customFormat="false" ht="18" hidden="false" customHeight="true" outlineLevel="0" collapsed="false">
      <c r="A33" s="39" t="n">
        <v>31</v>
      </c>
      <c r="B33" s="47" t="str">
        <f aca="false">IF($Q33="","",INDEX('Lançar Resultado'!$A$3:$A$2002,$Q33))</f>
        <v/>
      </c>
      <c r="C33" s="44" t="str">
        <f aca="false">IF($Q33="","",INDEX('Lançar Resultado'!$B$3:$B$2002,$Q33))</f>
        <v/>
      </c>
      <c r="D33" s="46" t="str">
        <f aca="false">IF($Q33="","",IF(SUMPRODUCT((Inspeções!$B$3:$B$122=$B33)*(Inspeções!$A$3:$A$122=$C33)*(ROW(Inspeções!$B$3:$B$122)-3+1))=0,"",INDEX(Inspeções!$C$3:$C$122,SUMPRODUCT((Inspeções!$B$3:$B$122=$B33)*(Inspeções!$A$3:$A$122=$C33)*(ROW(Inspeções!$B$3:$B$122)-3+1)))))</f>
        <v/>
      </c>
      <c r="E33" s="47" t="str">
        <f aca="false">IF($Q33="","",INDEX('Lançar Resultado'!$C$3:$C$2002,$Q33))</f>
        <v/>
      </c>
      <c r="F33" s="47" t="str">
        <f aca="false">IF($Q33="","",IFERROR(INDEX(Equipamentos!$E$3:$E$52,MATCH($B33,Equipamentos!$A$3:$A$52,0)),""))</f>
        <v/>
      </c>
      <c r="G33" s="47" t="str">
        <f aca="false">IF($Q33="","",INDEX('Lançar Resultado'!$D$3:$D$2002,$Q33))</f>
        <v/>
      </c>
      <c r="H33" s="47" t="str">
        <f aca="false">IF($Q33="","",INDEX('Lançar Resultado'!$E$3:$E$2002,$Q33))</f>
        <v/>
      </c>
      <c r="I33" s="46" t="str">
        <f aca="false">IF($Q33="","",INDEX('Lançar Resultado'!$G$3:$G$2002,$Q33))</f>
        <v/>
      </c>
      <c r="J33" s="45" t="str">
        <f aca="false">IF($Q33="","",INDEX('Lançar Resultado'!$P$3:$P$2002,$Q33))</f>
        <v/>
      </c>
      <c r="K33" s="46" t="str">
        <f aca="false">IF($Q33="","",INDEX('Lançar Resultado'!$N$3:$N$2002,$Q33))</f>
        <v/>
      </c>
      <c r="L33" s="47" t="str">
        <f aca="false">IF($Q33="","",INDEX('Lançar Resultado'!$I$3:$I$2002,$Q33))</f>
        <v/>
      </c>
      <c r="M33" s="47" t="str">
        <f aca="false">IF($Q33="","",INDEX('Lançar Resultado'!$J$3:$J$2002,$Q33))</f>
        <v/>
      </c>
      <c r="N33" s="44" t="str">
        <f aca="false">IF($Q33="","",INDEX('Lançar Resultado'!$K$3:$K$2002,$Q33))</f>
        <v/>
      </c>
      <c r="O33" s="46" t="str">
        <f aca="false">IF($Q33="","",INDEX('Lançar Resultado'!$L$3:$L$2002,$Q33))</f>
        <v/>
      </c>
      <c r="P33" s="45" t="str">
        <f aca="false">IF($Q33="","",IF(OR($O33="Concluída",$N33=""),"",IF($N33&lt;INT(Parâmetros!$C$4),INT(Parâmetros!$C$4)-$N33,"")))</f>
        <v/>
      </c>
      <c r="Q33" s="45" t="str">
        <f aca="false">IFERROR(MATCH(31,'Lançar Resultado'!$Q$3:$Q$2002,0),"")</f>
        <v/>
      </c>
    </row>
    <row r="34" customFormat="false" ht="18" hidden="false" customHeight="true" outlineLevel="0" collapsed="false">
      <c r="A34" s="39" t="n">
        <v>32</v>
      </c>
      <c r="B34" s="47" t="str">
        <f aca="false">IF($Q34="","",INDEX('Lançar Resultado'!$A$3:$A$2002,$Q34))</f>
        <v/>
      </c>
      <c r="C34" s="44" t="str">
        <f aca="false">IF($Q34="","",INDEX('Lançar Resultado'!$B$3:$B$2002,$Q34))</f>
        <v/>
      </c>
      <c r="D34" s="46" t="str">
        <f aca="false">IF($Q34="","",IF(SUMPRODUCT((Inspeções!$B$3:$B$122=$B34)*(Inspeções!$A$3:$A$122=$C34)*(ROW(Inspeções!$B$3:$B$122)-3+1))=0,"",INDEX(Inspeções!$C$3:$C$122,SUMPRODUCT((Inspeções!$B$3:$B$122=$B34)*(Inspeções!$A$3:$A$122=$C34)*(ROW(Inspeções!$B$3:$B$122)-3+1)))))</f>
        <v/>
      </c>
      <c r="E34" s="47" t="str">
        <f aca="false">IF($Q34="","",INDEX('Lançar Resultado'!$C$3:$C$2002,$Q34))</f>
        <v/>
      </c>
      <c r="F34" s="47" t="str">
        <f aca="false">IF($Q34="","",IFERROR(INDEX(Equipamentos!$E$3:$E$52,MATCH($B34,Equipamentos!$A$3:$A$52,0)),""))</f>
        <v/>
      </c>
      <c r="G34" s="47" t="str">
        <f aca="false">IF($Q34="","",INDEX('Lançar Resultado'!$D$3:$D$2002,$Q34))</f>
        <v/>
      </c>
      <c r="H34" s="47" t="str">
        <f aca="false">IF($Q34="","",INDEX('Lançar Resultado'!$E$3:$E$2002,$Q34))</f>
        <v/>
      </c>
      <c r="I34" s="46" t="str">
        <f aca="false">IF($Q34="","",INDEX('Lançar Resultado'!$G$3:$G$2002,$Q34))</f>
        <v/>
      </c>
      <c r="J34" s="45" t="str">
        <f aca="false">IF($Q34="","",INDEX('Lançar Resultado'!$P$3:$P$2002,$Q34))</f>
        <v/>
      </c>
      <c r="K34" s="46" t="str">
        <f aca="false">IF($Q34="","",INDEX('Lançar Resultado'!$N$3:$N$2002,$Q34))</f>
        <v/>
      </c>
      <c r="L34" s="47" t="str">
        <f aca="false">IF($Q34="","",INDEX('Lançar Resultado'!$I$3:$I$2002,$Q34))</f>
        <v/>
      </c>
      <c r="M34" s="47" t="str">
        <f aca="false">IF($Q34="","",INDEX('Lançar Resultado'!$J$3:$J$2002,$Q34))</f>
        <v/>
      </c>
      <c r="N34" s="44" t="str">
        <f aca="false">IF($Q34="","",INDEX('Lançar Resultado'!$K$3:$K$2002,$Q34))</f>
        <v/>
      </c>
      <c r="O34" s="46" t="str">
        <f aca="false">IF($Q34="","",INDEX('Lançar Resultado'!$L$3:$L$2002,$Q34))</f>
        <v/>
      </c>
      <c r="P34" s="45" t="str">
        <f aca="false">IF($Q34="","",IF(OR($O34="Concluída",$N34=""),"",IF($N34&lt;INT(Parâmetros!$C$4),INT(Parâmetros!$C$4)-$N34,"")))</f>
        <v/>
      </c>
      <c r="Q34" s="45" t="str">
        <f aca="false">IFERROR(MATCH(32,'Lançar Resultado'!$Q$3:$Q$2002,0),"")</f>
        <v/>
      </c>
    </row>
    <row r="35" customFormat="false" ht="18" hidden="false" customHeight="true" outlineLevel="0" collapsed="false">
      <c r="A35" s="39" t="n">
        <v>33</v>
      </c>
      <c r="B35" s="47" t="str">
        <f aca="false">IF($Q35="","",INDEX('Lançar Resultado'!$A$3:$A$2002,$Q35))</f>
        <v/>
      </c>
      <c r="C35" s="44" t="str">
        <f aca="false">IF($Q35="","",INDEX('Lançar Resultado'!$B$3:$B$2002,$Q35))</f>
        <v/>
      </c>
      <c r="D35" s="46" t="str">
        <f aca="false">IF($Q35="","",IF(SUMPRODUCT((Inspeções!$B$3:$B$122=$B35)*(Inspeções!$A$3:$A$122=$C35)*(ROW(Inspeções!$B$3:$B$122)-3+1))=0,"",INDEX(Inspeções!$C$3:$C$122,SUMPRODUCT((Inspeções!$B$3:$B$122=$B35)*(Inspeções!$A$3:$A$122=$C35)*(ROW(Inspeções!$B$3:$B$122)-3+1)))))</f>
        <v/>
      </c>
      <c r="E35" s="47" t="str">
        <f aca="false">IF($Q35="","",INDEX('Lançar Resultado'!$C$3:$C$2002,$Q35))</f>
        <v/>
      </c>
      <c r="F35" s="47" t="str">
        <f aca="false">IF($Q35="","",IFERROR(INDEX(Equipamentos!$E$3:$E$52,MATCH($B35,Equipamentos!$A$3:$A$52,0)),""))</f>
        <v/>
      </c>
      <c r="G35" s="47" t="str">
        <f aca="false">IF($Q35="","",INDEX('Lançar Resultado'!$D$3:$D$2002,$Q35))</f>
        <v/>
      </c>
      <c r="H35" s="47" t="str">
        <f aca="false">IF($Q35="","",INDEX('Lançar Resultado'!$E$3:$E$2002,$Q35))</f>
        <v/>
      </c>
      <c r="I35" s="46" t="str">
        <f aca="false">IF($Q35="","",INDEX('Lançar Resultado'!$G$3:$G$2002,$Q35))</f>
        <v/>
      </c>
      <c r="J35" s="45" t="str">
        <f aca="false">IF($Q35="","",INDEX('Lançar Resultado'!$P$3:$P$2002,$Q35))</f>
        <v/>
      </c>
      <c r="K35" s="46" t="str">
        <f aca="false">IF($Q35="","",INDEX('Lançar Resultado'!$N$3:$N$2002,$Q35))</f>
        <v/>
      </c>
      <c r="L35" s="47" t="str">
        <f aca="false">IF($Q35="","",INDEX('Lançar Resultado'!$I$3:$I$2002,$Q35))</f>
        <v/>
      </c>
      <c r="M35" s="47" t="str">
        <f aca="false">IF($Q35="","",INDEX('Lançar Resultado'!$J$3:$J$2002,$Q35))</f>
        <v/>
      </c>
      <c r="N35" s="44" t="str">
        <f aca="false">IF($Q35="","",INDEX('Lançar Resultado'!$K$3:$K$2002,$Q35))</f>
        <v/>
      </c>
      <c r="O35" s="46" t="str">
        <f aca="false">IF($Q35="","",INDEX('Lançar Resultado'!$L$3:$L$2002,$Q35))</f>
        <v/>
      </c>
      <c r="P35" s="45" t="str">
        <f aca="false">IF($Q35="","",IF(OR($O35="Concluída",$N35=""),"",IF($N35&lt;INT(Parâmetros!$C$4),INT(Parâmetros!$C$4)-$N35,"")))</f>
        <v/>
      </c>
      <c r="Q35" s="45" t="str">
        <f aca="false">IFERROR(MATCH(33,'Lançar Resultado'!$Q$3:$Q$2002,0),"")</f>
        <v/>
      </c>
    </row>
    <row r="36" customFormat="false" ht="18" hidden="false" customHeight="true" outlineLevel="0" collapsed="false">
      <c r="A36" s="39" t="n">
        <v>34</v>
      </c>
      <c r="B36" s="47" t="str">
        <f aca="false">IF($Q36="","",INDEX('Lançar Resultado'!$A$3:$A$2002,$Q36))</f>
        <v/>
      </c>
      <c r="C36" s="44" t="str">
        <f aca="false">IF($Q36="","",INDEX('Lançar Resultado'!$B$3:$B$2002,$Q36))</f>
        <v/>
      </c>
      <c r="D36" s="46" t="str">
        <f aca="false">IF($Q36="","",IF(SUMPRODUCT((Inspeções!$B$3:$B$122=$B36)*(Inspeções!$A$3:$A$122=$C36)*(ROW(Inspeções!$B$3:$B$122)-3+1))=0,"",INDEX(Inspeções!$C$3:$C$122,SUMPRODUCT((Inspeções!$B$3:$B$122=$B36)*(Inspeções!$A$3:$A$122=$C36)*(ROW(Inspeções!$B$3:$B$122)-3+1)))))</f>
        <v/>
      </c>
      <c r="E36" s="47" t="str">
        <f aca="false">IF($Q36="","",INDEX('Lançar Resultado'!$C$3:$C$2002,$Q36))</f>
        <v/>
      </c>
      <c r="F36" s="47" t="str">
        <f aca="false">IF($Q36="","",IFERROR(INDEX(Equipamentos!$E$3:$E$52,MATCH($B36,Equipamentos!$A$3:$A$52,0)),""))</f>
        <v/>
      </c>
      <c r="G36" s="47" t="str">
        <f aca="false">IF($Q36="","",INDEX('Lançar Resultado'!$D$3:$D$2002,$Q36))</f>
        <v/>
      </c>
      <c r="H36" s="47" t="str">
        <f aca="false">IF($Q36="","",INDEX('Lançar Resultado'!$E$3:$E$2002,$Q36))</f>
        <v/>
      </c>
      <c r="I36" s="46" t="str">
        <f aca="false">IF($Q36="","",INDEX('Lançar Resultado'!$G$3:$G$2002,$Q36))</f>
        <v/>
      </c>
      <c r="J36" s="45" t="str">
        <f aca="false">IF($Q36="","",INDEX('Lançar Resultado'!$P$3:$P$2002,$Q36))</f>
        <v/>
      </c>
      <c r="K36" s="46" t="str">
        <f aca="false">IF($Q36="","",INDEX('Lançar Resultado'!$N$3:$N$2002,$Q36))</f>
        <v/>
      </c>
      <c r="L36" s="47" t="str">
        <f aca="false">IF($Q36="","",INDEX('Lançar Resultado'!$I$3:$I$2002,$Q36))</f>
        <v/>
      </c>
      <c r="M36" s="47" t="str">
        <f aca="false">IF($Q36="","",INDEX('Lançar Resultado'!$J$3:$J$2002,$Q36))</f>
        <v/>
      </c>
      <c r="N36" s="44" t="str">
        <f aca="false">IF($Q36="","",INDEX('Lançar Resultado'!$K$3:$K$2002,$Q36))</f>
        <v/>
      </c>
      <c r="O36" s="46" t="str">
        <f aca="false">IF($Q36="","",INDEX('Lançar Resultado'!$L$3:$L$2002,$Q36))</f>
        <v/>
      </c>
      <c r="P36" s="45" t="str">
        <f aca="false">IF($Q36="","",IF(OR($O36="Concluída",$N36=""),"",IF($N36&lt;INT(Parâmetros!$C$4),INT(Parâmetros!$C$4)-$N36,"")))</f>
        <v/>
      </c>
      <c r="Q36" s="45" t="str">
        <f aca="false">IFERROR(MATCH(34,'Lançar Resultado'!$Q$3:$Q$2002,0),"")</f>
        <v/>
      </c>
    </row>
    <row r="37" customFormat="false" ht="18" hidden="false" customHeight="true" outlineLevel="0" collapsed="false">
      <c r="A37" s="39" t="n">
        <v>35</v>
      </c>
      <c r="B37" s="47" t="str">
        <f aca="false">IF($Q37="","",INDEX('Lançar Resultado'!$A$3:$A$2002,$Q37))</f>
        <v/>
      </c>
      <c r="C37" s="44" t="str">
        <f aca="false">IF($Q37="","",INDEX('Lançar Resultado'!$B$3:$B$2002,$Q37))</f>
        <v/>
      </c>
      <c r="D37" s="46" t="str">
        <f aca="false">IF($Q37="","",IF(SUMPRODUCT((Inspeções!$B$3:$B$122=$B37)*(Inspeções!$A$3:$A$122=$C37)*(ROW(Inspeções!$B$3:$B$122)-3+1))=0,"",INDEX(Inspeções!$C$3:$C$122,SUMPRODUCT((Inspeções!$B$3:$B$122=$B37)*(Inspeções!$A$3:$A$122=$C37)*(ROW(Inspeções!$B$3:$B$122)-3+1)))))</f>
        <v/>
      </c>
      <c r="E37" s="47" t="str">
        <f aca="false">IF($Q37="","",INDEX('Lançar Resultado'!$C$3:$C$2002,$Q37))</f>
        <v/>
      </c>
      <c r="F37" s="47" t="str">
        <f aca="false">IF($Q37="","",IFERROR(INDEX(Equipamentos!$E$3:$E$52,MATCH($B37,Equipamentos!$A$3:$A$52,0)),""))</f>
        <v/>
      </c>
      <c r="G37" s="47" t="str">
        <f aca="false">IF($Q37="","",INDEX('Lançar Resultado'!$D$3:$D$2002,$Q37))</f>
        <v/>
      </c>
      <c r="H37" s="47" t="str">
        <f aca="false">IF($Q37="","",INDEX('Lançar Resultado'!$E$3:$E$2002,$Q37))</f>
        <v/>
      </c>
      <c r="I37" s="46" t="str">
        <f aca="false">IF($Q37="","",INDEX('Lançar Resultado'!$G$3:$G$2002,$Q37))</f>
        <v/>
      </c>
      <c r="J37" s="45" t="str">
        <f aca="false">IF($Q37="","",INDEX('Lançar Resultado'!$P$3:$P$2002,$Q37))</f>
        <v/>
      </c>
      <c r="K37" s="46" t="str">
        <f aca="false">IF($Q37="","",INDEX('Lançar Resultado'!$N$3:$N$2002,$Q37))</f>
        <v/>
      </c>
      <c r="L37" s="47" t="str">
        <f aca="false">IF($Q37="","",INDEX('Lançar Resultado'!$I$3:$I$2002,$Q37))</f>
        <v/>
      </c>
      <c r="M37" s="47" t="str">
        <f aca="false">IF($Q37="","",INDEX('Lançar Resultado'!$J$3:$J$2002,$Q37))</f>
        <v/>
      </c>
      <c r="N37" s="44" t="str">
        <f aca="false">IF($Q37="","",INDEX('Lançar Resultado'!$K$3:$K$2002,$Q37))</f>
        <v/>
      </c>
      <c r="O37" s="46" t="str">
        <f aca="false">IF($Q37="","",INDEX('Lançar Resultado'!$L$3:$L$2002,$Q37))</f>
        <v/>
      </c>
      <c r="P37" s="45" t="str">
        <f aca="false">IF($Q37="","",IF(OR($O37="Concluída",$N37=""),"",IF($N37&lt;INT(Parâmetros!$C$4),INT(Parâmetros!$C$4)-$N37,"")))</f>
        <v/>
      </c>
      <c r="Q37" s="45" t="str">
        <f aca="false">IFERROR(MATCH(35,'Lançar Resultado'!$Q$3:$Q$2002,0),"")</f>
        <v/>
      </c>
    </row>
    <row r="38" customFormat="false" ht="18" hidden="false" customHeight="true" outlineLevel="0" collapsed="false">
      <c r="A38" s="39" t="n">
        <v>36</v>
      </c>
      <c r="B38" s="47" t="str">
        <f aca="false">IF($Q38="","",INDEX('Lançar Resultado'!$A$3:$A$2002,$Q38))</f>
        <v/>
      </c>
      <c r="C38" s="44" t="str">
        <f aca="false">IF($Q38="","",INDEX('Lançar Resultado'!$B$3:$B$2002,$Q38))</f>
        <v/>
      </c>
      <c r="D38" s="46" t="str">
        <f aca="false">IF($Q38="","",IF(SUMPRODUCT((Inspeções!$B$3:$B$122=$B38)*(Inspeções!$A$3:$A$122=$C38)*(ROW(Inspeções!$B$3:$B$122)-3+1))=0,"",INDEX(Inspeções!$C$3:$C$122,SUMPRODUCT((Inspeções!$B$3:$B$122=$B38)*(Inspeções!$A$3:$A$122=$C38)*(ROW(Inspeções!$B$3:$B$122)-3+1)))))</f>
        <v/>
      </c>
      <c r="E38" s="47" t="str">
        <f aca="false">IF($Q38="","",INDEX('Lançar Resultado'!$C$3:$C$2002,$Q38))</f>
        <v/>
      </c>
      <c r="F38" s="47" t="str">
        <f aca="false">IF($Q38="","",IFERROR(INDEX(Equipamentos!$E$3:$E$52,MATCH($B38,Equipamentos!$A$3:$A$52,0)),""))</f>
        <v/>
      </c>
      <c r="G38" s="47" t="str">
        <f aca="false">IF($Q38="","",INDEX('Lançar Resultado'!$D$3:$D$2002,$Q38))</f>
        <v/>
      </c>
      <c r="H38" s="47" t="str">
        <f aca="false">IF($Q38="","",INDEX('Lançar Resultado'!$E$3:$E$2002,$Q38))</f>
        <v/>
      </c>
      <c r="I38" s="46" t="str">
        <f aca="false">IF($Q38="","",INDEX('Lançar Resultado'!$G$3:$G$2002,$Q38))</f>
        <v/>
      </c>
      <c r="J38" s="45" t="str">
        <f aca="false">IF($Q38="","",INDEX('Lançar Resultado'!$P$3:$P$2002,$Q38))</f>
        <v/>
      </c>
      <c r="K38" s="46" t="str">
        <f aca="false">IF($Q38="","",INDEX('Lançar Resultado'!$N$3:$N$2002,$Q38))</f>
        <v/>
      </c>
      <c r="L38" s="47" t="str">
        <f aca="false">IF($Q38="","",INDEX('Lançar Resultado'!$I$3:$I$2002,$Q38))</f>
        <v/>
      </c>
      <c r="M38" s="47" t="str">
        <f aca="false">IF($Q38="","",INDEX('Lançar Resultado'!$J$3:$J$2002,$Q38))</f>
        <v/>
      </c>
      <c r="N38" s="44" t="str">
        <f aca="false">IF($Q38="","",INDEX('Lançar Resultado'!$K$3:$K$2002,$Q38))</f>
        <v/>
      </c>
      <c r="O38" s="46" t="str">
        <f aca="false">IF($Q38="","",INDEX('Lançar Resultado'!$L$3:$L$2002,$Q38))</f>
        <v/>
      </c>
      <c r="P38" s="45" t="str">
        <f aca="false">IF($Q38="","",IF(OR($O38="Concluída",$N38=""),"",IF($N38&lt;INT(Parâmetros!$C$4),INT(Parâmetros!$C$4)-$N38,"")))</f>
        <v/>
      </c>
      <c r="Q38" s="45" t="str">
        <f aca="false">IFERROR(MATCH(36,'Lançar Resultado'!$Q$3:$Q$2002,0),"")</f>
        <v/>
      </c>
    </row>
    <row r="39" customFormat="false" ht="18" hidden="false" customHeight="true" outlineLevel="0" collapsed="false">
      <c r="A39" s="39" t="n">
        <v>37</v>
      </c>
      <c r="B39" s="47" t="str">
        <f aca="false">IF($Q39="","",INDEX('Lançar Resultado'!$A$3:$A$2002,$Q39))</f>
        <v/>
      </c>
      <c r="C39" s="44" t="str">
        <f aca="false">IF($Q39="","",INDEX('Lançar Resultado'!$B$3:$B$2002,$Q39))</f>
        <v/>
      </c>
      <c r="D39" s="46" t="str">
        <f aca="false">IF($Q39="","",IF(SUMPRODUCT((Inspeções!$B$3:$B$122=$B39)*(Inspeções!$A$3:$A$122=$C39)*(ROW(Inspeções!$B$3:$B$122)-3+1))=0,"",INDEX(Inspeções!$C$3:$C$122,SUMPRODUCT((Inspeções!$B$3:$B$122=$B39)*(Inspeções!$A$3:$A$122=$C39)*(ROW(Inspeções!$B$3:$B$122)-3+1)))))</f>
        <v/>
      </c>
      <c r="E39" s="47" t="str">
        <f aca="false">IF($Q39="","",INDEX('Lançar Resultado'!$C$3:$C$2002,$Q39))</f>
        <v/>
      </c>
      <c r="F39" s="47" t="str">
        <f aca="false">IF($Q39="","",IFERROR(INDEX(Equipamentos!$E$3:$E$52,MATCH($B39,Equipamentos!$A$3:$A$52,0)),""))</f>
        <v/>
      </c>
      <c r="G39" s="47" t="str">
        <f aca="false">IF($Q39="","",INDEX('Lançar Resultado'!$D$3:$D$2002,$Q39))</f>
        <v/>
      </c>
      <c r="H39" s="47" t="str">
        <f aca="false">IF($Q39="","",INDEX('Lançar Resultado'!$E$3:$E$2002,$Q39))</f>
        <v/>
      </c>
      <c r="I39" s="46" t="str">
        <f aca="false">IF($Q39="","",INDEX('Lançar Resultado'!$G$3:$G$2002,$Q39))</f>
        <v/>
      </c>
      <c r="J39" s="45" t="str">
        <f aca="false">IF($Q39="","",INDEX('Lançar Resultado'!$P$3:$P$2002,$Q39))</f>
        <v/>
      </c>
      <c r="K39" s="46" t="str">
        <f aca="false">IF($Q39="","",INDEX('Lançar Resultado'!$N$3:$N$2002,$Q39))</f>
        <v/>
      </c>
      <c r="L39" s="47" t="str">
        <f aca="false">IF($Q39="","",INDEX('Lançar Resultado'!$I$3:$I$2002,$Q39))</f>
        <v/>
      </c>
      <c r="M39" s="47" t="str">
        <f aca="false">IF($Q39="","",INDEX('Lançar Resultado'!$J$3:$J$2002,$Q39))</f>
        <v/>
      </c>
      <c r="N39" s="44" t="str">
        <f aca="false">IF($Q39="","",INDEX('Lançar Resultado'!$K$3:$K$2002,$Q39))</f>
        <v/>
      </c>
      <c r="O39" s="46" t="str">
        <f aca="false">IF($Q39="","",INDEX('Lançar Resultado'!$L$3:$L$2002,$Q39))</f>
        <v/>
      </c>
      <c r="P39" s="45" t="str">
        <f aca="false">IF($Q39="","",IF(OR($O39="Concluída",$N39=""),"",IF($N39&lt;INT(Parâmetros!$C$4),INT(Parâmetros!$C$4)-$N39,"")))</f>
        <v/>
      </c>
      <c r="Q39" s="45" t="str">
        <f aca="false">IFERROR(MATCH(37,'Lançar Resultado'!$Q$3:$Q$2002,0),"")</f>
        <v/>
      </c>
    </row>
    <row r="40" customFormat="false" ht="18" hidden="false" customHeight="true" outlineLevel="0" collapsed="false">
      <c r="A40" s="39" t="n">
        <v>38</v>
      </c>
      <c r="B40" s="47" t="str">
        <f aca="false">IF($Q40="","",INDEX('Lançar Resultado'!$A$3:$A$2002,$Q40))</f>
        <v/>
      </c>
      <c r="C40" s="44" t="str">
        <f aca="false">IF($Q40="","",INDEX('Lançar Resultado'!$B$3:$B$2002,$Q40))</f>
        <v/>
      </c>
      <c r="D40" s="46" t="str">
        <f aca="false">IF($Q40="","",IF(SUMPRODUCT((Inspeções!$B$3:$B$122=$B40)*(Inspeções!$A$3:$A$122=$C40)*(ROW(Inspeções!$B$3:$B$122)-3+1))=0,"",INDEX(Inspeções!$C$3:$C$122,SUMPRODUCT((Inspeções!$B$3:$B$122=$B40)*(Inspeções!$A$3:$A$122=$C40)*(ROW(Inspeções!$B$3:$B$122)-3+1)))))</f>
        <v/>
      </c>
      <c r="E40" s="47" t="str">
        <f aca="false">IF($Q40="","",INDEX('Lançar Resultado'!$C$3:$C$2002,$Q40))</f>
        <v/>
      </c>
      <c r="F40" s="47" t="str">
        <f aca="false">IF($Q40="","",IFERROR(INDEX(Equipamentos!$E$3:$E$52,MATCH($B40,Equipamentos!$A$3:$A$52,0)),""))</f>
        <v/>
      </c>
      <c r="G40" s="47" t="str">
        <f aca="false">IF($Q40="","",INDEX('Lançar Resultado'!$D$3:$D$2002,$Q40))</f>
        <v/>
      </c>
      <c r="H40" s="47" t="str">
        <f aca="false">IF($Q40="","",INDEX('Lançar Resultado'!$E$3:$E$2002,$Q40))</f>
        <v/>
      </c>
      <c r="I40" s="46" t="str">
        <f aca="false">IF($Q40="","",INDEX('Lançar Resultado'!$G$3:$G$2002,$Q40))</f>
        <v/>
      </c>
      <c r="J40" s="45" t="str">
        <f aca="false">IF($Q40="","",INDEX('Lançar Resultado'!$P$3:$P$2002,$Q40))</f>
        <v/>
      </c>
      <c r="K40" s="46" t="str">
        <f aca="false">IF($Q40="","",INDEX('Lançar Resultado'!$N$3:$N$2002,$Q40))</f>
        <v/>
      </c>
      <c r="L40" s="47" t="str">
        <f aca="false">IF($Q40="","",INDEX('Lançar Resultado'!$I$3:$I$2002,$Q40))</f>
        <v/>
      </c>
      <c r="M40" s="47" t="str">
        <f aca="false">IF($Q40="","",INDEX('Lançar Resultado'!$J$3:$J$2002,$Q40))</f>
        <v/>
      </c>
      <c r="N40" s="44" t="str">
        <f aca="false">IF($Q40="","",INDEX('Lançar Resultado'!$K$3:$K$2002,$Q40))</f>
        <v/>
      </c>
      <c r="O40" s="46" t="str">
        <f aca="false">IF($Q40="","",INDEX('Lançar Resultado'!$L$3:$L$2002,$Q40))</f>
        <v/>
      </c>
      <c r="P40" s="45" t="str">
        <f aca="false">IF($Q40="","",IF(OR($O40="Concluída",$N40=""),"",IF($N40&lt;INT(Parâmetros!$C$4),INT(Parâmetros!$C$4)-$N40,"")))</f>
        <v/>
      </c>
      <c r="Q40" s="45" t="str">
        <f aca="false">IFERROR(MATCH(38,'Lançar Resultado'!$Q$3:$Q$2002,0),"")</f>
        <v/>
      </c>
    </row>
    <row r="41" customFormat="false" ht="18" hidden="false" customHeight="true" outlineLevel="0" collapsed="false">
      <c r="A41" s="39" t="n">
        <v>39</v>
      </c>
      <c r="B41" s="47" t="str">
        <f aca="false">IF($Q41="","",INDEX('Lançar Resultado'!$A$3:$A$2002,$Q41))</f>
        <v/>
      </c>
      <c r="C41" s="44" t="str">
        <f aca="false">IF($Q41="","",INDEX('Lançar Resultado'!$B$3:$B$2002,$Q41))</f>
        <v/>
      </c>
      <c r="D41" s="46" t="str">
        <f aca="false">IF($Q41="","",IF(SUMPRODUCT((Inspeções!$B$3:$B$122=$B41)*(Inspeções!$A$3:$A$122=$C41)*(ROW(Inspeções!$B$3:$B$122)-3+1))=0,"",INDEX(Inspeções!$C$3:$C$122,SUMPRODUCT((Inspeções!$B$3:$B$122=$B41)*(Inspeções!$A$3:$A$122=$C41)*(ROW(Inspeções!$B$3:$B$122)-3+1)))))</f>
        <v/>
      </c>
      <c r="E41" s="47" t="str">
        <f aca="false">IF($Q41="","",INDEX('Lançar Resultado'!$C$3:$C$2002,$Q41))</f>
        <v/>
      </c>
      <c r="F41" s="47" t="str">
        <f aca="false">IF($Q41="","",IFERROR(INDEX(Equipamentos!$E$3:$E$52,MATCH($B41,Equipamentos!$A$3:$A$52,0)),""))</f>
        <v/>
      </c>
      <c r="G41" s="47" t="str">
        <f aca="false">IF($Q41="","",INDEX('Lançar Resultado'!$D$3:$D$2002,$Q41))</f>
        <v/>
      </c>
      <c r="H41" s="47" t="str">
        <f aca="false">IF($Q41="","",INDEX('Lançar Resultado'!$E$3:$E$2002,$Q41))</f>
        <v/>
      </c>
      <c r="I41" s="46" t="str">
        <f aca="false">IF($Q41="","",INDEX('Lançar Resultado'!$G$3:$G$2002,$Q41))</f>
        <v/>
      </c>
      <c r="J41" s="45" t="str">
        <f aca="false">IF($Q41="","",INDEX('Lançar Resultado'!$P$3:$P$2002,$Q41))</f>
        <v/>
      </c>
      <c r="K41" s="46" t="str">
        <f aca="false">IF($Q41="","",INDEX('Lançar Resultado'!$N$3:$N$2002,$Q41))</f>
        <v/>
      </c>
      <c r="L41" s="47" t="str">
        <f aca="false">IF($Q41="","",INDEX('Lançar Resultado'!$I$3:$I$2002,$Q41))</f>
        <v/>
      </c>
      <c r="M41" s="47" t="str">
        <f aca="false">IF($Q41="","",INDEX('Lançar Resultado'!$J$3:$J$2002,$Q41))</f>
        <v/>
      </c>
      <c r="N41" s="44" t="str">
        <f aca="false">IF($Q41="","",INDEX('Lançar Resultado'!$K$3:$K$2002,$Q41))</f>
        <v/>
      </c>
      <c r="O41" s="46" t="str">
        <f aca="false">IF($Q41="","",INDEX('Lançar Resultado'!$L$3:$L$2002,$Q41))</f>
        <v/>
      </c>
      <c r="P41" s="45" t="str">
        <f aca="false">IF($Q41="","",IF(OR($O41="Concluída",$N41=""),"",IF($N41&lt;INT(Parâmetros!$C$4),INT(Parâmetros!$C$4)-$N41,"")))</f>
        <v/>
      </c>
      <c r="Q41" s="45" t="str">
        <f aca="false">IFERROR(MATCH(39,'Lançar Resultado'!$Q$3:$Q$2002,0),"")</f>
        <v/>
      </c>
    </row>
    <row r="42" customFormat="false" ht="18" hidden="false" customHeight="true" outlineLevel="0" collapsed="false">
      <c r="A42" s="39" t="n">
        <v>40</v>
      </c>
      <c r="B42" s="47" t="str">
        <f aca="false">IF($Q42="","",INDEX('Lançar Resultado'!$A$3:$A$2002,$Q42))</f>
        <v/>
      </c>
      <c r="C42" s="44" t="str">
        <f aca="false">IF($Q42="","",INDEX('Lançar Resultado'!$B$3:$B$2002,$Q42))</f>
        <v/>
      </c>
      <c r="D42" s="46" t="str">
        <f aca="false">IF($Q42="","",IF(SUMPRODUCT((Inspeções!$B$3:$B$122=$B42)*(Inspeções!$A$3:$A$122=$C42)*(ROW(Inspeções!$B$3:$B$122)-3+1))=0,"",INDEX(Inspeções!$C$3:$C$122,SUMPRODUCT((Inspeções!$B$3:$B$122=$B42)*(Inspeções!$A$3:$A$122=$C42)*(ROW(Inspeções!$B$3:$B$122)-3+1)))))</f>
        <v/>
      </c>
      <c r="E42" s="47" t="str">
        <f aca="false">IF($Q42="","",INDEX('Lançar Resultado'!$C$3:$C$2002,$Q42))</f>
        <v/>
      </c>
      <c r="F42" s="47" t="str">
        <f aca="false">IF($Q42="","",IFERROR(INDEX(Equipamentos!$E$3:$E$52,MATCH($B42,Equipamentos!$A$3:$A$52,0)),""))</f>
        <v/>
      </c>
      <c r="G42" s="47" t="str">
        <f aca="false">IF($Q42="","",INDEX('Lançar Resultado'!$D$3:$D$2002,$Q42))</f>
        <v/>
      </c>
      <c r="H42" s="47" t="str">
        <f aca="false">IF($Q42="","",INDEX('Lançar Resultado'!$E$3:$E$2002,$Q42))</f>
        <v/>
      </c>
      <c r="I42" s="46" t="str">
        <f aca="false">IF($Q42="","",INDEX('Lançar Resultado'!$G$3:$G$2002,$Q42))</f>
        <v/>
      </c>
      <c r="J42" s="45" t="str">
        <f aca="false">IF($Q42="","",INDEX('Lançar Resultado'!$P$3:$P$2002,$Q42))</f>
        <v/>
      </c>
      <c r="K42" s="46" t="str">
        <f aca="false">IF($Q42="","",INDEX('Lançar Resultado'!$N$3:$N$2002,$Q42))</f>
        <v/>
      </c>
      <c r="L42" s="47" t="str">
        <f aca="false">IF($Q42="","",INDEX('Lançar Resultado'!$I$3:$I$2002,$Q42))</f>
        <v/>
      </c>
      <c r="M42" s="47" t="str">
        <f aca="false">IF($Q42="","",INDEX('Lançar Resultado'!$J$3:$J$2002,$Q42))</f>
        <v/>
      </c>
      <c r="N42" s="44" t="str">
        <f aca="false">IF($Q42="","",INDEX('Lançar Resultado'!$K$3:$K$2002,$Q42))</f>
        <v/>
      </c>
      <c r="O42" s="46" t="str">
        <f aca="false">IF($Q42="","",INDEX('Lançar Resultado'!$L$3:$L$2002,$Q42))</f>
        <v/>
      </c>
      <c r="P42" s="45" t="str">
        <f aca="false">IF($Q42="","",IF(OR($O42="Concluída",$N42=""),"",IF($N42&lt;INT(Parâmetros!$C$4),INT(Parâmetros!$C$4)-$N42,"")))</f>
        <v/>
      </c>
      <c r="Q42" s="45" t="str">
        <f aca="false">IFERROR(MATCH(40,'Lançar Resultado'!$Q$3:$Q$2002,0),"")</f>
        <v/>
      </c>
    </row>
    <row r="43" customFormat="false" ht="18" hidden="false" customHeight="true" outlineLevel="0" collapsed="false">
      <c r="A43" s="39" t="n">
        <v>41</v>
      </c>
      <c r="B43" s="47" t="str">
        <f aca="false">IF($Q43="","",INDEX('Lançar Resultado'!$A$3:$A$2002,$Q43))</f>
        <v/>
      </c>
      <c r="C43" s="44" t="str">
        <f aca="false">IF($Q43="","",INDEX('Lançar Resultado'!$B$3:$B$2002,$Q43))</f>
        <v/>
      </c>
      <c r="D43" s="46" t="str">
        <f aca="false">IF($Q43="","",IF(SUMPRODUCT((Inspeções!$B$3:$B$122=$B43)*(Inspeções!$A$3:$A$122=$C43)*(ROW(Inspeções!$B$3:$B$122)-3+1))=0,"",INDEX(Inspeções!$C$3:$C$122,SUMPRODUCT((Inspeções!$B$3:$B$122=$B43)*(Inspeções!$A$3:$A$122=$C43)*(ROW(Inspeções!$B$3:$B$122)-3+1)))))</f>
        <v/>
      </c>
      <c r="E43" s="47" t="str">
        <f aca="false">IF($Q43="","",INDEX('Lançar Resultado'!$C$3:$C$2002,$Q43))</f>
        <v/>
      </c>
      <c r="F43" s="47" t="str">
        <f aca="false">IF($Q43="","",IFERROR(INDEX(Equipamentos!$E$3:$E$52,MATCH($B43,Equipamentos!$A$3:$A$52,0)),""))</f>
        <v/>
      </c>
      <c r="G43" s="47" t="str">
        <f aca="false">IF($Q43="","",INDEX('Lançar Resultado'!$D$3:$D$2002,$Q43))</f>
        <v/>
      </c>
      <c r="H43" s="47" t="str">
        <f aca="false">IF($Q43="","",INDEX('Lançar Resultado'!$E$3:$E$2002,$Q43))</f>
        <v/>
      </c>
      <c r="I43" s="46" t="str">
        <f aca="false">IF($Q43="","",INDEX('Lançar Resultado'!$G$3:$G$2002,$Q43))</f>
        <v/>
      </c>
      <c r="J43" s="45" t="str">
        <f aca="false">IF($Q43="","",INDEX('Lançar Resultado'!$P$3:$P$2002,$Q43))</f>
        <v/>
      </c>
      <c r="K43" s="46" t="str">
        <f aca="false">IF($Q43="","",INDEX('Lançar Resultado'!$N$3:$N$2002,$Q43))</f>
        <v/>
      </c>
      <c r="L43" s="47" t="str">
        <f aca="false">IF($Q43="","",INDEX('Lançar Resultado'!$I$3:$I$2002,$Q43))</f>
        <v/>
      </c>
      <c r="M43" s="47" t="str">
        <f aca="false">IF($Q43="","",INDEX('Lançar Resultado'!$J$3:$J$2002,$Q43))</f>
        <v/>
      </c>
      <c r="N43" s="44" t="str">
        <f aca="false">IF($Q43="","",INDEX('Lançar Resultado'!$K$3:$K$2002,$Q43))</f>
        <v/>
      </c>
      <c r="O43" s="46" t="str">
        <f aca="false">IF($Q43="","",INDEX('Lançar Resultado'!$L$3:$L$2002,$Q43))</f>
        <v/>
      </c>
      <c r="P43" s="45" t="str">
        <f aca="false">IF($Q43="","",IF(OR($O43="Concluída",$N43=""),"",IF($N43&lt;INT(Parâmetros!$C$4),INT(Parâmetros!$C$4)-$N43,"")))</f>
        <v/>
      </c>
      <c r="Q43" s="45" t="str">
        <f aca="false">IFERROR(MATCH(41,'Lançar Resultado'!$Q$3:$Q$2002,0),"")</f>
        <v/>
      </c>
    </row>
    <row r="44" customFormat="false" ht="18" hidden="false" customHeight="true" outlineLevel="0" collapsed="false">
      <c r="A44" s="39" t="n">
        <v>42</v>
      </c>
      <c r="B44" s="47" t="str">
        <f aca="false">IF($Q44="","",INDEX('Lançar Resultado'!$A$3:$A$2002,$Q44))</f>
        <v/>
      </c>
      <c r="C44" s="44" t="str">
        <f aca="false">IF($Q44="","",INDEX('Lançar Resultado'!$B$3:$B$2002,$Q44))</f>
        <v/>
      </c>
      <c r="D44" s="46" t="str">
        <f aca="false">IF($Q44="","",IF(SUMPRODUCT((Inspeções!$B$3:$B$122=$B44)*(Inspeções!$A$3:$A$122=$C44)*(ROW(Inspeções!$B$3:$B$122)-3+1))=0,"",INDEX(Inspeções!$C$3:$C$122,SUMPRODUCT((Inspeções!$B$3:$B$122=$B44)*(Inspeções!$A$3:$A$122=$C44)*(ROW(Inspeções!$B$3:$B$122)-3+1)))))</f>
        <v/>
      </c>
      <c r="E44" s="47" t="str">
        <f aca="false">IF($Q44="","",INDEX('Lançar Resultado'!$C$3:$C$2002,$Q44))</f>
        <v/>
      </c>
      <c r="F44" s="47" t="str">
        <f aca="false">IF($Q44="","",IFERROR(INDEX(Equipamentos!$E$3:$E$52,MATCH($B44,Equipamentos!$A$3:$A$52,0)),""))</f>
        <v/>
      </c>
      <c r="G44" s="47" t="str">
        <f aca="false">IF($Q44="","",INDEX('Lançar Resultado'!$D$3:$D$2002,$Q44))</f>
        <v/>
      </c>
      <c r="H44" s="47" t="str">
        <f aca="false">IF($Q44="","",INDEX('Lançar Resultado'!$E$3:$E$2002,$Q44))</f>
        <v/>
      </c>
      <c r="I44" s="46" t="str">
        <f aca="false">IF($Q44="","",INDEX('Lançar Resultado'!$G$3:$G$2002,$Q44))</f>
        <v/>
      </c>
      <c r="J44" s="45" t="str">
        <f aca="false">IF($Q44="","",INDEX('Lançar Resultado'!$P$3:$P$2002,$Q44))</f>
        <v/>
      </c>
      <c r="K44" s="46" t="str">
        <f aca="false">IF($Q44="","",INDEX('Lançar Resultado'!$N$3:$N$2002,$Q44))</f>
        <v/>
      </c>
      <c r="L44" s="47" t="str">
        <f aca="false">IF($Q44="","",INDEX('Lançar Resultado'!$I$3:$I$2002,$Q44))</f>
        <v/>
      </c>
      <c r="M44" s="47" t="str">
        <f aca="false">IF($Q44="","",INDEX('Lançar Resultado'!$J$3:$J$2002,$Q44))</f>
        <v/>
      </c>
      <c r="N44" s="44" t="str">
        <f aca="false">IF($Q44="","",INDEX('Lançar Resultado'!$K$3:$K$2002,$Q44))</f>
        <v/>
      </c>
      <c r="O44" s="46" t="str">
        <f aca="false">IF($Q44="","",INDEX('Lançar Resultado'!$L$3:$L$2002,$Q44))</f>
        <v/>
      </c>
      <c r="P44" s="45" t="str">
        <f aca="false">IF($Q44="","",IF(OR($O44="Concluída",$N44=""),"",IF($N44&lt;INT(Parâmetros!$C$4),INT(Parâmetros!$C$4)-$N44,"")))</f>
        <v/>
      </c>
      <c r="Q44" s="45" t="str">
        <f aca="false">IFERROR(MATCH(42,'Lançar Resultado'!$Q$3:$Q$2002,0),"")</f>
        <v/>
      </c>
    </row>
    <row r="45" customFormat="false" ht="18" hidden="false" customHeight="true" outlineLevel="0" collapsed="false">
      <c r="A45" s="39" t="n">
        <v>43</v>
      </c>
      <c r="B45" s="47" t="str">
        <f aca="false">IF($Q45="","",INDEX('Lançar Resultado'!$A$3:$A$2002,$Q45))</f>
        <v/>
      </c>
      <c r="C45" s="44" t="str">
        <f aca="false">IF($Q45="","",INDEX('Lançar Resultado'!$B$3:$B$2002,$Q45))</f>
        <v/>
      </c>
      <c r="D45" s="46" t="str">
        <f aca="false">IF($Q45="","",IF(SUMPRODUCT((Inspeções!$B$3:$B$122=$B45)*(Inspeções!$A$3:$A$122=$C45)*(ROW(Inspeções!$B$3:$B$122)-3+1))=0,"",INDEX(Inspeções!$C$3:$C$122,SUMPRODUCT((Inspeções!$B$3:$B$122=$B45)*(Inspeções!$A$3:$A$122=$C45)*(ROW(Inspeções!$B$3:$B$122)-3+1)))))</f>
        <v/>
      </c>
      <c r="E45" s="47" t="str">
        <f aca="false">IF($Q45="","",INDEX('Lançar Resultado'!$C$3:$C$2002,$Q45))</f>
        <v/>
      </c>
      <c r="F45" s="47" t="str">
        <f aca="false">IF($Q45="","",IFERROR(INDEX(Equipamentos!$E$3:$E$52,MATCH($B45,Equipamentos!$A$3:$A$52,0)),""))</f>
        <v/>
      </c>
      <c r="G45" s="47" t="str">
        <f aca="false">IF($Q45="","",INDEX('Lançar Resultado'!$D$3:$D$2002,$Q45))</f>
        <v/>
      </c>
      <c r="H45" s="47" t="str">
        <f aca="false">IF($Q45="","",INDEX('Lançar Resultado'!$E$3:$E$2002,$Q45))</f>
        <v/>
      </c>
      <c r="I45" s="46" t="str">
        <f aca="false">IF($Q45="","",INDEX('Lançar Resultado'!$G$3:$G$2002,$Q45))</f>
        <v/>
      </c>
      <c r="J45" s="45" t="str">
        <f aca="false">IF($Q45="","",INDEX('Lançar Resultado'!$P$3:$P$2002,$Q45))</f>
        <v/>
      </c>
      <c r="K45" s="46" t="str">
        <f aca="false">IF($Q45="","",INDEX('Lançar Resultado'!$N$3:$N$2002,$Q45))</f>
        <v/>
      </c>
      <c r="L45" s="47" t="str">
        <f aca="false">IF($Q45="","",INDEX('Lançar Resultado'!$I$3:$I$2002,$Q45))</f>
        <v/>
      </c>
      <c r="M45" s="47" t="str">
        <f aca="false">IF($Q45="","",INDEX('Lançar Resultado'!$J$3:$J$2002,$Q45))</f>
        <v/>
      </c>
      <c r="N45" s="44" t="str">
        <f aca="false">IF($Q45="","",INDEX('Lançar Resultado'!$K$3:$K$2002,$Q45))</f>
        <v/>
      </c>
      <c r="O45" s="46" t="str">
        <f aca="false">IF($Q45="","",INDEX('Lançar Resultado'!$L$3:$L$2002,$Q45))</f>
        <v/>
      </c>
      <c r="P45" s="45" t="str">
        <f aca="false">IF($Q45="","",IF(OR($O45="Concluída",$N45=""),"",IF($N45&lt;INT(Parâmetros!$C$4),INT(Parâmetros!$C$4)-$N45,"")))</f>
        <v/>
      </c>
      <c r="Q45" s="45" t="str">
        <f aca="false">IFERROR(MATCH(43,'Lançar Resultado'!$Q$3:$Q$2002,0),"")</f>
        <v/>
      </c>
    </row>
    <row r="46" customFormat="false" ht="18" hidden="false" customHeight="true" outlineLevel="0" collapsed="false">
      <c r="A46" s="39" t="n">
        <v>44</v>
      </c>
      <c r="B46" s="47" t="str">
        <f aca="false">IF($Q46="","",INDEX('Lançar Resultado'!$A$3:$A$2002,$Q46))</f>
        <v/>
      </c>
      <c r="C46" s="44" t="str">
        <f aca="false">IF($Q46="","",INDEX('Lançar Resultado'!$B$3:$B$2002,$Q46))</f>
        <v/>
      </c>
      <c r="D46" s="46" t="str">
        <f aca="false">IF($Q46="","",IF(SUMPRODUCT((Inspeções!$B$3:$B$122=$B46)*(Inspeções!$A$3:$A$122=$C46)*(ROW(Inspeções!$B$3:$B$122)-3+1))=0,"",INDEX(Inspeções!$C$3:$C$122,SUMPRODUCT((Inspeções!$B$3:$B$122=$B46)*(Inspeções!$A$3:$A$122=$C46)*(ROW(Inspeções!$B$3:$B$122)-3+1)))))</f>
        <v/>
      </c>
      <c r="E46" s="47" t="str">
        <f aca="false">IF($Q46="","",INDEX('Lançar Resultado'!$C$3:$C$2002,$Q46))</f>
        <v/>
      </c>
      <c r="F46" s="47" t="str">
        <f aca="false">IF($Q46="","",IFERROR(INDEX(Equipamentos!$E$3:$E$52,MATCH($B46,Equipamentos!$A$3:$A$52,0)),""))</f>
        <v/>
      </c>
      <c r="G46" s="47" t="str">
        <f aca="false">IF($Q46="","",INDEX('Lançar Resultado'!$D$3:$D$2002,$Q46))</f>
        <v/>
      </c>
      <c r="H46" s="47" t="str">
        <f aca="false">IF($Q46="","",INDEX('Lançar Resultado'!$E$3:$E$2002,$Q46))</f>
        <v/>
      </c>
      <c r="I46" s="46" t="str">
        <f aca="false">IF($Q46="","",INDEX('Lançar Resultado'!$G$3:$G$2002,$Q46))</f>
        <v/>
      </c>
      <c r="J46" s="45" t="str">
        <f aca="false">IF($Q46="","",INDEX('Lançar Resultado'!$P$3:$P$2002,$Q46))</f>
        <v/>
      </c>
      <c r="K46" s="46" t="str">
        <f aca="false">IF($Q46="","",INDEX('Lançar Resultado'!$N$3:$N$2002,$Q46))</f>
        <v/>
      </c>
      <c r="L46" s="47" t="str">
        <f aca="false">IF($Q46="","",INDEX('Lançar Resultado'!$I$3:$I$2002,$Q46))</f>
        <v/>
      </c>
      <c r="M46" s="47" t="str">
        <f aca="false">IF($Q46="","",INDEX('Lançar Resultado'!$J$3:$J$2002,$Q46))</f>
        <v/>
      </c>
      <c r="N46" s="44" t="str">
        <f aca="false">IF($Q46="","",INDEX('Lançar Resultado'!$K$3:$K$2002,$Q46))</f>
        <v/>
      </c>
      <c r="O46" s="46" t="str">
        <f aca="false">IF($Q46="","",INDEX('Lançar Resultado'!$L$3:$L$2002,$Q46))</f>
        <v/>
      </c>
      <c r="P46" s="45" t="str">
        <f aca="false">IF($Q46="","",IF(OR($O46="Concluída",$N46=""),"",IF($N46&lt;INT(Parâmetros!$C$4),INT(Parâmetros!$C$4)-$N46,"")))</f>
        <v/>
      </c>
      <c r="Q46" s="45" t="str">
        <f aca="false">IFERROR(MATCH(44,'Lançar Resultado'!$Q$3:$Q$2002,0),"")</f>
        <v/>
      </c>
    </row>
    <row r="47" customFormat="false" ht="18" hidden="false" customHeight="true" outlineLevel="0" collapsed="false">
      <c r="A47" s="39" t="n">
        <v>45</v>
      </c>
      <c r="B47" s="47" t="str">
        <f aca="false">IF($Q47="","",INDEX('Lançar Resultado'!$A$3:$A$2002,$Q47))</f>
        <v/>
      </c>
      <c r="C47" s="44" t="str">
        <f aca="false">IF($Q47="","",INDEX('Lançar Resultado'!$B$3:$B$2002,$Q47))</f>
        <v/>
      </c>
      <c r="D47" s="46" t="str">
        <f aca="false">IF($Q47="","",IF(SUMPRODUCT((Inspeções!$B$3:$B$122=$B47)*(Inspeções!$A$3:$A$122=$C47)*(ROW(Inspeções!$B$3:$B$122)-3+1))=0,"",INDEX(Inspeções!$C$3:$C$122,SUMPRODUCT((Inspeções!$B$3:$B$122=$B47)*(Inspeções!$A$3:$A$122=$C47)*(ROW(Inspeções!$B$3:$B$122)-3+1)))))</f>
        <v/>
      </c>
      <c r="E47" s="47" t="str">
        <f aca="false">IF($Q47="","",INDEX('Lançar Resultado'!$C$3:$C$2002,$Q47))</f>
        <v/>
      </c>
      <c r="F47" s="47" t="str">
        <f aca="false">IF($Q47="","",IFERROR(INDEX(Equipamentos!$E$3:$E$52,MATCH($B47,Equipamentos!$A$3:$A$52,0)),""))</f>
        <v/>
      </c>
      <c r="G47" s="47" t="str">
        <f aca="false">IF($Q47="","",INDEX('Lançar Resultado'!$D$3:$D$2002,$Q47))</f>
        <v/>
      </c>
      <c r="H47" s="47" t="str">
        <f aca="false">IF($Q47="","",INDEX('Lançar Resultado'!$E$3:$E$2002,$Q47))</f>
        <v/>
      </c>
      <c r="I47" s="46" t="str">
        <f aca="false">IF($Q47="","",INDEX('Lançar Resultado'!$G$3:$G$2002,$Q47))</f>
        <v/>
      </c>
      <c r="J47" s="45" t="str">
        <f aca="false">IF($Q47="","",INDEX('Lançar Resultado'!$P$3:$P$2002,$Q47))</f>
        <v/>
      </c>
      <c r="K47" s="46" t="str">
        <f aca="false">IF($Q47="","",INDEX('Lançar Resultado'!$N$3:$N$2002,$Q47))</f>
        <v/>
      </c>
      <c r="L47" s="47" t="str">
        <f aca="false">IF($Q47="","",INDEX('Lançar Resultado'!$I$3:$I$2002,$Q47))</f>
        <v/>
      </c>
      <c r="M47" s="47" t="str">
        <f aca="false">IF($Q47="","",INDEX('Lançar Resultado'!$J$3:$J$2002,$Q47))</f>
        <v/>
      </c>
      <c r="N47" s="44" t="str">
        <f aca="false">IF($Q47="","",INDEX('Lançar Resultado'!$K$3:$K$2002,$Q47))</f>
        <v/>
      </c>
      <c r="O47" s="46" t="str">
        <f aca="false">IF($Q47="","",INDEX('Lançar Resultado'!$L$3:$L$2002,$Q47))</f>
        <v/>
      </c>
      <c r="P47" s="45" t="str">
        <f aca="false">IF($Q47="","",IF(OR($O47="Concluída",$N47=""),"",IF($N47&lt;INT(Parâmetros!$C$4),INT(Parâmetros!$C$4)-$N47,"")))</f>
        <v/>
      </c>
      <c r="Q47" s="45" t="str">
        <f aca="false">IFERROR(MATCH(45,'Lançar Resultado'!$Q$3:$Q$2002,0),"")</f>
        <v/>
      </c>
    </row>
    <row r="48" customFormat="false" ht="18" hidden="false" customHeight="true" outlineLevel="0" collapsed="false">
      <c r="A48" s="39" t="n">
        <v>46</v>
      </c>
      <c r="B48" s="47" t="str">
        <f aca="false">IF($Q48="","",INDEX('Lançar Resultado'!$A$3:$A$2002,$Q48))</f>
        <v/>
      </c>
      <c r="C48" s="44" t="str">
        <f aca="false">IF($Q48="","",INDEX('Lançar Resultado'!$B$3:$B$2002,$Q48))</f>
        <v/>
      </c>
      <c r="D48" s="46" t="str">
        <f aca="false">IF($Q48="","",IF(SUMPRODUCT((Inspeções!$B$3:$B$122=$B48)*(Inspeções!$A$3:$A$122=$C48)*(ROW(Inspeções!$B$3:$B$122)-3+1))=0,"",INDEX(Inspeções!$C$3:$C$122,SUMPRODUCT((Inspeções!$B$3:$B$122=$B48)*(Inspeções!$A$3:$A$122=$C48)*(ROW(Inspeções!$B$3:$B$122)-3+1)))))</f>
        <v/>
      </c>
      <c r="E48" s="47" t="str">
        <f aca="false">IF($Q48="","",INDEX('Lançar Resultado'!$C$3:$C$2002,$Q48))</f>
        <v/>
      </c>
      <c r="F48" s="47" t="str">
        <f aca="false">IF($Q48="","",IFERROR(INDEX(Equipamentos!$E$3:$E$52,MATCH($B48,Equipamentos!$A$3:$A$52,0)),""))</f>
        <v/>
      </c>
      <c r="G48" s="47" t="str">
        <f aca="false">IF($Q48="","",INDEX('Lançar Resultado'!$D$3:$D$2002,$Q48))</f>
        <v/>
      </c>
      <c r="H48" s="47" t="str">
        <f aca="false">IF($Q48="","",INDEX('Lançar Resultado'!$E$3:$E$2002,$Q48))</f>
        <v/>
      </c>
      <c r="I48" s="46" t="str">
        <f aca="false">IF($Q48="","",INDEX('Lançar Resultado'!$G$3:$G$2002,$Q48))</f>
        <v/>
      </c>
      <c r="J48" s="45" t="str">
        <f aca="false">IF($Q48="","",INDEX('Lançar Resultado'!$P$3:$P$2002,$Q48))</f>
        <v/>
      </c>
      <c r="K48" s="46" t="str">
        <f aca="false">IF($Q48="","",INDEX('Lançar Resultado'!$N$3:$N$2002,$Q48))</f>
        <v/>
      </c>
      <c r="L48" s="47" t="str">
        <f aca="false">IF($Q48="","",INDEX('Lançar Resultado'!$I$3:$I$2002,$Q48))</f>
        <v/>
      </c>
      <c r="M48" s="47" t="str">
        <f aca="false">IF($Q48="","",INDEX('Lançar Resultado'!$J$3:$J$2002,$Q48))</f>
        <v/>
      </c>
      <c r="N48" s="44" t="str">
        <f aca="false">IF($Q48="","",INDEX('Lançar Resultado'!$K$3:$K$2002,$Q48))</f>
        <v/>
      </c>
      <c r="O48" s="46" t="str">
        <f aca="false">IF($Q48="","",INDEX('Lançar Resultado'!$L$3:$L$2002,$Q48))</f>
        <v/>
      </c>
      <c r="P48" s="45" t="str">
        <f aca="false">IF($Q48="","",IF(OR($O48="Concluída",$N48=""),"",IF($N48&lt;INT(Parâmetros!$C$4),INT(Parâmetros!$C$4)-$N48,"")))</f>
        <v/>
      </c>
      <c r="Q48" s="45" t="str">
        <f aca="false">IFERROR(MATCH(46,'Lançar Resultado'!$Q$3:$Q$2002,0),"")</f>
        <v/>
      </c>
    </row>
    <row r="49" customFormat="false" ht="18" hidden="false" customHeight="true" outlineLevel="0" collapsed="false">
      <c r="A49" s="39" t="n">
        <v>47</v>
      </c>
      <c r="B49" s="47" t="str">
        <f aca="false">IF($Q49="","",INDEX('Lançar Resultado'!$A$3:$A$2002,$Q49))</f>
        <v/>
      </c>
      <c r="C49" s="44" t="str">
        <f aca="false">IF($Q49="","",INDEX('Lançar Resultado'!$B$3:$B$2002,$Q49))</f>
        <v/>
      </c>
      <c r="D49" s="46" t="str">
        <f aca="false">IF($Q49="","",IF(SUMPRODUCT((Inspeções!$B$3:$B$122=$B49)*(Inspeções!$A$3:$A$122=$C49)*(ROW(Inspeções!$B$3:$B$122)-3+1))=0,"",INDEX(Inspeções!$C$3:$C$122,SUMPRODUCT((Inspeções!$B$3:$B$122=$B49)*(Inspeções!$A$3:$A$122=$C49)*(ROW(Inspeções!$B$3:$B$122)-3+1)))))</f>
        <v/>
      </c>
      <c r="E49" s="47" t="str">
        <f aca="false">IF($Q49="","",INDEX('Lançar Resultado'!$C$3:$C$2002,$Q49))</f>
        <v/>
      </c>
      <c r="F49" s="47" t="str">
        <f aca="false">IF($Q49="","",IFERROR(INDEX(Equipamentos!$E$3:$E$52,MATCH($B49,Equipamentos!$A$3:$A$52,0)),""))</f>
        <v/>
      </c>
      <c r="G49" s="47" t="str">
        <f aca="false">IF($Q49="","",INDEX('Lançar Resultado'!$D$3:$D$2002,$Q49))</f>
        <v/>
      </c>
      <c r="H49" s="47" t="str">
        <f aca="false">IF($Q49="","",INDEX('Lançar Resultado'!$E$3:$E$2002,$Q49))</f>
        <v/>
      </c>
      <c r="I49" s="46" t="str">
        <f aca="false">IF($Q49="","",INDEX('Lançar Resultado'!$G$3:$G$2002,$Q49))</f>
        <v/>
      </c>
      <c r="J49" s="45" t="str">
        <f aca="false">IF($Q49="","",INDEX('Lançar Resultado'!$P$3:$P$2002,$Q49))</f>
        <v/>
      </c>
      <c r="K49" s="46" t="str">
        <f aca="false">IF($Q49="","",INDEX('Lançar Resultado'!$N$3:$N$2002,$Q49))</f>
        <v/>
      </c>
      <c r="L49" s="47" t="str">
        <f aca="false">IF($Q49="","",INDEX('Lançar Resultado'!$I$3:$I$2002,$Q49))</f>
        <v/>
      </c>
      <c r="M49" s="47" t="str">
        <f aca="false">IF($Q49="","",INDEX('Lançar Resultado'!$J$3:$J$2002,$Q49))</f>
        <v/>
      </c>
      <c r="N49" s="44" t="str">
        <f aca="false">IF($Q49="","",INDEX('Lançar Resultado'!$K$3:$K$2002,$Q49))</f>
        <v/>
      </c>
      <c r="O49" s="46" t="str">
        <f aca="false">IF($Q49="","",INDEX('Lançar Resultado'!$L$3:$L$2002,$Q49))</f>
        <v/>
      </c>
      <c r="P49" s="45" t="str">
        <f aca="false">IF($Q49="","",IF(OR($O49="Concluída",$N49=""),"",IF($N49&lt;INT(Parâmetros!$C$4),INT(Parâmetros!$C$4)-$N49,"")))</f>
        <v/>
      </c>
      <c r="Q49" s="45" t="str">
        <f aca="false">IFERROR(MATCH(47,'Lançar Resultado'!$Q$3:$Q$2002,0),"")</f>
        <v/>
      </c>
    </row>
    <row r="50" customFormat="false" ht="18" hidden="false" customHeight="true" outlineLevel="0" collapsed="false">
      <c r="A50" s="39" t="n">
        <v>48</v>
      </c>
      <c r="B50" s="47" t="str">
        <f aca="false">IF($Q50="","",INDEX('Lançar Resultado'!$A$3:$A$2002,$Q50))</f>
        <v/>
      </c>
      <c r="C50" s="44" t="str">
        <f aca="false">IF($Q50="","",INDEX('Lançar Resultado'!$B$3:$B$2002,$Q50))</f>
        <v/>
      </c>
      <c r="D50" s="46" t="str">
        <f aca="false">IF($Q50="","",IF(SUMPRODUCT((Inspeções!$B$3:$B$122=$B50)*(Inspeções!$A$3:$A$122=$C50)*(ROW(Inspeções!$B$3:$B$122)-3+1))=0,"",INDEX(Inspeções!$C$3:$C$122,SUMPRODUCT((Inspeções!$B$3:$B$122=$B50)*(Inspeções!$A$3:$A$122=$C50)*(ROW(Inspeções!$B$3:$B$122)-3+1)))))</f>
        <v/>
      </c>
      <c r="E50" s="47" t="str">
        <f aca="false">IF($Q50="","",INDEX('Lançar Resultado'!$C$3:$C$2002,$Q50))</f>
        <v/>
      </c>
      <c r="F50" s="47" t="str">
        <f aca="false">IF($Q50="","",IFERROR(INDEX(Equipamentos!$E$3:$E$52,MATCH($B50,Equipamentos!$A$3:$A$52,0)),""))</f>
        <v/>
      </c>
      <c r="G50" s="47" t="str">
        <f aca="false">IF($Q50="","",INDEX('Lançar Resultado'!$D$3:$D$2002,$Q50))</f>
        <v/>
      </c>
      <c r="H50" s="47" t="str">
        <f aca="false">IF($Q50="","",INDEX('Lançar Resultado'!$E$3:$E$2002,$Q50))</f>
        <v/>
      </c>
      <c r="I50" s="46" t="str">
        <f aca="false">IF($Q50="","",INDEX('Lançar Resultado'!$G$3:$G$2002,$Q50))</f>
        <v/>
      </c>
      <c r="J50" s="45" t="str">
        <f aca="false">IF($Q50="","",INDEX('Lançar Resultado'!$P$3:$P$2002,$Q50))</f>
        <v/>
      </c>
      <c r="K50" s="46" t="str">
        <f aca="false">IF($Q50="","",INDEX('Lançar Resultado'!$N$3:$N$2002,$Q50))</f>
        <v/>
      </c>
      <c r="L50" s="47" t="str">
        <f aca="false">IF($Q50="","",INDEX('Lançar Resultado'!$I$3:$I$2002,$Q50))</f>
        <v/>
      </c>
      <c r="M50" s="47" t="str">
        <f aca="false">IF($Q50="","",INDEX('Lançar Resultado'!$J$3:$J$2002,$Q50))</f>
        <v/>
      </c>
      <c r="N50" s="44" t="str">
        <f aca="false">IF($Q50="","",INDEX('Lançar Resultado'!$K$3:$K$2002,$Q50))</f>
        <v/>
      </c>
      <c r="O50" s="46" t="str">
        <f aca="false">IF($Q50="","",INDEX('Lançar Resultado'!$L$3:$L$2002,$Q50))</f>
        <v/>
      </c>
      <c r="P50" s="45" t="str">
        <f aca="false">IF($Q50="","",IF(OR($O50="Concluída",$N50=""),"",IF($N50&lt;INT(Parâmetros!$C$4),INT(Parâmetros!$C$4)-$N50,"")))</f>
        <v/>
      </c>
      <c r="Q50" s="45" t="str">
        <f aca="false">IFERROR(MATCH(48,'Lançar Resultado'!$Q$3:$Q$2002,0),"")</f>
        <v/>
      </c>
    </row>
    <row r="51" customFormat="false" ht="18" hidden="false" customHeight="true" outlineLevel="0" collapsed="false">
      <c r="A51" s="39" t="n">
        <v>49</v>
      </c>
      <c r="B51" s="47" t="str">
        <f aca="false">IF($Q51="","",INDEX('Lançar Resultado'!$A$3:$A$2002,$Q51))</f>
        <v/>
      </c>
      <c r="C51" s="44" t="str">
        <f aca="false">IF($Q51="","",INDEX('Lançar Resultado'!$B$3:$B$2002,$Q51))</f>
        <v/>
      </c>
      <c r="D51" s="46" t="str">
        <f aca="false">IF($Q51="","",IF(SUMPRODUCT((Inspeções!$B$3:$B$122=$B51)*(Inspeções!$A$3:$A$122=$C51)*(ROW(Inspeções!$B$3:$B$122)-3+1))=0,"",INDEX(Inspeções!$C$3:$C$122,SUMPRODUCT((Inspeções!$B$3:$B$122=$B51)*(Inspeções!$A$3:$A$122=$C51)*(ROW(Inspeções!$B$3:$B$122)-3+1)))))</f>
        <v/>
      </c>
      <c r="E51" s="47" t="str">
        <f aca="false">IF($Q51="","",INDEX('Lançar Resultado'!$C$3:$C$2002,$Q51))</f>
        <v/>
      </c>
      <c r="F51" s="47" t="str">
        <f aca="false">IF($Q51="","",IFERROR(INDEX(Equipamentos!$E$3:$E$52,MATCH($B51,Equipamentos!$A$3:$A$52,0)),""))</f>
        <v/>
      </c>
      <c r="G51" s="47" t="str">
        <f aca="false">IF($Q51="","",INDEX('Lançar Resultado'!$D$3:$D$2002,$Q51))</f>
        <v/>
      </c>
      <c r="H51" s="47" t="str">
        <f aca="false">IF($Q51="","",INDEX('Lançar Resultado'!$E$3:$E$2002,$Q51))</f>
        <v/>
      </c>
      <c r="I51" s="46" t="str">
        <f aca="false">IF($Q51="","",INDEX('Lançar Resultado'!$G$3:$G$2002,$Q51))</f>
        <v/>
      </c>
      <c r="J51" s="45" t="str">
        <f aca="false">IF($Q51="","",INDEX('Lançar Resultado'!$P$3:$P$2002,$Q51))</f>
        <v/>
      </c>
      <c r="K51" s="46" t="str">
        <f aca="false">IF($Q51="","",INDEX('Lançar Resultado'!$N$3:$N$2002,$Q51))</f>
        <v/>
      </c>
      <c r="L51" s="47" t="str">
        <f aca="false">IF($Q51="","",INDEX('Lançar Resultado'!$I$3:$I$2002,$Q51))</f>
        <v/>
      </c>
      <c r="M51" s="47" t="str">
        <f aca="false">IF($Q51="","",INDEX('Lançar Resultado'!$J$3:$J$2002,$Q51))</f>
        <v/>
      </c>
      <c r="N51" s="44" t="str">
        <f aca="false">IF($Q51="","",INDEX('Lançar Resultado'!$K$3:$K$2002,$Q51))</f>
        <v/>
      </c>
      <c r="O51" s="46" t="str">
        <f aca="false">IF($Q51="","",INDEX('Lançar Resultado'!$L$3:$L$2002,$Q51))</f>
        <v/>
      </c>
      <c r="P51" s="45" t="str">
        <f aca="false">IF($Q51="","",IF(OR($O51="Concluída",$N51=""),"",IF($N51&lt;INT(Parâmetros!$C$4),INT(Parâmetros!$C$4)-$N51,"")))</f>
        <v/>
      </c>
      <c r="Q51" s="45" t="str">
        <f aca="false">IFERROR(MATCH(49,'Lançar Resultado'!$Q$3:$Q$2002,0),"")</f>
        <v/>
      </c>
    </row>
    <row r="52" customFormat="false" ht="18" hidden="false" customHeight="true" outlineLevel="0" collapsed="false">
      <c r="A52" s="39" t="n">
        <v>50</v>
      </c>
      <c r="B52" s="47" t="str">
        <f aca="false">IF($Q52="","",INDEX('Lançar Resultado'!$A$3:$A$2002,$Q52))</f>
        <v/>
      </c>
      <c r="C52" s="44" t="str">
        <f aca="false">IF($Q52="","",INDEX('Lançar Resultado'!$B$3:$B$2002,$Q52))</f>
        <v/>
      </c>
      <c r="D52" s="46" t="str">
        <f aca="false">IF($Q52="","",IF(SUMPRODUCT((Inspeções!$B$3:$B$122=$B52)*(Inspeções!$A$3:$A$122=$C52)*(ROW(Inspeções!$B$3:$B$122)-3+1))=0,"",INDEX(Inspeções!$C$3:$C$122,SUMPRODUCT((Inspeções!$B$3:$B$122=$B52)*(Inspeções!$A$3:$A$122=$C52)*(ROW(Inspeções!$B$3:$B$122)-3+1)))))</f>
        <v/>
      </c>
      <c r="E52" s="47" t="str">
        <f aca="false">IF($Q52="","",INDEX('Lançar Resultado'!$C$3:$C$2002,$Q52))</f>
        <v/>
      </c>
      <c r="F52" s="47" t="str">
        <f aca="false">IF($Q52="","",IFERROR(INDEX(Equipamentos!$E$3:$E$52,MATCH($B52,Equipamentos!$A$3:$A$52,0)),""))</f>
        <v/>
      </c>
      <c r="G52" s="47" t="str">
        <f aca="false">IF($Q52="","",INDEX('Lançar Resultado'!$D$3:$D$2002,$Q52))</f>
        <v/>
      </c>
      <c r="H52" s="47" t="str">
        <f aca="false">IF($Q52="","",INDEX('Lançar Resultado'!$E$3:$E$2002,$Q52))</f>
        <v/>
      </c>
      <c r="I52" s="46" t="str">
        <f aca="false">IF($Q52="","",INDEX('Lançar Resultado'!$G$3:$G$2002,$Q52))</f>
        <v/>
      </c>
      <c r="J52" s="45" t="str">
        <f aca="false">IF($Q52="","",INDEX('Lançar Resultado'!$P$3:$P$2002,$Q52))</f>
        <v/>
      </c>
      <c r="K52" s="46" t="str">
        <f aca="false">IF($Q52="","",INDEX('Lançar Resultado'!$N$3:$N$2002,$Q52))</f>
        <v/>
      </c>
      <c r="L52" s="47" t="str">
        <f aca="false">IF($Q52="","",INDEX('Lançar Resultado'!$I$3:$I$2002,$Q52))</f>
        <v/>
      </c>
      <c r="M52" s="47" t="str">
        <f aca="false">IF($Q52="","",INDEX('Lançar Resultado'!$J$3:$J$2002,$Q52))</f>
        <v/>
      </c>
      <c r="N52" s="44" t="str">
        <f aca="false">IF($Q52="","",INDEX('Lançar Resultado'!$K$3:$K$2002,$Q52))</f>
        <v/>
      </c>
      <c r="O52" s="46" t="str">
        <f aca="false">IF($Q52="","",INDEX('Lançar Resultado'!$L$3:$L$2002,$Q52))</f>
        <v/>
      </c>
      <c r="P52" s="45" t="str">
        <f aca="false">IF($Q52="","",IF(OR($O52="Concluída",$N52=""),"",IF($N52&lt;INT(Parâmetros!$C$4),INT(Parâmetros!$C$4)-$N52,"")))</f>
        <v/>
      </c>
      <c r="Q52" s="45" t="str">
        <f aca="false">IFERROR(MATCH(50,'Lançar Resultado'!$Q$3:$Q$2002,0),"")</f>
        <v/>
      </c>
    </row>
    <row r="53" customFormat="false" ht="18" hidden="false" customHeight="true" outlineLevel="0" collapsed="false">
      <c r="A53" s="39" t="n">
        <v>51</v>
      </c>
      <c r="B53" s="47" t="str">
        <f aca="false">IF($Q53="","",INDEX('Lançar Resultado'!$A$3:$A$2002,$Q53))</f>
        <v/>
      </c>
      <c r="C53" s="44" t="str">
        <f aca="false">IF($Q53="","",INDEX('Lançar Resultado'!$B$3:$B$2002,$Q53))</f>
        <v/>
      </c>
      <c r="D53" s="46" t="str">
        <f aca="false">IF($Q53="","",IF(SUMPRODUCT((Inspeções!$B$3:$B$122=$B53)*(Inspeções!$A$3:$A$122=$C53)*(ROW(Inspeções!$B$3:$B$122)-3+1))=0,"",INDEX(Inspeções!$C$3:$C$122,SUMPRODUCT((Inspeções!$B$3:$B$122=$B53)*(Inspeções!$A$3:$A$122=$C53)*(ROW(Inspeções!$B$3:$B$122)-3+1)))))</f>
        <v/>
      </c>
      <c r="E53" s="47" t="str">
        <f aca="false">IF($Q53="","",INDEX('Lançar Resultado'!$C$3:$C$2002,$Q53))</f>
        <v/>
      </c>
      <c r="F53" s="47" t="str">
        <f aca="false">IF($Q53="","",IFERROR(INDEX(Equipamentos!$E$3:$E$52,MATCH($B53,Equipamentos!$A$3:$A$52,0)),""))</f>
        <v/>
      </c>
      <c r="G53" s="47" t="str">
        <f aca="false">IF($Q53="","",INDEX('Lançar Resultado'!$D$3:$D$2002,$Q53))</f>
        <v/>
      </c>
      <c r="H53" s="47" t="str">
        <f aca="false">IF($Q53="","",INDEX('Lançar Resultado'!$E$3:$E$2002,$Q53))</f>
        <v/>
      </c>
      <c r="I53" s="46" t="str">
        <f aca="false">IF($Q53="","",INDEX('Lançar Resultado'!$G$3:$G$2002,$Q53))</f>
        <v/>
      </c>
      <c r="J53" s="45" t="str">
        <f aca="false">IF($Q53="","",INDEX('Lançar Resultado'!$P$3:$P$2002,$Q53))</f>
        <v/>
      </c>
      <c r="K53" s="46" t="str">
        <f aca="false">IF($Q53="","",INDEX('Lançar Resultado'!$N$3:$N$2002,$Q53))</f>
        <v/>
      </c>
      <c r="L53" s="47" t="str">
        <f aca="false">IF($Q53="","",INDEX('Lançar Resultado'!$I$3:$I$2002,$Q53))</f>
        <v/>
      </c>
      <c r="M53" s="47" t="str">
        <f aca="false">IF($Q53="","",INDEX('Lançar Resultado'!$J$3:$J$2002,$Q53))</f>
        <v/>
      </c>
      <c r="N53" s="44" t="str">
        <f aca="false">IF($Q53="","",INDEX('Lançar Resultado'!$K$3:$K$2002,$Q53))</f>
        <v/>
      </c>
      <c r="O53" s="46" t="str">
        <f aca="false">IF($Q53="","",INDEX('Lançar Resultado'!$L$3:$L$2002,$Q53))</f>
        <v/>
      </c>
      <c r="P53" s="45" t="str">
        <f aca="false">IF($Q53="","",IF(OR($O53="Concluída",$N53=""),"",IF($N53&lt;INT(Parâmetros!$C$4),INT(Parâmetros!$C$4)-$N53,"")))</f>
        <v/>
      </c>
      <c r="Q53" s="45" t="str">
        <f aca="false">IFERROR(MATCH(51,'Lançar Resultado'!$Q$3:$Q$2002,0),"")</f>
        <v/>
      </c>
    </row>
    <row r="54" customFormat="false" ht="18" hidden="false" customHeight="true" outlineLevel="0" collapsed="false">
      <c r="A54" s="39" t="n">
        <v>52</v>
      </c>
      <c r="B54" s="47" t="str">
        <f aca="false">IF($Q54="","",INDEX('Lançar Resultado'!$A$3:$A$2002,$Q54))</f>
        <v/>
      </c>
      <c r="C54" s="44" t="str">
        <f aca="false">IF($Q54="","",INDEX('Lançar Resultado'!$B$3:$B$2002,$Q54))</f>
        <v/>
      </c>
      <c r="D54" s="46" t="str">
        <f aca="false">IF($Q54="","",IF(SUMPRODUCT((Inspeções!$B$3:$B$122=$B54)*(Inspeções!$A$3:$A$122=$C54)*(ROW(Inspeções!$B$3:$B$122)-3+1))=0,"",INDEX(Inspeções!$C$3:$C$122,SUMPRODUCT((Inspeções!$B$3:$B$122=$B54)*(Inspeções!$A$3:$A$122=$C54)*(ROW(Inspeções!$B$3:$B$122)-3+1)))))</f>
        <v/>
      </c>
      <c r="E54" s="47" t="str">
        <f aca="false">IF($Q54="","",INDEX('Lançar Resultado'!$C$3:$C$2002,$Q54))</f>
        <v/>
      </c>
      <c r="F54" s="47" t="str">
        <f aca="false">IF($Q54="","",IFERROR(INDEX(Equipamentos!$E$3:$E$52,MATCH($B54,Equipamentos!$A$3:$A$52,0)),""))</f>
        <v/>
      </c>
      <c r="G54" s="47" t="str">
        <f aca="false">IF($Q54="","",INDEX('Lançar Resultado'!$D$3:$D$2002,$Q54))</f>
        <v/>
      </c>
      <c r="H54" s="47" t="str">
        <f aca="false">IF($Q54="","",INDEX('Lançar Resultado'!$E$3:$E$2002,$Q54))</f>
        <v/>
      </c>
      <c r="I54" s="46" t="str">
        <f aca="false">IF($Q54="","",INDEX('Lançar Resultado'!$G$3:$G$2002,$Q54))</f>
        <v/>
      </c>
      <c r="J54" s="45" t="str">
        <f aca="false">IF($Q54="","",INDEX('Lançar Resultado'!$P$3:$P$2002,$Q54))</f>
        <v/>
      </c>
      <c r="K54" s="46" t="str">
        <f aca="false">IF($Q54="","",INDEX('Lançar Resultado'!$N$3:$N$2002,$Q54))</f>
        <v/>
      </c>
      <c r="L54" s="47" t="str">
        <f aca="false">IF($Q54="","",INDEX('Lançar Resultado'!$I$3:$I$2002,$Q54))</f>
        <v/>
      </c>
      <c r="M54" s="47" t="str">
        <f aca="false">IF($Q54="","",INDEX('Lançar Resultado'!$J$3:$J$2002,$Q54))</f>
        <v/>
      </c>
      <c r="N54" s="44" t="str">
        <f aca="false">IF($Q54="","",INDEX('Lançar Resultado'!$K$3:$K$2002,$Q54))</f>
        <v/>
      </c>
      <c r="O54" s="46" t="str">
        <f aca="false">IF($Q54="","",INDEX('Lançar Resultado'!$L$3:$L$2002,$Q54))</f>
        <v/>
      </c>
      <c r="P54" s="45" t="str">
        <f aca="false">IF($Q54="","",IF(OR($O54="Concluída",$N54=""),"",IF($N54&lt;INT(Parâmetros!$C$4),INT(Parâmetros!$C$4)-$N54,"")))</f>
        <v/>
      </c>
      <c r="Q54" s="45" t="str">
        <f aca="false">IFERROR(MATCH(52,'Lançar Resultado'!$Q$3:$Q$2002,0),"")</f>
        <v/>
      </c>
    </row>
    <row r="55" customFormat="false" ht="18" hidden="false" customHeight="true" outlineLevel="0" collapsed="false">
      <c r="A55" s="39" t="n">
        <v>53</v>
      </c>
      <c r="B55" s="47" t="str">
        <f aca="false">IF($Q55="","",INDEX('Lançar Resultado'!$A$3:$A$2002,$Q55))</f>
        <v/>
      </c>
      <c r="C55" s="44" t="str">
        <f aca="false">IF($Q55="","",INDEX('Lançar Resultado'!$B$3:$B$2002,$Q55))</f>
        <v/>
      </c>
      <c r="D55" s="46" t="str">
        <f aca="false">IF($Q55="","",IF(SUMPRODUCT((Inspeções!$B$3:$B$122=$B55)*(Inspeções!$A$3:$A$122=$C55)*(ROW(Inspeções!$B$3:$B$122)-3+1))=0,"",INDEX(Inspeções!$C$3:$C$122,SUMPRODUCT((Inspeções!$B$3:$B$122=$B55)*(Inspeções!$A$3:$A$122=$C55)*(ROW(Inspeções!$B$3:$B$122)-3+1)))))</f>
        <v/>
      </c>
      <c r="E55" s="47" t="str">
        <f aca="false">IF($Q55="","",INDEX('Lançar Resultado'!$C$3:$C$2002,$Q55))</f>
        <v/>
      </c>
      <c r="F55" s="47" t="str">
        <f aca="false">IF($Q55="","",IFERROR(INDEX(Equipamentos!$E$3:$E$52,MATCH($B55,Equipamentos!$A$3:$A$52,0)),""))</f>
        <v/>
      </c>
      <c r="G55" s="47" t="str">
        <f aca="false">IF($Q55="","",INDEX('Lançar Resultado'!$D$3:$D$2002,$Q55))</f>
        <v/>
      </c>
      <c r="H55" s="47" t="str">
        <f aca="false">IF($Q55="","",INDEX('Lançar Resultado'!$E$3:$E$2002,$Q55))</f>
        <v/>
      </c>
      <c r="I55" s="46" t="str">
        <f aca="false">IF($Q55="","",INDEX('Lançar Resultado'!$G$3:$G$2002,$Q55))</f>
        <v/>
      </c>
      <c r="J55" s="45" t="str">
        <f aca="false">IF($Q55="","",INDEX('Lançar Resultado'!$P$3:$P$2002,$Q55))</f>
        <v/>
      </c>
      <c r="K55" s="46" t="str">
        <f aca="false">IF($Q55="","",INDEX('Lançar Resultado'!$N$3:$N$2002,$Q55))</f>
        <v/>
      </c>
      <c r="L55" s="47" t="str">
        <f aca="false">IF($Q55="","",INDEX('Lançar Resultado'!$I$3:$I$2002,$Q55))</f>
        <v/>
      </c>
      <c r="M55" s="47" t="str">
        <f aca="false">IF($Q55="","",INDEX('Lançar Resultado'!$J$3:$J$2002,$Q55))</f>
        <v/>
      </c>
      <c r="N55" s="44" t="str">
        <f aca="false">IF($Q55="","",INDEX('Lançar Resultado'!$K$3:$K$2002,$Q55))</f>
        <v/>
      </c>
      <c r="O55" s="46" t="str">
        <f aca="false">IF($Q55="","",INDEX('Lançar Resultado'!$L$3:$L$2002,$Q55))</f>
        <v/>
      </c>
      <c r="P55" s="45" t="str">
        <f aca="false">IF($Q55="","",IF(OR($O55="Concluída",$N55=""),"",IF($N55&lt;INT(Parâmetros!$C$4),INT(Parâmetros!$C$4)-$N55,"")))</f>
        <v/>
      </c>
      <c r="Q55" s="45" t="str">
        <f aca="false">IFERROR(MATCH(53,'Lançar Resultado'!$Q$3:$Q$2002,0),"")</f>
        <v/>
      </c>
    </row>
    <row r="56" customFormat="false" ht="18" hidden="false" customHeight="true" outlineLevel="0" collapsed="false">
      <c r="A56" s="39" t="n">
        <v>54</v>
      </c>
      <c r="B56" s="47" t="str">
        <f aca="false">IF($Q56="","",INDEX('Lançar Resultado'!$A$3:$A$2002,$Q56))</f>
        <v/>
      </c>
      <c r="C56" s="44" t="str">
        <f aca="false">IF($Q56="","",INDEX('Lançar Resultado'!$B$3:$B$2002,$Q56))</f>
        <v/>
      </c>
      <c r="D56" s="46" t="str">
        <f aca="false">IF($Q56="","",IF(SUMPRODUCT((Inspeções!$B$3:$B$122=$B56)*(Inspeções!$A$3:$A$122=$C56)*(ROW(Inspeções!$B$3:$B$122)-3+1))=0,"",INDEX(Inspeções!$C$3:$C$122,SUMPRODUCT((Inspeções!$B$3:$B$122=$B56)*(Inspeções!$A$3:$A$122=$C56)*(ROW(Inspeções!$B$3:$B$122)-3+1)))))</f>
        <v/>
      </c>
      <c r="E56" s="47" t="str">
        <f aca="false">IF($Q56="","",INDEX('Lançar Resultado'!$C$3:$C$2002,$Q56))</f>
        <v/>
      </c>
      <c r="F56" s="47" t="str">
        <f aca="false">IF($Q56="","",IFERROR(INDEX(Equipamentos!$E$3:$E$52,MATCH($B56,Equipamentos!$A$3:$A$52,0)),""))</f>
        <v/>
      </c>
      <c r="G56" s="47" t="str">
        <f aca="false">IF($Q56="","",INDEX('Lançar Resultado'!$D$3:$D$2002,$Q56))</f>
        <v/>
      </c>
      <c r="H56" s="47" t="str">
        <f aca="false">IF($Q56="","",INDEX('Lançar Resultado'!$E$3:$E$2002,$Q56))</f>
        <v/>
      </c>
      <c r="I56" s="46" t="str">
        <f aca="false">IF($Q56="","",INDEX('Lançar Resultado'!$G$3:$G$2002,$Q56))</f>
        <v/>
      </c>
      <c r="J56" s="45" t="str">
        <f aca="false">IF($Q56="","",INDEX('Lançar Resultado'!$P$3:$P$2002,$Q56))</f>
        <v/>
      </c>
      <c r="K56" s="46" t="str">
        <f aca="false">IF($Q56="","",INDEX('Lançar Resultado'!$N$3:$N$2002,$Q56))</f>
        <v/>
      </c>
      <c r="L56" s="47" t="str">
        <f aca="false">IF($Q56="","",INDEX('Lançar Resultado'!$I$3:$I$2002,$Q56))</f>
        <v/>
      </c>
      <c r="M56" s="47" t="str">
        <f aca="false">IF($Q56="","",INDEX('Lançar Resultado'!$J$3:$J$2002,$Q56))</f>
        <v/>
      </c>
      <c r="N56" s="44" t="str">
        <f aca="false">IF($Q56="","",INDEX('Lançar Resultado'!$K$3:$K$2002,$Q56))</f>
        <v/>
      </c>
      <c r="O56" s="46" t="str">
        <f aca="false">IF($Q56="","",INDEX('Lançar Resultado'!$L$3:$L$2002,$Q56))</f>
        <v/>
      </c>
      <c r="P56" s="45" t="str">
        <f aca="false">IF($Q56="","",IF(OR($O56="Concluída",$N56=""),"",IF($N56&lt;INT(Parâmetros!$C$4),INT(Parâmetros!$C$4)-$N56,"")))</f>
        <v/>
      </c>
      <c r="Q56" s="45" t="str">
        <f aca="false">IFERROR(MATCH(54,'Lançar Resultado'!$Q$3:$Q$2002,0),"")</f>
        <v/>
      </c>
    </row>
    <row r="57" customFormat="false" ht="18" hidden="false" customHeight="true" outlineLevel="0" collapsed="false">
      <c r="A57" s="39" t="n">
        <v>55</v>
      </c>
      <c r="B57" s="47" t="str">
        <f aca="false">IF($Q57="","",INDEX('Lançar Resultado'!$A$3:$A$2002,$Q57))</f>
        <v/>
      </c>
      <c r="C57" s="44" t="str">
        <f aca="false">IF($Q57="","",INDEX('Lançar Resultado'!$B$3:$B$2002,$Q57))</f>
        <v/>
      </c>
      <c r="D57" s="46" t="str">
        <f aca="false">IF($Q57="","",IF(SUMPRODUCT((Inspeções!$B$3:$B$122=$B57)*(Inspeções!$A$3:$A$122=$C57)*(ROW(Inspeções!$B$3:$B$122)-3+1))=0,"",INDEX(Inspeções!$C$3:$C$122,SUMPRODUCT((Inspeções!$B$3:$B$122=$B57)*(Inspeções!$A$3:$A$122=$C57)*(ROW(Inspeções!$B$3:$B$122)-3+1)))))</f>
        <v/>
      </c>
      <c r="E57" s="47" t="str">
        <f aca="false">IF($Q57="","",INDEX('Lançar Resultado'!$C$3:$C$2002,$Q57))</f>
        <v/>
      </c>
      <c r="F57" s="47" t="str">
        <f aca="false">IF($Q57="","",IFERROR(INDEX(Equipamentos!$E$3:$E$52,MATCH($B57,Equipamentos!$A$3:$A$52,0)),""))</f>
        <v/>
      </c>
      <c r="G57" s="47" t="str">
        <f aca="false">IF($Q57="","",INDEX('Lançar Resultado'!$D$3:$D$2002,$Q57))</f>
        <v/>
      </c>
      <c r="H57" s="47" t="str">
        <f aca="false">IF($Q57="","",INDEX('Lançar Resultado'!$E$3:$E$2002,$Q57))</f>
        <v/>
      </c>
      <c r="I57" s="46" t="str">
        <f aca="false">IF($Q57="","",INDEX('Lançar Resultado'!$G$3:$G$2002,$Q57))</f>
        <v/>
      </c>
      <c r="J57" s="45" t="str">
        <f aca="false">IF($Q57="","",INDEX('Lançar Resultado'!$P$3:$P$2002,$Q57))</f>
        <v/>
      </c>
      <c r="K57" s="46" t="str">
        <f aca="false">IF($Q57="","",INDEX('Lançar Resultado'!$N$3:$N$2002,$Q57))</f>
        <v/>
      </c>
      <c r="L57" s="47" t="str">
        <f aca="false">IF($Q57="","",INDEX('Lançar Resultado'!$I$3:$I$2002,$Q57))</f>
        <v/>
      </c>
      <c r="M57" s="47" t="str">
        <f aca="false">IF($Q57="","",INDEX('Lançar Resultado'!$J$3:$J$2002,$Q57))</f>
        <v/>
      </c>
      <c r="N57" s="44" t="str">
        <f aca="false">IF($Q57="","",INDEX('Lançar Resultado'!$K$3:$K$2002,$Q57))</f>
        <v/>
      </c>
      <c r="O57" s="46" t="str">
        <f aca="false">IF($Q57="","",INDEX('Lançar Resultado'!$L$3:$L$2002,$Q57))</f>
        <v/>
      </c>
      <c r="P57" s="45" t="str">
        <f aca="false">IF($Q57="","",IF(OR($O57="Concluída",$N57=""),"",IF($N57&lt;INT(Parâmetros!$C$4),INT(Parâmetros!$C$4)-$N57,"")))</f>
        <v/>
      </c>
      <c r="Q57" s="45" t="str">
        <f aca="false">IFERROR(MATCH(55,'Lançar Resultado'!$Q$3:$Q$2002,0),"")</f>
        <v/>
      </c>
    </row>
    <row r="58" customFormat="false" ht="18" hidden="false" customHeight="true" outlineLevel="0" collapsed="false">
      <c r="A58" s="39" t="n">
        <v>56</v>
      </c>
      <c r="B58" s="47" t="str">
        <f aca="false">IF($Q58="","",INDEX('Lançar Resultado'!$A$3:$A$2002,$Q58))</f>
        <v/>
      </c>
      <c r="C58" s="44" t="str">
        <f aca="false">IF($Q58="","",INDEX('Lançar Resultado'!$B$3:$B$2002,$Q58))</f>
        <v/>
      </c>
      <c r="D58" s="46" t="str">
        <f aca="false">IF($Q58="","",IF(SUMPRODUCT((Inspeções!$B$3:$B$122=$B58)*(Inspeções!$A$3:$A$122=$C58)*(ROW(Inspeções!$B$3:$B$122)-3+1))=0,"",INDEX(Inspeções!$C$3:$C$122,SUMPRODUCT((Inspeções!$B$3:$B$122=$B58)*(Inspeções!$A$3:$A$122=$C58)*(ROW(Inspeções!$B$3:$B$122)-3+1)))))</f>
        <v/>
      </c>
      <c r="E58" s="47" t="str">
        <f aca="false">IF($Q58="","",INDEX('Lançar Resultado'!$C$3:$C$2002,$Q58))</f>
        <v/>
      </c>
      <c r="F58" s="47" t="str">
        <f aca="false">IF($Q58="","",IFERROR(INDEX(Equipamentos!$E$3:$E$52,MATCH($B58,Equipamentos!$A$3:$A$52,0)),""))</f>
        <v/>
      </c>
      <c r="G58" s="47" t="str">
        <f aca="false">IF($Q58="","",INDEX('Lançar Resultado'!$D$3:$D$2002,$Q58))</f>
        <v/>
      </c>
      <c r="H58" s="47" t="str">
        <f aca="false">IF($Q58="","",INDEX('Lançar Resultado'!$E$3:$E$2002,$Q58))</f>
        <v/>
      </c>
      <c r="I58" s="46" t="str">
        <f aca="false">IF($Q58="","",INDEX('Lançar Resultado'!$G$3:$G$2002,$Q58))</f>
        <v/>
      </c>
      <c r="J58" s="45" t="str">
        <f aca="false">IF($Q58="","",INDEX('Lançar Resultado'!$P$3:$P$2002,$Q58))</f>
        <v/>
      </c>
      <c r="K58" s="46" t="str">
        <f aca="false">IF($Q58="","",INDEX('Lançar Resultado'!$N$3:$N$2002,$Q58))</f>
        <v/>
      </c>
      <c r="L58" s="47" t="str">
        <f aca="false">IF($Q58="","",INDEX('Lançar Resultado'!$I$3:$I$2002,$Q58))</f>
        <v/>
      </c>
      <c r="M58" s="47" t="str">
        <f aca="false">IF($Q58="","",INDEX('Lançar Resultado'!$J$3:$J$2002,$Q58))</f>
        <v/>
      </c>
      <c r="N58" s="44" t="str">
        <f aca="false">IF($Q58="","",INDEX('Lançar Resultado'!$K$3:$K$2002,$Q58))</f>
        <v/>
      </c>
      <c r="O58" s="46" t="str">
        <f aca="false">IF($Q58="","",INDEX('Lançar Resultado'!$L$3:$L$2002,$Q58))</f>
        <v/>
      </c>
      <c r="P58" s="45" t="str">
        <f aca="false">IF($Q58="","",IF(OR($O58="Concluída",$N58=""),"",IF($N58&lt;INT(Parâmetros!$C$4),INT(Parâmetros!$C$4)-$N58,"")))</f>
        <v/>
      </c>
      <c r="Q58" s="45" t="str">
        <f aca="false">IFERROR(MATCH(56,'Lançar Resultado'!$Q$3:$Q$2002,0),"")</f>
        <v/>
      </c>
    </row>
    <row r="59" customFormat="false" ht="18" hidden="false" customHeight="true" outlineLevel="0" collapsed="false">
      <c r="A59" s="39" t="n">
        <v>57</v>
      </c>
      <c r="B59" s="47" t="str">
        <f aca="false">IF($Q59="","",INDEX('Lançar Resultado'!$A$3:$A$2002,$Q59))</f>
        <v/>
      </c>
      <c r="C59" s="44" t="str">
        <f aca="false">IF($Q59="","",INDEX('Lançar Resultado'!$B$3:$B$2002,$Q59))</f>
        <v/>
      </c>
      <c r="D59" s="46" t="str">
        <f aca="false">IF($Q59="","",IF(SUMPRODUCT((Inspeções!$B$3:$B$122=$B59)*(Inspeções!$A$3:$A$122=$C59)*(ROW(Inspeções!$B$3:$B$122)-3+1))=0,"",INDEX(Inspeções!$C$3:$C$122,SUMPRODUCT((Inspeções!$B$3:$B$122=$B59)*(Inspeções!$A$3:$A$122=$C59)*(ROW(Inspeções!$B$3:$B$122)-3+1)))))</f>
        <v/>
      </c>
      <c r="E59" s="47" t="str">
        <f aca="false">IF($Q59="","",INDEX('Lançar Resultado'!$C$3:$C$2002,$Q59))</f>
        <v/>
      </c>
      <c r="F59" s="47" t="str">
        <f aca="false">IF($Q59="","",IFERROR(INDEX(Equipamentos!$E$3:$E$52,MATCH($B59,Equipamentos!$A$3:$A$52,0)),""))</f>
        <v/>
      </c>
      <c r="G59" s="47" t="str">
        <f aca="false">IF($Q59="","",INDEX('Lançar Resultado'!$D$3:$D$2002,$Q59))</f>
        <v/>
      </c>
      <c r="H59" s="47" t="str">
        <f aca="false">IF($Q59="","",INDEX('Lançar Resultado'!$E$3:$E$2002,$Q59))</f>
        <v/>
      </c>
      <c r="I59" s="46" t="str">
        <f aca="false">IF($Q59="","",INDEX('Lançar Resultado'!$G$3:$G$2002,$Q59))</f>
        <v/>
      </c>
      <c r="J59" s="45" t="str">
        <f aca="false">IF($Q59="","",INDEX('Lançar Resultado'!$P$3:$P$2002,$Q59))</f>
        <v/>
      </c>
      <c r="K59" s="46" t="str">
        <f aca="false">IF($Q59="","",INDEX('Lançar Resultado'!$N$3:$N$2002,$Q59))</f>
        <v/>
      </c>
      <c r="L59" s="47" t="str">
        <f aca="false">IF($Q59="","",INDEX('Lançar Resultado'!$I$3:$I$2002,$Q59))</f>
        <v/>
      </c>
      <c r="M59" s="47" t="str">
        <f aca="false">IF($Q59="","",INDEX('Lançar Resultado'!$J$3:$J$2002,$Q59))</f>
        <v/>
      </c>
      <c r="N59" s="44" t="str">
        <f aca="false">IF($Q59="","",INDEX('Lançar Resultado'!$K$3:$K$2002,$Q59))</f>
        <v/>
      </c>
      <c r="O59" s="46" t="str">
        <f aca="false">IF($Q59="","",INDEX('Lançar Resultado'!$L$3:$L$2002,$Q59))</f>
        <v/>
      </c>
      <c r="P59" s="45" t="str">
        <f aca="false">IF($Q59="","",IF(OR($O59="Concluída",$N59=""),"",IF($N59&lt;INT(Parâmetros!$C$4),INT(Parâmetros!$C$4)-$N59,"")))</f>
        <v/>
      </c>
      <c r="Q59" s="45" t="str">
        <f aca="false">IFERROR(MATCH(57,'Lançar Resultado'!$Q$3:$Q$2002,0),"")</f>
        <v/>
      </c>
    </row>
    <row r="60" customFormat="false" ht="18" hidden="false" customHeight="true" outlineLevel="0" collapsed="false">
      <c r="A60" s="39" t="n">
        <v>58</v>
      </c>
      <c r="B60" s="47" t="str">
        <f aca="false">IF($Q60="","",INDEX('Lançar Resultado'!$A$3:$A$2002,$Q60))</f>
        <v/>
      </c>
      <c r="C60" s="44" t="str">
        <f aca="false">IF($Q60="","",INDEX('Lançar Resultado'!$B$3:$B$2002,$Q60))</f>
        <v/>
      </c>
      <c r="D60" s="46" t="str">
        <f aca="false">IF($Q60="","",IF(SUMPRODUCT((Inspeções!$B$3:$B$122=$B60)*(Inspeções!$A$3:$A$122=$C60)*(ROW(Inspeções!$B$3:$B$122)-3+1))=0,"",INDEX(Inspeções!$C$3:$C$122,SUMPRODUCT((Inspeções!$B$3:$B$122=$B60)*(Inspeções!$A$3:$A$122=$C60)*(ROW(Inspeções!$B$3:$B$122)-3+1)))))</f>
        <v/>
      </c>
      <c r="E60" s="47" t="str">
        <f aca="false">IF($Q60="","",INDEX('Lançar Resultado'!$C$3:$C$2002,$Q60))</f>
        <v/>
      </c>
      <c r="F60" s="47" t="str">
        <f aca="false">IF($Q60="","",IFERROR(INDEX(Equipamentos!$E$3:$E$52,MATCH($B60,Equipamentos!$A$3:$A$52,0)),""))</f>
        <v/>
      </c>
      <c r="G60" s="47" t="str">
        <f aca="false">IF($Q60="","",INDEX('Lançar Resultado'!$D$3:$D$2002,$Q60))</f>
        <v/>
      </c>
      <c r="H60" s="47" t="str">
        <f aca="false">IF($Q60="","",INDEX('Lançar Resultado'!$E$3:$E$2002,$Q60))</f>
        <v/>
      </c>
      <c r="I60" s="46" t="str">
        <f aca="false">IF($Q60="","",INDEX('Lançar Resultado'!$G$3:$G$2002,$Q60))</f>
        <v/>
      </c>
      <c r="J60" s="45" t="str">
        <f aca="false">IF($Q60="","",INDEX('Lançar Resultado'!$P$3:$P$2002,$Q60))</f>
        <v/>
      </c>
      <c r="K60" s="46" t="str">
        <f aca="false">IF($Q60="","",INDEX('Lançar Resultado'!$N$3:$N$2002,$Q60))</f>
        <v/>
      </c>
      <c r="L60" s="47" t="str">
        <f aca="false">IF($Q60="","",INDEX('Lançar Resultado'!$I$3:$I$2002,$Q60))</f>
        <v/>
      </c>
      <c r="M60" s="47" t="str">
        <f aca="false">IF($Q60="","",INDEX('Lançar Resultado'!$J$3:$J$2002,$Q60))</f>
        <v/>
      </c>
      <c r="N60" s="44" t="str">
        <f aca="false">IF($Q60="","",INDEX('Lançar Resultado'!$K$3:$K$2002,$Q60))</f>
        <v/>
      </c>
      <c r="O60" s="46" t="str">
        <f aca="false">IF($Q60="","",INDEX('Lançar Resultado'!$L$3:$L$2002,$Q60))</f>
        <v/>
      </c>
      <c r="P60" s="45" t="str">
        <f aca="false">IF($Q60="","",IF(OR($O60="Concluída",$N60=""),"",IF($N60&lt;INT(Parâmetros!$C$4),INT(Parâmetros!$C$4)-$N60,"")))</f>
        <v/>
      </c>
      <c r="Q60" s="45" t="str">
        <f aca="false">IFERROR(MATCH(58,'Lançar Resultado'!$Q$3:$Q$2002,0),"")</f>
        <v/>
      </c>
    </row>
    <row r="61" customFormat="false" ht="18" hidden="false" customHeight="true" outlineLevel="0" collapsed="false">
      <c r="A61" s="39" t="n">
        <v>59</v>
      </c>
      <c r="B61" s="47" t="str">
        <f aca="false">IF($Q61="","",INDEX('Lançar Resultado'!$A$3:$A$2002,$Q61))</f>
        <v/>
      </c>
      <c r="C61" s="44" t="str">
        <f aca="false">IF($Q61="","",INDEX('Lançar Resultado'!$B$3:$B$2002,$Q61))</f>
        <v/>
      </c>
      <c r="D61" s="46" t="str">
        <f aca="false">IF($Q61="","",IF(SUMPRODUCT((Inspeções!$B$3:$B$122=$B61)*(Inspeções!$A$3:$A$122=$C61)*(ROW(Inspeções!$B$3:$B$122)-3+1))=0,"",INDEX(Inspeções!$C$3:$C$122,SUMPRODUCT((Inspeções!$B$3:$B$122=$B61)*(Inspeções!$A$3:$A$122=$C61)*(ROW(Inspeções!$B$3:$B$122)-3+1)))))</f>
        <v/>
      </c>
      <c r="E61" s="47" t="str">
        <f aca="false">IF($Q61="","",INDEX('Lançar Resultado'!$C$3:$C$2002,$Q61))</f>
        <v/>
      </c>
      <c r="F61" s="47" t="str">
        <f aca="false">IF($Q61="","",IFERROR(INDEX(Equipamentos!$E$3:$E$52,MATCH($B61,Equipamentos!$A$3:$A$52,0)),""))</f>
        <v/>
      </c>
      <c r="G61" s="47" t="str">
        <f aca="false">IF($Q61="","",INDEX('Lançar Resultado'!$D$3:$D$2002,$Q61))</f>
        <v/>
      </c>
      <c r="H61" s="47" t="str">
        <f aca="false">IF($Q61="","",INDEX('Lançar Resultado'!$E$3:$E$2002,$Q61))</f>
        <v/>
      </c>
      <c r="I61" s="46" t="str">
        <f aca="false">IF($Q61="","",INDEX('Lançar Resultado'!$G$3:$G$2002,$Q61))</f>
        <v/>
      </c>
      <c r="J61" s="45" t="str">
        <f aca="false">IF($Q61="","",INDEX('Lançar Resultado'!$P$3:$P$2002,$Q61))</f>
        <v/>
      </c>
      <c r="K61" s="46" t="str">
        <f aca="false">IF($Q61="","",INDEX('Lançar Resultado'!$N$3:$N$2002,$Q61))</f>
        <v/>
      </c>
      <c r="L61" s="47" t="str">
        <f aca="false">IF($Q61="","",INDEX('Lançar Resultado'!$I$3:$I$2002,$Q61))</f>
        <v/>
      </c>
      <c r="M61" s="47" t="str">
        <f aca="false">IF($Q61="","",INDEX('Lançar Resultado'!$J$3:$J$2002,$Q61))</f>
        <v/>
      </c>
      <c r="N61" s="44" t="str">
        <f aca="false">IF($Q61="","",INDEX('Lançar Resultado'!$K$3:$K$2002,$Q61))</f>
        <v/>
      </c>
      <c r="O61" s="46" t="str">
        <f aca="false">IF($Q61="","",INDEX('Lançar Resultado'!$L$3:$L$2002,$Q61))</f>
        <v/>
      </c>
      <c r="P61" s="45" t="str">
        <f aca="false">IF($Q61="","",IF(OR($O61="Concluída",$N61=""),"",IF($N61&lt;INT(Parâmetros!$C$4),INT(Parâmetros!$C$4)-$N61,"")))</f>
        <v/>
      </c>
      <c r="Q61" s="45" t="str">
        <f aca="false">IFERROR(MATCH(59,'Lançar Resultado'!$Q$3:$Q$2002,0),"")</f>
        <v/>
      </c>
    </row>
    <row r="62" customFormat="false" ht="18" hidden="false" customHeight="true" outlineLevel="0" collapsed="false">
      <c r="A62" s="39" t="n">
        <v>60</v>
      </c>
      <c r="B62" s="47" t="str">
        <f aca="false">IF($Q62="","",INDEX('Lançar Resultado'!$A$3:$A$2002,$Q62))</f>
        <v/>
      </c>
      <c r="C62" s="44" t="str">
        <f aca="false">IF($Q62="","",INDEX('Lançar Resultado'!$B$3:$B$2002,$Q62))</f>
        <v/>
      </c>
      <c r="D62" s="46" t="str">
        <f aca="false">IF($Q62="","",IF(SUMPRODUCT((Inspeções!$B$3:$B$122=$B62)*(Inspeções!$A$3:$A$122=$C62)*(ROW(Inspeções!$B$3:$B$122)-3+1))=0,"",INDEX(Inspeções!$C$3:$C$122,SUMPRODUCT((Inspeções!$B$3:$B$122=$B62)*(Inspeções!$A$3:$A$122=$C62)*(ROW(Inspeções!$B$3:$B$122)-3+1)))))</f>
        <v/>
      </c>
      <c r="E62" s="47" t="str">
        <f aca="false">IF($Q62="","",INDEX('Lançar Resultado'!$C$3:$C$2002,$Q62))</f>
        <v/>
      </c>
      <c r="F62" s="47" t="str">
        <f aca="false">IF($Q62="","",IFERROR(INDEX(Equipamentos!$E$3:$E$52,MATCH($B62,Equipamentos!$A$3:$A$52,0)),""))</f>
        <v/>
      </c>
      <c r="G62" s="47" t="str">
        <f aca="false">IF($Q62="","",INDEX('Lançar Resultado'!$D$3:$D$2002,$Q62))</f>
        <v/>
      </c>
      <c r="H62" s="47" t="str">
        <f aca="false">IF($Q62="","",INDEX('Lançar Resultado'!$E$3:$E$2002,$Q62))</f>
        <v/>
      </c>
      <c r="I62" s="46" t="str">
        <f aca="false">IF($Q62="","",INDEX('Lançar Resultado'!$G$3:$G$2002,$Q62))</f>
        <v/>
      </c>
      <c r="J62" s="45" t="str">
        <f aca="false">IF($Q62="","",INDEX('Lançar Resultado'!$P$3:$P$2002,$Q62))</f>
        <v/>
      </c>
      <c r="K62" s="46" t="str">
        <f aca="false">IF($Q62="","",INDEX('Lançar Resultado'!$N$3:$N$2002,$Q62))</f>
        <v/>
      </c>
      <c r="L62" s="47" t="str">
        <f aca="false">IF($Q62="","",INDEX('Lançar Resultado'!$I$3:$I$2002,$Q62))</f>
        <v/>
      </c>
      <c r="M62" s="47" t="str">
        <f aca="false">IF($Q62="","",INDEX('Lançar Resultado'!$J$3:$J$2002,$Q62))</f>
        <v/>
      </c>
      <c r="N62" s="44" t="str">
        <f aca="false">IF($Q62="","",INDEX('Lançar Resultado'!$K$3:$K$2002,$Q62))</f>
        <v/>
      </c>
      <c r="O62" s="46" t="str">
        <f aca="false">IF($Q62="","",INDEX('Lançar Resultado'!$L$3:$L$2002,$Q62))</f>
        <v/>
      </c>
      <c r="P62" s="45" t="str">
        <f aca="false">IF($Q62="","",IF(OR($O62="Concluída",$N62=""),"",IF($N62&lt;INT(Parâmetros!$C$4),INT(Parâmetros!$C$4)-$N62,"")))</f>
        <v/>
      </c>
      <c r="Q62" s="45" t="str">
        <f aca="false">IFERROR(MATCH(60,'Lançar Resultado'!$Q$3:$Q$2002,0),"")</f>
        <v/>
      </c>
    </row>
    <row r="63" customFormat="false" ht="18" hidden="false" customHeight="true" outlineLevel="0" collapsed="false">
      <c r="A63" s="39" t="n">
        <v>61</v>
      </c>
      <c r="B63" s="47" t="str">
        <f aca="false">IF($Q63="","",INDEX('Lançar Resultado'!$A$3:$A$2002,$Q63))</f>
        <v/>
      </c>
      <c r="C63" s="44" t="str">
        <f aca="false">IF($Q63="","",INDEX('Lançar Resultado'!$B$3:$B$2002,$Q63))</f>
        <v/>
      </c>
      <c r="D63" s="46" t="str">
        <f aca="false">IF($Q63="","",IF(SUMPRODUCT((Inspeções!$B$3:$B$122=$B63)*(Inspeções!$A$3:$A$122=$C63)*(ROW(Inspeções!$B$3:$B$122)-3+1))=0,"",INDEX(Inspeções!$C$3:$C$122,SUMPRODUCT((Inspeções!$B$3:$B$122=$B63)*(Inspeções!$A$3:$A$122=$C63)*(ROW(Inspeções!$B$3:$B$122)-3+1)))))</f>
        <v/>
      </c>
      <c r="E63" s="47" t="str">
        <f aca="false">IF($Q63="","",INDEX('Lançar Resultado'!$C$3:$C$2002,$Q63))</f>
        <v/>
      </c>
      <c r="F63" s="47" t="str">
        <f aca="false">IF($Q63="","",IFERROR(INDEX(Equipamentos!$E$3:$E$52,MATCH($B63,Equipamentos!$A$3:$A$52,0)),""))</f>
        <v/>
      </c>
      <c r="G63" s="47" t="str">
        <f aca="false">IF($Q63="","",INDEX('Lançar Resultado'!$D$3:$D$2002,$Q63))</f>
        <v/>
      </c>
      <c r="H63" s="47" t="str">
        <f aca="false">IF($Q63="","",INDEX('Lançar Resultado'!$E$3:$E$2002,$Q63))</f>
        <v/>
      </c>
      <c r="I63" s="46" t="str">
        <f aca="false">IF($Q63="","",INDEX('Lançar Resultado'!$G$3:$G$2002,$Q63))</f>
        <v/>
      </c>
      <c r="J63" s="45" t="str">
        <f aca="false">IF($Q63="","",INDEX('Lançar Resultado'!$P$3:$P$2002,$Q63))</f>
        <v/>
      </c>
      <c r="K63" s="46" t="str">
        <f aca="false">IF($Q63="","",INDEX('Lançar Resultado'!$N$3:$N$2002,$Q63))</f>
        <v/>
      </c>
      <c r="L63" s="47" t="str">
        <f aca="false">IF($Q63="","",INDEX('Lançar Resultado'!$I$3:$I$2002,$Q63))</f>
        <v/>
      </c>
      <c r="M63" s="47" t="str">
        <f aca="false">IF($Q63="","",INDEX('Lançar Resultado'!$J$3:$J$2002,$Q63))</f>
        <v/>
      </c>
      <c r="N63" s="44" t="str">
        <f aca="false">IF($Q63="","",INDEX('Lançar Resultado'!$K$3:$K$2002,$Q63))</f>
        <v/>
      </c>
      <c r="O63" s="46" t="str">
        <f aca="false">IF($Q63="","",INDEX('Lançar Resultado'!$L$3:$L$2002,$Q63))</f>
        <v/>
      </c>
      <c r="P63" s="45" t="str">
        <f aca="false">IF($Q63="","",IF(OR($O63="Concluída",$N63=""),"",IF($N63&lt;INT(Parâmetros!$C$4),INT(Parâmetros!$C$4)-$N63,"")))</f>
        <v/>
      </c>
      <c r="Q63" s="45" t="str">
        <f aca="false">IFERROR(MATCH(61,'Lançar Resultado'!$Q$3:$Q$2002,0),"")</f>
        <v/>
      </c>
    </row>
    <row r="64" customFormat="false" ht="18" hidden="false" customHeight="true" outlineLevel="0" collapsed="false">
      <c r="A64" s="39" t="n">
        <v>62</v>
      </c>
      <c r="B64" s="47" t="str">
        <f aca="false">IF($Q64="","",INDEX('Lançar Resultado'!$A$3:$A$2002,$Q64))</f>
        <v/>
      </c>
      <c r="C64" s="44" t="str">
        <f aca="false">IF($Q64="","",INDEX('Lançar Resultado'!$B$3:$B$2002,$Q64))</f>
        <v/>
      </c>
      <c r="D64" s="46" t="str">
        <f aca="false">IF($Q64="","",IF(SUMPRODUCT((Inspeções!$B$3:$B$122=$B64)*(Inspeções!$A$3:$A$122=$C64)*(ROW(Inspeções!$B$3:$B$122)-3+1))=0,"",INDEX(Inspeções!$C$3:$C$122,SUMPRODUCT((Inspeções!$B$3:$B$122=$B64)*(Inspeções!$A$3:$A$122=$C64)*(ROW(Inspeções!$B$3:$B$122)-3+1)))))</f>
        <v/>
      </c>
      <c r="E64" s="47" t="str">
        <f aca="false">IF($Q64="","",INDEX('Lançar Resultado'!$C$3:$C$2002,$Q64))</f>
        <v/>
      </c>
      <c r="F64" s="47" t="str">
        <f aca="false">IF($Q64="","",IFERROR(INDEX(Equipamentos!$E$3:$E$52,MATCH($B64,Equipamentos!$A$3:$A$52,0)),""))</f>
        <v/>
      </c>
      <c r="G64" s="47" t="str">
        <f aca="false">IF($Q64="","",INDEX('Lançar Resultado'!$D$3:$D$2002,$Q64))</f>
        <v/>
      </c>
      <c r="H64" s="47" t="str">
        <f aca="false">IF($Q64="","",INDEX('Lançar Resultado'!$E$3:$E$2002,$Q64))</f>
        <v/>
      </c>
      <c r="I64" s="46" t="str">
        <f aca="false">IF($Q64="","",INDEX('Lançar Resultado'!$G$3:$G$2002,$Q64))</f>
        <v/>
      </c>
      <c r="J64" s="45" t="str">
        <f aca="false">IF($Q64="","",INDEX('Lançar Resultado'!$P$3:$P$2002,$Q64))</f>
        <v/>
      </c>
      <c r="K64" s="46" t="str">
        <f aca="false">IF($Q64="","",INDEX('Lançar Resultado'!$N$3:$N$2002,$Q64))</f>
        <v/>
      </c>
      <c r="L64" s="47" t="str">
        <f aca="false">IF($Q64="","",INDEX('Lançar Resultado'!$I$3:$I$2002,$Q64))</f>
        <v/>
      </c>
      <c r="M64" s="47" t="str">
        <f aca="false">IF($Q64="","",INDEX('Lançar Resultado'!$J$3:$J$2002,$Q64))</f>
        <v/>
      </c>
      <c r="N64" s="44" t="str">
        <f aca="false">IF($Q64="","",INDEX('Lançar Resultado'!$K$3:$K$2002,$Q64))</f>
        <v/>
      </c>
      <c r="O64" s="46" t="str">
        <f aca="false">IF($Q64="","",INDEX('Lançar Resultado'!$L$3:$L$2002,$Q64))</f>
        <v/>
      </c>
      <c r="P64" s="45" t="str">
        <f aca="false">IF($Q64="","",IF(OR($O64="Concluída",$N64=""),"",IF($N64&lt;INT(Parâmetros!$C$4),INT(Parâmetros!$C$4)-$N64,"")))</f>
        <v/>
      </c>
      <c r="Q64" s="45" t="str">
        <f aca="false">IFERROR(MATCH(62,'Lançar Resultado'!$Q$3:$Q$2002,0),"")</f>
        <v/>
      </c>
    </row>
    <row r="65" customFormat="false" ht="18" hidden="false" customHeight="true" outlineLevel="0" collapsed="false">
      <c r="A65" s="39" t="n">
        <v>63</v>
      </c>
      <c r="B65" s="47" t="str">
        <f aca="false">IF($Q65="","",INDEX('Lançar Resultado'!$A$3:$A$2002,$Q65))</f>
        <v/>
      </c>
      <c r="C65" s="44" t="str">
        <f aca="false">IF($Q65="","",INDEX('Lançar Resultado'!$B$3:$B$2002,$Q65))</f>
        <v/>
      </c>
      <c r="D65" s="46" t="str">
        <f aca="false">IF($Q65="","",IF(SUMPRODUCT((Inspeções!$B$3:$B$122=$B65)*(Inspeções!$A$3:$A$122=$C65)*(ROW(Inspeções!$B$3:$B$122)-3+1))=0,"",INDEX(Inspeções!$C$3:$C$122,SUMPRODUCT((Inspeções!$B$3:$B$122=$B65)*(Inspeções!$A$3:$A$122=$C65)*(ROW(Inspeções!$B$3:$B$122)-3+1)))))</f>
        <v/>
      </c>
      <c r="E65" s="47" t="str">
        <f aca="false">IF($Q65="","",INDEX('Lançar Resultado'!$C$3:$C$2002,$Q65))</f>
        <v/>
      </c>
      <c r="F65" s="47" t="str">
        <f aca="false">IF($Q65="","",IFERROR(INDEX(Equipamentos!$E$3:$E$52,MATCH($B65,Equipamentos!$A$3:$A$52,0)),""))</f>
        <v/>
      </c>
      <c r="G65" s="47" t="str">
        <f aca="false">IF($Q65="","",INDEX('Lançar Resultado'!$D$3:$D$2002,$Q65))</f>
        <v/>
      </c>
      <c r="H65" s="47" t="str">
        <f aca="false">IF($Q65="","",INDEX('Lançar Resultado'!$E$3:$E$2002,$Q65))</f>
        <v/>
      </c>
      <c r="I65" s="46" t="str">
        <f aca="false">IF($Q65="","",INDEX('Lançar Resultado'!$G$3:$G$2002,$Q65))</f>
        <v/>
      </c>
      <c r="J65" s="45" t="str">
        <f aca="false">IF($Q65="","",INDEX('Lançar Resultado'!$P$3:$P$2002,$Q65))</f>
        <v/>
      </c>
      <c r="K65" s="46" t="str">
        <f aca="false">IF($Q65="","",INDEX('Lançar Resultado'!$N$3:$N$2002,$Q65))</f>
        <v/>
      </c>
      <c r="L65" s="47" t="str">
        <f aca="false">IF($Q65="","",INDEX('Lançar Resultado'!$I$3:$I$2002,$Q65))</f>
        <v/>
      </c>
      <c r="M65" s="47" t="str">
        <f aca="false">IF($Q65="","",INDEX('Lançar Resultado'!$J$3:$J$2002,$Q65))</f>
        <v/>
      </c>
      <c r="N65" s="44" t="str">
        <f aca="false">IF($Q65="","",INDEX('Lançar Resultado'!$K$3:$K$2002,$Q65))</f>
        <v/>
      </c>
      <c r="O65" s="46" t="str">
        <f aca="false">IF($Q65="","",INDEX('Lançar Resultado'!$L$3:$L$2002,$Q65))</f>
        <v/>
      </c>
      <c r="P65" s="45" t="str">
        <f aca="false">IF($Q65="","",IF(OR($O65="Concluída",$N65=""),"",IF($N65&lt;INT(Parâmetros!$C$4),INT(Parâmetros!$C$4)-$N65,"")))</f>
        <v/>
      </c>
      <c r="Q65" s="45" t="str">
        <f aca="false">IFERROR(MATCH(63,'Lançar Resultado'!$Q$3:$Q$2002,0),"")</f>
        <v/>
      </c>
    </row>
    <row r="66" customFormat="false" ht="18" hidden="false" customHeight="true" outlineLevel="0" collapsed="false">
      <c r="A66" s="39" t="n">
        <v>64</v>
      </c>
      <c r="B66" s="47" t="str">
        <f aca="false">IF($Q66="","",INDEX('Lançar Resultado'!$A$3:$A$2002,$Q66))</f>
        <v/>
      </c>
      <c r="C66" s="44" t="str">
        <f aca="false">IF($Q66="","",INDEX('Lançar Resultado'!$B$3:$B$2002,$Q66))</f>
        <v/>
      </c>
      <c r="D66" s="46" t="str">
        <f aca="false">IF($Q66="","",IF(SUMPRODUCT((Inspeções!$B$3:$B$122=$B66)*(Inspeções!$A$3:$A$122=$C66)*(ROW(Inspeções!$B$3:$B$122)-3+1))=0,"",INDEX(Inspeções!$C$3:$C$122,SUMPRODUCT((Inspeções!$B$3:$B$122=$B66)*(Inspeções!$A$3:$A$122=$C66)*(ROW(Inspeções!$B$3:$B$122)-3+1)))))</f>
        <v/>
      </c>
      <c r="E66" s="47" t="str">
        <f aca="false">IF($Q66="","",INDEX('Lançar Resultado'!$C$3:$C$2002,$Q66))</f>
        <v/>
      </c>
      <c r="F66" s="47" t="str">
        <f aca="false">IF($Q66="","",IFERROR(INDEX(Equipamentos!$E$3:$E$52,MATCH($B66,Equipamentos!$A$3:$A$52,0)),""))</f>
        <v/>
      </c>
      <c r="G66" s="47" t="str">
        <f aca="false">IF($Q66="","",INDEX('Lançar Resultado'!$D$3:$D$2002,$Q66))</f>
        <v/>
      </c>
      <c r="H66" s="47" t="str">
        <f aca="false">IF($Q66="","",INDEX('Lançar Resultado'!$E$3:$E$2002,$Q66))</f>
        <v/>
      </c>
      <c r="I66" s="46" t="str">
        <f aca="false">IF($Q66="","",INDEX('Lançar Resultado'!$G$3:$G$2002,$Q66))</f>
        <v/>
      </c>
      <c r="J66" s="45" t="str">
        <f aca="false">IF($Q66="","",INDEX('Lançar Resultado'!$P$3:$P$2002,$Q66))</f>
        <v/>
      </c>
      <c r="K66" s="46" t="str">
        <f aca="false">IF($Q66="","",INDEX('Lançar Resultado'!$N$3:$N$2002,$Q66))</f>
        <v/>
      </c>
      <c r="L66" s="47" t="str">
        <f aca="false">IF($Q66="","",INDEX('Lançar Resultado'!$I$3:$I$2002,$Q66))</f>
        <v/>
      </c>
      <c r="M66" s="47" t="str">
        <f aca="false">IF($Q66="","",INDEX('Lançar Resultado'!$J$3:$J$2002,$Q66))</f>
        <v/>
      </c>
      <c r="N66" s="44" t="str">
        <f aca="false">IF($Q66="","",INDEX('Lançar Resultado'!$K$3:$K$2002,$Q66))</f>
        <v/>
      </c>
      <c r="O66" s="46" t="str">
        <f aca="false">IF($Q66="","",INDEX('Lançar Resultado'!$L$3:$L$2002,$Q66))</f>
        <v/>
      </c>
      <c r="P66" s="45" t="str">
        <f aca="false">IF($Q66="","",IF(OR($O66="Concluída",$N66=""),"",IF($N66&lt;INT(Parâmetros!$C$4),INT(Parâmetros!$C$4)-$N66,"")))</f>
        <v/>
      </c>
      <c r="Q66" s="45" t="str">
        <f aca="false">IFERROR(MATCH(64,'Lançar Resultado'!$Q$3:$Q$2002,0),"")</f>
        <v/>
      </c>
    </row>
    <row r="67" customFormat="false" ht="18" hidden="false" customHeight="true" outlineLevel="0" collapsed="false">
      <c r="A67" s="39" t="n">
        <v>65</v>
      </c>
      <c r="B67" s="47" t="str">
        <f aca="false">IF($Q67="","",INDEX('Lançar Resultado'!$A$3:$A$2002,$Q67))</f>
        <v/>
      </c>
      <c r="C67" s="44" t="str">
        <f aca="false">IF($Q67="","",INDEX('Lançar Resultado'!$B$3:$B$2002,$Q67))</f>
        <v/>
      </c>
      <c r="D67" s="46" t="str">
        <f aca="false">IF($Q67="","",IF(SUMPRODUCT((Inspeções!$B$3:$B$122=$B67)*(Inspeções!$A$3:$A$122=$C67)*(ROW(Inspeções!$B$3:$B$122)-3+1))=0,"",INDEX(Inspeções!$C$3:$C$122,SUMPRODUCT((Inspeções!$B$3:$B$122=$B67)*(Inspeções!$A$3:$A$122=$C67)*(ROW(Inspeções!$B$3:$B$122)-3+1)))))</f>
        <v/>
      </c>
      <c r="E67" s="47" t="str">
        <f aca="false">IF($Q67="","",INDEX('Lançar Resultado'!$C$3:$C$2002,$Q67))</f>
        <v/>
      </c>
      <c r="F67" s="47" t="str">
        <f aca="false">IF($Q67="","",IFERROR(INDEX(Equipamentos!$E$3:$E$52,MATCH($B67,Equipamentos!$A$3:$A$52,0)),""))</f>
        <v/>
      </c>
      <c r="G67" s="47" t="str">
        <f aca="false">IF($Q67="","",INDEX('Lançar Resultado'!$D$3:$D$2002,$Q67))</f>
        <v/>
      </c>
      <c r="H67" s="47" t="str">
        <f aca="false">IF($Q67="","",INDEX('Lançar Resultado'!$E$3:$E$2002,$Q67))</f>
        <v/>
      </c>
      <c r="I67" s="46" t="str">
        <f aca="false">IF($Q67="","",INDEX('Lançar Resultado'!$G$3:$G$2002,$Q67))</f>
        <v/>
      </c>
      <c r="J67" s="45" t="str">
        <f aca="false">IF($Q67="","",INDEX('Lançar Resultado'!$P$3:$P$2002,$Q67))</f>
        <v/>
      </c>
      <c r="K67" s="46" t="str">
        <f aca="false">IF($Q67="","",INDEX('Lançar Resultado'!$N$3:$N$2002,$Q67))</f>
        <v/>
      </c>
      <c r="L67" s="47" t="str">
        <f aca="false">IF($Q67="","",INDEX('Lançar Resultado'!$I$3:$I$2002,$Q67))</f>
        <v/>
      </c>
      <c r="M67" s="47" t="str">
        <f aca="false">IF($Q67="","",INDEX('Lançar Resultado'!$J$3:$J$2002,$Q67))</f>
        <v/>
      </c>
      <c r="N67" s="44" t="str">
        <f aca="false">IF($Q67="","",INDEX('Lançar Resultado'!$K$3:$K$2002,$Q67))</f>
        <v/>
      </c>
      <c r="O67" s="46" t="str">
        <f aca="false">IF($Q67="","",INDEX('Lançar Resultado'!$L$3:$L$2002,$Q67))</f>
        <v/>
      </c>
      <c r="P67" s="45" t="str">
        <f aca="false">IF($Q67="","",IF(OR($O67="Concluída",$N67=""),"",IF($N67&lt;INT(Parâmetros!$C$4),INT(Parâmetros!$C$4)-$N67,"")))</f>
        <v/>
      </c>
      <c r="Q67" s="45" t="str">
        <f aca="false">IFERROR(MATCH(65,'Lançar Resultado'!$Q$3:$Q$2002,0),"")</f>
        <v/>
      </c>
    </row>
    <row r="68" customFormat="false" ht="18" hidden="false" customHeight="true" outlineLevel="0" collapsed="false">
      <c r="A68" s="39" t="n">
        <v>66</v>
      </c>
      <c r="B68" s="47" t="str">
        <f aca="false">IF($Q68="","",INDEX('Lançar Resultado'!$A$3:$A$2002,$Q68))</f>
        <v/>
      </c>
      <c r="C68" s="44" t="str">
        <f aca="false">IF($Q68="","",INDEX('Lançar Resultado'!$B$3:$B$2002,$Q68))</f>
        <v/>
      </c>
      <c r="D68" s="46" t="str">
        <f aca="false">IF($Q68="","",IF(SUMPRODUCT((Inspeções!$B$3:$B$122=$B68)*(Inspeções!$A$3:$A$122=$C68)*(ROW(Inspeções!$B$3:$B$122)-3+1))=0,"",INDEX(Inspeções!$C$3:$C$122,SUMPRODUCT((Inspeções!$B$3:$B$122=$B68)*(Inspeções!$A$3:$A$122=$C68)*(ROW(Inspeções!$B$3:$B$122)-3+1)))))</f>
        <v/>
      </c>
      <c r="E68" s="47" t="str">
        <f aca="false">IF($Q68="","",INDEX('Lançar Resultado'!$C$3:$C$2002,$Q68))</f>
        <v/>
      </c>
      <c r="F68" s="47" t="str">
        <f aca="false">IF($Q68="","",IFERROR(INDEX(Equipamentos!$E$3:$E$52,MATCH($B68,Equipamentos!$A$3:$A$52,0)),""))</f>
        <v/>
      </c>
      <c r="G68" s="47" t="str">
        <f aca="false">IF($Q68="","",INDEX('Lançar Resultado'!$D$3:$D$2002,$Q68))</f>
        <v/>
      </c>
      <c r="H68" s="47" t="str">
        <f aca="false">IF($Q68="","",INDEX('Lançar Resultado'!$E$3:$E$2002,$Q68))</f>
        <v/>
      </c>
      <c r="I68" s="46" t="str">
        <f aca="false">IF($Q68="","",INDEX('Lançar Resultado'!$G$3:$G$2002,$Q68))</f>
        <v/>
      </c>
      <c r="J68" s="45" t="str">
        <f aca="false">IF($Q68="","",INDEX('Lançar Resultado'!$P$3:$P$2002,$Q68))</f>
        <v/>
      </c>
      <c r="K68" s="46" t="str">
        <f aca="false">IF($Q68="","",INDEX('Lançar Resultado'!$N$3:$N$2002,$Q68))</f>
        <v/>
      </c>
      <c r="L68" s="47" t="str">
        <f aca="false">IF($Q68="","",INDEX('Lançar Resultado'!$I$3:$I$2002,$Q68))</f>
        <v/>
      </c>
      <c r="M68" s="47" t="str">
        <f aca="false">IF($Q68="","",INDEX('Lançar Resultado'!$J$3:$J$2002,$Q68))</f>
        <v/>
      </c>
      <c r="N68" s="44" t="str">
        <f aca="false">IF($Q68="","",INDEX('Lançar Resultado'!$K$3:$K$2002,$Q68))</f>
        <v/>
      </c>
      <c r="O68" s="46" t="str">
        <f aca="false">IF($Q68="","",INDEX('Lançar Resultado'!$L$3:$L$2002,$Q68))</f>
        <v/>
      </c>
      <c r="P68" s="45" t="str">
        <f aca="false">IF($Q68="","",IF(OR($O68="Concluída",$N68=""),"",IF($N68&lt;INT(Parâmetros!$C$4),INT(Parâmetros!$C$4)-$N68,"")))</f>
        <v/>
      </c>
      <c r="Q68" s="45" t="str">
        <f aca="false">IFERROR(MATCH(66,'Lançar Resultado'!$Q$3:$Q$2002,0),"")</f>
        <v/>
      </c>
    </row>
    <row r="69" customFormat="false" ht="18" hidden="false" customHeight="true" outlineLevel="0" collapsed="false">
      <c r="A69" s="39" t="n">
        <v>67</v>
      </c>
      <c r="B69" s="47" t="str">
        <f aca="false">IF($Q69="","",INDEX('Lançar Resultado'!$A$3:$A$2002,$Q69))</f>
        <v/>
      </c>
      <c r="C69" s="44" t="str">
        <f aca="false">IF($Q69="","",INDEX('Lançar Resultado'!$B$3:$B$2002,$Q69))</f>
        <v/>
      </c>
      <c r="D69" s="46" t="str">
        <f aca="false">IF($Q69="","",IF(SUMPRODUCT((Inspeções!$B$3:$B$122=$B69)*(Inspeções!$A$3:$A$122=$C69)*(ROW(Inspeções!$B$3:$B$122)-3+1))=0,"",INDEX(Inspeções!$C$3:$C$122,SUMPRODUCT((Inspeções!$B$3:$B$122=$B69)*(Inspeções!$A$3:$A$122=$C69)*(ROW(Inspeções!$B$3:$B$122)-3+1)))))</f>
        <v/>
      </c>
      <c r="E69" s="47" t="str">
        <f aca="false">IF($Q69="","",INDEX('Lançar Resultado'!$C$3:$C$2002,$Q69))</f>
        <v/>
      </c>
      <c r="F69" s="47" t="str">
        <f aca="false">IF($Q69="","",IFERROR(INDEX(Equipamentos!$E$3:$E$52,MATCH($B69,Equipamentos!$A$3:$A$52,0)),""))</f>
        <v/>
      </c>
      <c r="G69" s="47" t="str">
        <f aca="false">IF($Q69="","",INDEX('Lançar Resultado'!$D$3:$D$2002,$Q69))</f>
        <v/>
      </c>
      <c r="H69" s="47" t="str">
        <f aca="false">IF($Q69="","",INDEX('Lançar Resultado'!$E$3:$E$2002,$Q69))</f>
        <v/>
      </c>
      <c r="I69" s="46" t="str">
        <f aca="false">IF($Q69="","",INDEX('Lançar Resultado'!$G$3:$G$2002,$Q69))</f>
        <v/>
      </c>
      <c r="J69" s="45" t="str">
        <f aca="false">IF($Q69="","",INDEX('Lançar Resultado'!$P$3:$P$2002,$Q69))</f>
        <v/>
      </c>
      <c r="K69" s="46" t="str">
        <f aca="false">IF($Q69="","",INDEX('Lançar Resultado'!$N$3:$N$2002,$Q69))</f>
        <v/>
      </c>
      <c r="L69" s="47" t="str">
        <f aca="false">IF($Q69="","",INDEX('Lançar Resultado'!$I$3:$I$2002,$Q69))</f>
        <v/>
      </c>
      <c r="M69" s="47" t="str">
        <f aca="false">IF($Q69="","",INDEX('Lançar Resultado'!$J$3:$J$2002,$Q69))</f>
        <v/>
      </c>
      <c r="N69" s="44" t="str">
        <f aca="false">IF($Q69="","",INDEX('Lançar Resultado'!$K$3:$K$2002,$Q69))</f>
        <v/>
      </c>
      <c r="O69" s="46" t="str">
        <f aca="false">IF($Q69="","",INDEX('Lançar Resultado'!$L$3:$L$2002,$Q69))</f>
        <v/>
      </c>
      <c r="P69" s="45" t="str">
        <f aca="false">IF($Q69="","",IF(OR($O69="Concluída",$N69=""),"",IF($N69&lt;INT(Parâmetros!$C$4),INT(Parâmetros!$C$4)-$N69,"")))</f>
        <v/>
      </c>
      <c r="Q69" s="45" t="str">
        <f aca="false">IFERROR(MATCH(67,'Lançar Resultado'!$Q$3:$Q$2002,0),"")</f>
        <v/>
      </c>
    </row>
    <row r="70" customFormat="false" ht="18" hidden="false" customHeight="true" outlineLevel="0" collapsed="false">
      <c r="A70" s="39" t="n">
        <v>68</v>
      </c>
      <c r="B70" s="47" t="str">
        <f aca="false">IF($Q70="","",INDEX('Lançar Resultado'!$A$3:$A$2002,$Q70))</f>
        <v/>
      </c>
      <c r="C70" s="44" t="str">
        <f aca="false">IF($Q70="","",INDEX('Lançar Resultado'!$B$3:$B$2002,$Q70))</f>
        <v/>
      </c>
      <c r="D70" s="46" t="str">
        <f aca="false">IF($Q70="","",IF(SUMPRODUCT((Inspeções!$B$3:$B$122=$B70)*(Inspeções!$A$3:$A$122=$C70)*(ROW(Inspeções!$B$3:$B$122)-3+1))=0,"",INDEX(Inspeções!$C$3:$C$122,SUMPRODUCT((Inspeções!$B$3:$B$122=$B70)*(Inspeções!$A$3:$A$122=$C70)*(ROW(Inspeções!$B$3:$B$122)-3+1)))))</f>
        <v/>
      </c>
      <c r="E70" s="47" t="str">
        <f aca="false">IF($Q70="","",INDEX('Lançar Resultado'!$C$3:$C$2002,$Q70))</f>
        <v/>
      </c>
      <c r="F70" s="47" t="str">
        <f aca="false">IF($Q70="","",IFERROR(INDEX(Equipamentos!$E$3:$E$52,MATCH($B70,Equipamentos!$A$3:$A$52,0)),""))</f>
        <v/>
      </c>
      <c r="G70" s="47" t="str">
        <f aca="false">IF($Q70="","",INDEX('Lançar Resultado'!$D$3:$D$2002,$Q70))</f>
        <v/>
      </c>
      <c r="H70" s="47" t="str">
        <f aca="false">IF($Q70="","",INDEX('Lançar Resultado'!$E$3:$E$2002,$Q70))</f>
        <v/>
      </c>
      <c r="I70" s="46" t="str">
        <f aca="false">IF($Q70="","",INDEX('Lançar Resultado'!$G$3:$G$2002,$Q70))</f>
        <v/>
      </c>
      <c r="J70" s="45" t="str">
        <f aca="false">IF($Q70="","",INDEX('Lançar Resultado'!$P$3:$P$2002,$Q70))</f>
        <v/>
      </c>
      <c r="K70" s="46" t="str">
        <f aca="false">IF($Q70="","",INDEX('Lançar Resultado'!$N$3:$N$2002,$Q70))</f>
        <v/>
      </c>
      <c r="L70" s="47" t="str">
        <f aca="false">IF($Q70="","",INDEX('Lançar Resultado'!$I$3:$I$2002,$Q70))</f>
        <v/>
      </c>
      <c r="M70" s="47" t="str">
        <f aca="false">IF($Q70="","",INDEX('Lançar Resultado'!$J$3:$J$2002,$Q70))</f>
        <v/>
      </c>
      <c r="N70" s="44" t="str">
        <f aca="false">IF($Q70="","",INDEX('Lançar Resultado'!$K$3:$K$2002,$Q70))</f>
        <v/>
      </c>
      <c r="O70" s="46" t="str">
        <f aca="false">IF($Q70="","",INDEX('Lançar Resultado'!$L$3:$L$2002,$Q70))</f>
        <v/>
      </c>
      <c r="P70" s="45" t="str">
        <f aca="false">IF($Q70="","",IF(OR($O70="Concluída",$N70=""),"",IF($N70&lt;INT(Parâmetros!$C$4),INT(Parâmetros!$C$4)-$N70,"")))</f>
        <v/>
      </c>
      <c r="Q70" s="45" t="str">
        <f aca="false">IFERROR(MATCH(68,'Lançar Resultado'!$Q$3:$Q$2002,0),"")</f>
        <v/>
      </c>
    </row>
    <row r="71" customFormat="false" ht="18" hidden="false" customHeight="true" outlineLevel="0" collapsed="false">
      <c r="A71" s="39" t="n">
        <v>69</v>
      </c>
      <c r="B71" s="47" t="str">
        <f aca="false">IF($Q71="","",INDEX('Lançar Resultado'!$A$3:$A$2002,$Q71))</f>
        <v/>
      </c>
      <c r="C71" s="44" t="str">
        <f aca="false">IF($Q71="","",INDEX('Lançar Resultado'!$B$3:$B$2002,$Q71))</f>
        <v/>
      </c>
      <c r="D71" s="46" t="str">
        <f aca="false">IF($Q71="","",IF(SUMPRODUCT((Inspeções!$B$3:$B$122=$B71)*(Inspeções!$A$3:$A$122=$C71)*(ROW(Inspeções!$B$3:$B$122)-3+1))=0,"",INDEX(Inspeções!$C$3:$C$122,SUMPRODUCT((Inspeções!$B$3:$B$122=$B71)*(Inspeções!$A$3:$A$122=$C71)*(ROW(Inspeções!$B$3:$B$122)-3+1)))))</f>
        <v/>
      </c>
      <c r="E71" s="47" t="str">
        <f aca="false">IF($Q71="","",INDEX('Lançar Resultado'!$C$3:$C$2002,$Q71))</f>
        <v/>
      </c>
      <c r="F71" s="47" t="str">
        <f aca="false">IF($Q71="","",IFERROR(INDEX(Equipamentos!$E$3:$E$52,MATCH($B71,Equipamentos!$A$3:$A$52,0)),""))</f>
        <v/>
      </c>
      <c r="G71" s="47" t="str">
        <f aca="false">IF($Q71="","",INDEX('Lançar Resultado'!$D$3:$D$2002,$Q71))</f>
        <v/>
      </c>
      <c r="H71" s="47" t="str">
        <f aca="false">IF($Q71="","",INDEX('Lançar Resultado'!$E$3:$E$2002,$Q71))</f>
        <v/>
      </c>
      <c r="I71" s="46" t="str">
        <f aca="false">IF($Q71="","",INDEX('Lançar Resultado'!$G$3:$G$2002,$Q71))</f>
        <v/>
      </c>
      <c r="J71" s="45" t="str">
        <f aca="false">IF($Q71="","",INDEX('Lançar Resultado'!$P$3:$P$2002,$Q71))</f>
        <v/>
      </c>
      <c r="K71" s="46" t="str">
        <f aca="false">IF($Q71="","",INDEX('Lançar Resultado'!$N$3:$N$2002,$Q71))</f>
        <v/>
      </c>
      <c r="L71" s="47" t="str">
        <f aca="false">IF($Q71="","",INDEX('Lançar Resultado'!$I$3:$I$2002,$Q71))</f>
        <v/>
      </c>
      <c r="M71" s="47" t="str">
        <f aca="false">IF($Q71="","",INDEX('Lançar Resultado'!$J$3:$J$2002,$Q71))</f>
        <v/>
      </c>
      <c r="N71" s="44" t="str">
        <f aca="false">IF($Q71="","",INDEX('Lançar Resultado'!$K$3:$K$2002,$Q71))</f>
        <v/>
      </c>
      <c r="O71" s="46" t="str">
        <f aca="false">IF($Q71="","",INDEX('Lançar Resultado'!$L$3:$L$2002,$Q71))</f>
        <v/>
      </c>
      <c r="P71" s="45" t="str">
        <f aca="false">IF($Q71="","",IF(OR($O71="Concluída",$N71=""),"",IF($N71&lt;INT(Parâmetros!$C$4),INT(Parâmetros!$C$4)-$N71,"")))</f>
        <v/>
      </c>
      <c r="Q71" s="45" t="str">
        <f aca="false">IFERROR(MATCH(69,'Lançar Resultado'!$Q$3:$Q$2002,0),"")</f>
        <v/>
      </c>
    </row>
    <row r="72" customFormat="false" ht="18" hidden="false" customHeight="true" outlineLevel="0" collapsed="false">
      <c r="A72" s="39" t="n">
        <v>70</v>
      </c>
      <c r="B72" s="47" t="str">
        <f aca="false">IF($Q72="","",INDEX('Lançar Resultado'!$A$3:$A$2002,$Q72))</f>
        <v/>
      </c>
      <c r="C72" s="44" t="str">
        <f aca="false">IF($Q72="","",INDEX('Lançar Resultado'!$B$3:$B$2002,$Q72))</f>
        <v/>
      </c>
      <c r="D72" s="46" t="str">
        <f aca="false">IF($Q72="","",IF(SUMPRODUCT((Inspeções!$B$3:$B$122=$B72)*(Inspeções!$A$3:$A$122=$C72)*(ROW(Inspeções!$B$3:$B$122)-3+1))=0,"",INDEX(Inspeções!$C$3:$C$122,SUMPRODUCT((Inspeções!$B$3:$B$122=$B72)*(Inspeções!$A$3:$A$122=$C72)*(ROW(Inspeções!$B$3:$B$122)-3+1)))))</f>
        <v/>
      </c>
      <c r="E72" s="47" t="str">
        <f aca="false">IF($Q72="","",INDEX('Lançar Resultado'!$C$3:$C$2002,$Q72))</f>
        <v/>
      </c>
      <c r="F72" s="47" t="str">
        <f aca="false">IF($Q72="","",IFERROR(INDEX(Equipamentos!$E$3:$E$52,MATCH($B72,Equipamentos!$A$3:$A$52,0)),""))</f>
        <v/>
      </c>
      <c r="G72" s="47" t="str">
        <f aca="false">IF($Q72="","",INDEX('Lançar Resultado'!$D$3:$D$2002,$Q72))</f>
        <v/>
      </c>
      <c r="H72" s="47" t="str">
        <f aca="false">IF($Q72="","",INDEX('Lançar Resultado'!$E$3:$E$2002,$Q72))</f>
        <v/>
      </c>
      <c r="I72" s="46" t="str">
        <f aca="false">IF($Q72="","",INDEX('Lançar Resultado'!$G$3:$G$2002,$Q72))</f>
        <v/>
      </c>
      <c r="J72" s="45" t="str">
        <f aca="false">IF($Q72="","",INDEX('Lançar Resultado'!$P$3:$P$2002,$Q72))</f>
        <v/>
      </c>
      <c r="K72" s="46" t="str">
        <f aca="false">IF($Q72="","",INDEX('Lançar Resultado'!$N$3:$N$2002,$Q72))</f>
        <v/>
      </c>
      <c r="L72" s="47" t="str">
        <f aca="false">IF($Q72="","",INDEX('Lançar Resultado'!$I$3:$I$2002,$Q72))</f>
        <v/>
      </c>
      <c r="M72" s="47" t="str">
        <f aca="false">IF($Q72="","",INDEX('Lançar Resultado'!$J$3:$J$2002,$Q72))</f>
        <v/>
      </c>
      <c r="N72" s="44" t="str">
        <f aca="false">IF($Q72="","",INDEX('Lançar Resultado'!$K$3:$K$2002,$Q72))</f>
        <v/>
      </c>
      <c r="O72" s="46" t="str">
        <f aca="false">IF($Q72="","",INDEX('Lançar Resultado'!$L$3:$L$2002,$Q72))</f>
        <v/>
      </c>
      <c r="P72" s="45" t="str">
        <f aca="false">IF($Q72="","",IF(OR($O72="Concluída",$N72=""),"",IF($N72&lt;INT(Parâmetros!$C$4),INT(Parâmetros!$C$4)-$N72,"")))</f>
        <v/>
      </c>
      <c r="Q72" s="45" t="str">
        <f aca="false">IFERROR(MATCH(70,'Lançar Resultado'!$Q$3:$Q$2002,0),"")</f>
        <v/>
      </c>
    </row>
    <row r="73" customFormat="false" ht="18" hidden="false" customHeight="true" outlineLevel="0" collapsed="false">
      <c r="A73" s="39" t="n">
        <v>71</v>
      </c>
      <c r="B73" s="47" t="str">
        <f aca="false">IF($Q73="","",INDEX('Lançar Resultado'!$A$3:$A$2002,$Q73))</f>
        <v/>
      </c>
      <c r="C73" s="44" t="str">
        <f aca="false">IF($Q73="","",INDEX('Lançar Resultado'!$B$3:$B$2002,$Q73))</f>
        <v/>
      </c>
      <c r="D73" s="46" t="str">
        <f aca="false">IF($Q73="","",IF(SUMPRODUCT((Inspeções!$B$3:$B$122=$B73)*(Inspeções!$A$3:$A$122=$C73)*(ROW(Inspeções!$B$3:$B$122)-3+1))=0,"",INDEX(Inspeções!$C$3:$C$122,SUMPRODUCT((Inspeções!$B$3:$B$122=$B73)*(Inspeções!$A$3:$A$122=$C73)*(ROW(Inspeções!$B$3:$B$122)-3+1)))))</f>
        <v/>
      </c>
      <c r="E73" s="47" t="str">
        <f aca="false">IF($Q73="","",INDEX('Lançar Resultado'!$C$3:$C$2002,$Q73))</f>
        <v/>
      </c>
      <c r="F73" s="47" t="str">
        <f aca="false">IF($Q73="","",IFERROR(INDEX(Equipamentos!$E$3:$E$52,MATCH($B73,Equipamentos!$A$3:$A$52,0)),""))</f>
        <v/>
      </c>
      <c r="G73" s="47" t="str">
        <f aca="false">IF($Q73="","",INDEX('Lançar Resultado'!$D$3:$D$2002,$Q73))</f>
        <v/>
      </c>
      <c r="H73" s="47" t="str">
        <f aca="false">IF($Q73="","",INDEX('Lançar Resultado'!$E$3:$E$2002,$Q73))</f>
        <v/>
      </c>
      <c r="I73" s="46" t="str">
        <f aca="false">IF($Q73="","",INDEX('Lançar Resultado'!$G$3:$G$2002,$Q73))</f>
        <v/>
      </c>
      <c r="J73" s="45" t="str">
        <f aca="false">IF($Q73="","",INDEX('Lançar Resultado'!$P$3:$P$2002,$Q73))</f>
        <v/>
      </c>
      <c r="K73" s="46" t="str">
        <f aca="false">IF($Q73="","",INDEX('Lançar Resultado'!$N$3:$N$2002,$Q73))</f>
        <v/>
      </c>
      <c r="L73" s="47" t="str">
        <f aca="false">IF($Q73="","",INDEX('Lançar Resultado'!$I$3:$I$2002,$Q73))</f>
        <v/>
      </c>
      <c r="M73" s="47" t="str">
        <f aca="false">IF($Q73="","",INDEX('Lançar Resultado'!$J$3:$J$2002,$Q73))</f>
        <v/>
      </c>
      <c r="N73" s="44" t="str">
        <f aca="false">IF($Q73="","",INDEX('Lançar Resultado'!$K$3:$K$2002,$Q73))</f>
        <v/>
      </c>
      <c r="O73" s="46" t="str">
        <f aca="false">IF($Q73="","",INDEX('Lançar Resultado'!$L$3:$L$2002,$Q73))</f>
        <v/>
      </c>
      <c r="P73" s="45" t="str">
        <f aca="false">IF($Q73="","",IF(OR($O73="Concluída",$N73=""),"",IF($N73&lt;INT(Parâmetros!$C$4),INT(Parâmetros!$C$4)-$N73,"")))</f>
        <v/>
      </c>
      <c r="Q73" s="45" t="str">
        <f aca="false">IFERROR(MATCH(71,'Lançar Resultado'!$Q$3:$Q$2002,0),"")</f>
        <v/>
      </c>
    </row>
    <row r="74" customFormat="false" ht="18" hidden="false" customHeight="true" outlineLevel="0" collapsed="false">
      <c r="A74" s="39" t="n">
        <v>72</v>
      </c>
      <c r="B74" s="47" t="str">
        <f aca="false">IF($Q74="","",INDEX('Lançar Resultado'!$A$3:$A$2002,$Q74))</f>
        <v/>
      </c>
      <c r="C74" s="44" t="str">
        <f aca="false">IF($Q74="","",INDEX('Lançar Resultado'!$B$3:$B$2002,$Q74))</f>
        <v/>
      </c>
      <c r="D74" s="46" t="str">
        <f aca="false">IF($Q74="","",IF(SUMPRODUCT((Inspeções!$B$3:$B$122=$B74)*(Inspeções!$A$3:$A$122=$C74)*(ROW(Inspeções!$B$3:$B$122)-3+1))=0,"",INDEX(Inspeções!$C$3:$C$122,SUMPRODUCT((Inspeções!$B$3:$B$122=$B74)*(Inspeções!$A$3:$A$122=$C74)*(ROW(Inspeções!$B$3:$B$122)-3+1)))))</f>
        <v/>
      </c>
      <c r="E74" s="47" t="str">
        <f aca="false">IF($Q74="","",INDEX('Lançar Resultado'!$C$3:$C$2002,$Q74))</f>
        <v/>
      </c>
      <c r="F74" s="47" t="str">
        <f aca="false">IF($Q74="","",IFERROR(INDEX(Equipamentos!$E$3:$E$52,MATCH($B74,Equipamentos!$A$3:$A$52,0)),""))</f>
        <v/>
      </c>
      <c r="G74" s="47" t="str">
        <f aca="false">IF($Q74="","",INDEX('Lançar Resultado'!$D$3:$D$2002,$Q74))</f>
        <v/>
      </c>
      <c r="H74" s="47" t="str">
        <f aca="false">IF($Q74="","",INDEX('Lançar Resultado'!$E$3:$E$2002,$Q74))</f>
        <v/>
      </c>
      <c r="I74" s="46" t="str">
        <f aca="false">IF($Q74="","",INDEX('Lançar Resultado'!$G$3:$G$2002,$Q74))</f>
        <v/>
      </c>
      <c r="J74" s="45" t="str">
        <f aca="false">IF($Q74="","",INDEX('Lançar Resultado'!$P$3:$P$2002,$Q74))</f>
        <v/>
      </c>
      <c r="K74" s="46" t="str">
        <f aca="false">IF($Q74="","",INDEX('Lançar Resultado'!$N$3:$N$2002,$Q74))</f>
        <v/>
      </c>
      <c r="L74" s="47" t="str">
        <f aca="false">IF($Q74="","",INDEX('Lançar Resultado'!$I$3:$I$2002,$Q74))</f>
        <v/>
      </c>
      <c r="M74" s="47" t="str">
        <f aca="false">IF($Q74="","",INDEX('Lançar Resultado'!$J$3:$J$2002,$Q74))</f>
        <v/>
      </c>
      <c r="N74" s="44" t="str">
        <f aca="false">IF($Q74="","",INDEX('Lançar Resultado'!$K$3:$K$2002,$Q74))</f>
        <v/>
      </c>
      <c r="O74" s="46" t="str">
        <f aca="false">IF($Q74="","",INDEX('Lançar Resultado'!$L$3:$L$2002,$Q74))</f>
        <v/>
      </c>
      <c r="P74" s="45" t="str">
        <f aca="false">IF($Q74="","",IF(OR($O74="Concluída",$N74=""),"",IF($N74&lt;INT(Parâmetros!$C$4),INT(Parâmetros!$C$4)-$N74,"")))</f>
        <v/>
      </c>
      <c r="Q74" s="45" t="str">
        <f aca="false">IFERROR(MATCH(72,'Lançar Resultado'!$Q$3:$Q$2002,0),"")</f>
        <v/>
      </c>
    </row>
    <row r="75" customFormat="false" ht="18" hidden="false" customHeight="true" outlineLevel="0" collapsed="false">
      <c r="A75" s="39" t="n">
        <v>73</v>
      </c>
      <c r="B75" s="47" t="str">
        <f aca="false">IF($Q75="","",INDEX('Lançar Resultado'!$A$3:$A$2002,$Q75))</f>
        <v/>
      </c>
      <c r="C75" s="44" t="str">
        <f aca="false">IF($Q75="","",INDEX('Lançar Resultado'!$B$3:$B$2002,$Q75))</f>
        <v/>
      </c>
      <c r="D75" s="46" t="str">
        <f aca="false">IF($Q75="","",IF(SUMPRODUCT((Inspeções!$B$3:$B$122=$B75)*(Inspeções!$A$3:$A$122=$C75)*(ROW(Inspeções!$B$3:$B$122)-3+1))=0,"",INDEX(Inspeções!$C$3:$C$122,SUMPRODUCT((Inspeções!$B$3:$B$122=$B75)*(Inspeções!$A$3:$A$122=$C75)*(ROW(Inspeções!$B$3:$B$122)-3+1)))))</f>
        <v/>
      </c>
      <c r="E75" s="47" t="str">
        <f aca="false">IF($Q75="","",INDEX('Lançar Resultado'!$C$3:$C$2002,$Q75))</f>
        <v/>
      </c>
      <c r="F75" s="47" t="str">
        <f aca="false">IF($Q75="","",IFERROR(INDEX(Equipamentos!$E$3:$E$52,MATCH($B75,Equipamentos!$A$3:$A$52,0)),""))</f>
        <v/>
      </c>
      <c r="G75" s="47" t="str">
        <f aca="false">IF($Q75="","",INDEX('Lançar Resultado'!$D$3:$D$2002,$Q75))</f>
        <v/>
      </c>
      <c r="H75" s="47" t="str">
        <f aca="false">IF($Q75="","",INDEX('Lançar Resultado'!$E$3:$E$2002,$Q75))</f>
        <v/>
      </c>
      <c r="I75" s="46" t="str">
        <f aca="false">IF($Q75="","",INDEX('Lançar Resultado'!$G$3:$G$2002,$Q75))</f>
        <v/>
      </c>
      <c r="J75" s="45" t="str">
        <f aca="false">IF($Q75="","",INDEX('Lançar Resultado'!$P$3:$P$2002,$Q75))</f>
        <v/>
      </c>
      <c r="K75" s="46" t="str">
        <f aca="false">IF($Q75="","",INDEX('Lançar Resultado'!$N$3:$N$2002,$Q75))</f>
        <v/>
      </c>
      <c r="L75" s="47" t="str">
        <f aca="false">IF($Q75="","",INDEX('Lançar Resultado'!$I$3:$I$2002,$Q75))</f>
        <v/>
      </c>
      <c r="M75" s="47" t="str">
        <f aca="false">IF($Q75="","",INDEX('Lançar Resultado'!$J$3:$J$2002,$Q75))</f>
        <v/>
      </c>
      <c r="N75" s="44" t="str">
        <f aca="false">IF($Q75="","",INDEX('Lançar Resultado'!$K$3:$K$2002,$Q75))</f>
        <v/>
      </c>
      <c r="O75" s="46" t="str">
        <f aca="false">IF($Q75="","",INDEX('Lançar Resultado'!$L$3:$L$2002,$Q75))</f>
        <v/>
      </c>
      <c r="P75" s="45" t="str">
        <f aca="false">IF($Q75="","",IF(OR($O75="Concluída",$N75=""),"",IF($N75&lt;INT(Parâmetros!$C$4),INT(Parâmetros!$C$4)-$N75,"")))</f>
        <v/>
      </c>
      <c r="Q75" s="45" t="str">
        <f aca="false">IFERROR(MATCH(73,'Lançar Resultado'!$Q$3:$Q$2002,0),"")</f>
        <v/>
      </c>
    </row>
    <row r="76" customFormat="false" ht="18" hidden="false" customHeight="true" outlineLevel="0" collapsed="false">
      <c r="A76" s="39" t="n">
        <v>74</v>
      </c>
      <c r="B76" s="47" t="str">
        <f aca="false">IF($Q76="","",INDEX('Lançar Resultado'!$A$3:$A$2002,$Q76))</f>
        <v/>
      </c>
      <c r="C76" s="44" t="str">
        <f aca="false">IF($Q76="","",INDEX('Lançar Resultado'!$B$3:$B$2002,$Q76))</f>
        <v/>
      </c>
      <c r="D76" s="46" t="str">
        <f aca="false">IF($Q76="","",IF(SUMPRODUCT((Inspeções!$B$3:$B$122=$B76)*(Inspeções!$A$3:$A$122=$C76)*(ROW(Inspeções!$B$3:$B$122)-3+1))=0,"",INDEX(Inspeções!$C$3:$C$122,SUMPRODUCT((Inspeções!$B$3:$B$122=$B76)*(Inspeções!$A$3:$A$122=$C76)*(ROW(Inspeções!$B$3:$B$122)-3+1)))))</f>
        <v/>
      </c>
      <c r="E76" s="47" t="str">
        <f aca="false">IF($Q76="","",INDEX('Lançar Resultado'!$C$3:$C$2002,$Q76))</f>
        <v/>
      </c>
      <c r="F76" s="47" t="str">
        <f aca="false">IF($Q76="","",IFERROR(INDEX(Equipamentos!$E$3:$E$52,MATCH($B76,Equipamentos!$A$3:$A$52,0)),""))</f>
        <v/>
      </c>
      <c r="G76" s="47" t="str">
        <f aca="false">IF($Q76="","",INDEX('Lançar Resultado'!$D$3:$D$2002,$Q76))</f>
        <v/>
      </c>
      <c r="H76" s="47" t="str">
        <f aca="false">IF($Q76="","",INDEX('Lançar Resultado'!$E$3:$E$2002,$Q76))</f>
        <v/>
      </c>
      <c r="I76" s="46" t="str">
        <f aca="false">IF($Q76="","",INDEX('Lançar Resultado'!$G$3:$G$2002,$Q76))</f>
        <v/>
      </c>
      <c r="J76" s="45" t="str">
        <f aca="false">IF($Q76="","",INDEX('Lançar Resultado'!$P$3:$P$2002,$Q76))</f>
        <v/>
      </c>
      <c r="K76" s="46" t="str">
        <f aca="false">IF($Q76="","",INDEX('Lançar Resultado'!$N$3:$N$2002,$Q76))</f>
        <v/>
      </c>
      <c r="L76" s="47" t="str">
        <f aca="false">IF($Q76="","",INDEX('Lançar Resultado'!$I$3:$I$2002,$Q76))</f>
        <v/>
      </c>
      <c r="M76" s="47" t="str">
        <f aca="false">IF($Q76="","",INDEX('Lançar Resultado'!$J$3:$J$2002,$Q76))</f>
        <v/>
      </c>
      <c r="N76" s="44" t="str">
        <f aca="false">IF($Q76="","",INDEX('Lançar Resultado'!$K$3:$K$2002,$Q76))</f>
        <v/>
      </c>
      <c r="O76" s="46" t="str">
        <f aca="false">IF($Q76="","",INDEX('Lançar Resultado'!$L$3:$L$2002,$Q76))</f>
        <v/>
      </c>
      <c r="P76" s="45" t="str">
        <f aca="false">IF($Q76="","",IF(OR($O76="Concluída",$N76=""),"",IF($N76&lt;INT(Parâmetros!$C$4),INT(Parâmetros!$C$4)-$N76,"")))</f>
        <v/>
      </c>
      <c r="Q76" s="45" t="str">
        <f aca="false">IFERROR(MATCH(74,'Lançar Resultado'!$Q$3:$Q$2002,0),"")</f>
        <v/>
      </c>
    </row>
    <row r="77" customFormat="false" ht="18" hidden="false" customHeight="true" outlineLevel="0" collapsed="false">
      <c r="A77" s="39" t="n">
        <v>75</v>
      </c>
      <c r="B77" s="47" t="str">
        <f aca="false">IF($Q77="","",INDEX('Lançar Resultado'!$A$3:$A$2002,$Q77))</f>
        <v/>
      </c>
      <c r="C77" s="44" t="str">
        <f aca="false">IF($Q77="","",INDEX('Lançar Resultado'!$B$3:$B$2002,$Q77))</f>
        <v/>
      </c>
      <c r="D77" s="46" t="str">
        <f aca="false">IF($Q77="","",IF(SUMPRODUCT((Inspeções!$B$3:$B$122=$B77)*(Inspeções!$A$3:$A$122=$C77)*(ROW(Inspeções!$B$3:$B$122)-3+1))=0,"",INDEX(Inspeções!$C$3:$C$122,SUMPRODUCT((Inspeções!$B$3:$B$122=$B77)*(Inspeções!$A$3:$A$122=$C77)*(ROW(Inspeções!$B$3:$B$122)-3+1)))))</f>
        <v/>
      </c>
      <c r="E77" s="47" t="str">
        <f aca="false">IF($Q77="","",INDEX('Lançar Resultado'!$C$3:$C$2002,$Q77))</f>
        <v/>
      </c>
      <c r="F77" s="47" t="str">
        <f aca="false">IF($Q77="","",IFERROR(INDEX(Equipamentos!$E$3:$E$52,MATCH($B77,Equipamentos!$A$3:$A$52,0)),""))</f>
        <v/>
      </c>
      <c r="G77" s="47" t="str">
        <f aca="false">IF($Q77="","",INDEX('Lançar Resultado'!$D$3:$D$2002,$Q77))</f>
        <v/>
      </c>
      <c r="H77" s="47" t="str">
        <f aca="false">IF($Q77="","",INDEX('Lançar Resultado'!$E$3:$E$2002,$Q77))</f>
        <v/>
      </c>
      <c r="I77" s="46" t="str">
        <f aca="false">IF($Q77="","",INDEX('Lançar Resultado'!$G$3:$G$2002,$Q77))</f>
        <v/>
      </c>
      <c r="J77" s="45" t="str">
        <f aca="false">IF($Q77="","",INDEX('Lançar Resultado'!$P$3:$P$2002,$Q77))</f>
        <v/>
      </c>
      <c r="K77" s="46" t="str">
        <f aca="false">IF($Q77="","",INDEX('Lançar Resultado'!$N$3:$N$2002,$Q77))</f>
        <v/>
      </c>
      <c r="L77" s="47" t="str">
        <f aca="false">IF($Q77="","",INDEX('Lançar Resultado'!$I$3:$I$2002,$Q77))</f>
        <v/>
      </c>
      <c r="M77" s="47" t="str">
        <f aca="false">IF($Q77="","",INDEX('Lançar Resultado'!$J$3:$J$2002,$Q77))</f>
        <v/>
      </c>
      <c r="N77" s="44" t="str">
        <f aca="false">IF($Q77="","",INDEX('Lançar Resultado'!$K$3:$K$2002,$Q77))</f>
        <v/>
      </c>
      <c r="O77" s="46" t="str">
        <f aca="false">IF($Q77="","",INDEX('Lançar Resultado'!$L$3:$L$2002,$Q77))</f>
        <v/>
      </c>
      <c r="P77" s="45" t="str">
        <f aca="false">IF($Q77="","",IF(OR($O77="Concluída",$N77=""),"",IF($N77&lt;INT(Parâmetros!$C$4),INT(Parâmetros!$C$4)-$N77,"")))</f>
        <v/>
      </c>
      <c r="Q77" s="45" t="str">
        <f aca="false">IFERROR(MATCH(75,'Lançar Resultado'!$Q$3:$Q$2002,0),"")</f>
        <v/>
      </c>
    </row>
    <row r="78" customFormat="false" ht="18" hidden="false" customHeight="true" outlineLevel="0" collapsed="false">
      <c r="A78" s="39" t="n">
        <v>76</v>
      </c>
      <c r="B78" s="47" t="str">
        <f aca="false">IF($Q78="","",INDEX('Lançar Resultado'!$A$3:$A$2002,$Q78))</f>
        <v/>
      </c>
      <c r="C78" s="44" t="str">
        <f aca="false">IF($Q78="","",INDEX('Lançar Resultado'!$B$3:$B$2002,$Q78))</f>
        <v/>
      </c>
      <c r="D78" s="46" t="str">
        <f aca="false">IF($Q78="","",IF(SUMPRODUCT((Inspeções!$B$3:$B$122=$B78)*(Inspeções!$A$3:$A$122=$C78)*(ROW(Inspeções!$B$3:$B$122)-3+1))=0,"",INDEX(Inspeções!$C$3:$C$122,SUMPRODUCT((Inspeções!$B$3:$B$122=$B78)*(Inspeções!$A$3:$A$122=$C78)*(ROW(Inspeções!$B$3:$B$122)-3+1)))))</f>
        <v/>
      </c>
      <c r="E78" s="47" t="str">
        <f aca="false">IF($Q78="","",INDEX('Lançar Resultado'!$C$3:$C$2002,$Q78))</f>
        <v/>
      </c>
      <c r="F78" s="47" t="str">
        <f aca="false">IF($Q78="","",IFERROR(INDEX(Equipamentos!$E$3:$E$52,MATCH($B78,Equipamentos!$A$3:$A$52,0)),""))</f>
        <v/>
      </c>
      <c r="G78" s="47" t="str">
        <f aca="false">IF($Q78="","",INDEX('Lançar Resultado'!$D$3:$D$2002,$Q78))</f>
        <v/>
      </c>
      <c r="H78" s="47" t="str">
        <f aca="false">IF($Q78="","",INDEX('Lançar Resultado'!$E$3:$E$2002,$Q78))</f>
        <v/>
      </c>
      <c r="I78" s="46" t="str">
        <f aca="false">IF($Q78="","",INDEX('Lançar Resultado'!$G$3:$G$2002,$Q78))</f>
        <v/>
      </c>
      <c r="J78" s="45" t="str">
        <f aca="false">IF($Q78="","",INDEX('Lançar Resultado'!$P$3:$P$2002,$Q78))</f>
        <v/>
      </c>
      <c r="K78" s="46" t="str">
        <f aca="false">IF($Q78="","",INDEX('Lançar Resultado'!$N$3:$N$2002,$Q78))</f>
        <v/>
      </c>
      <c r="L78" s="47" t="str">
        <f aca="false">IF($Q78="","",INDEX('Lançar Resultado'!$I$3:$I$2002,$Q78))</f>
        <v/>
      </c>
      <c r="M78" s="47" t="str">
        <f aca="false">IF($Q78="","",INDEX('Lançar Resultado'!$J$3:$J$2002,$Q78))</f>
        <v/>
      </c>
      <c r="N78" s="44" t="str">
        <f aca="false">IF($Q78="","",INDEX('Lançar Resultado'!$K$3:$K$2002,$Q78))</f>
        <v/>
      </c>
      <c r="O78" s="46" t="str">
        <f aca="false">IF($Q78="","",INDEX('Lançar Resultado'!$L$3:$L$2002,$Q78))</f>
        <v/>
      </c>
      <c r="P78" s="45" t="str">
        <f aca="false">IF($Q78="","",IF(OR($O78="Concluída",$N78=""),"",IF($N78&lt;INT(Parâmetros!$C$4),INT(Parâmetros!$C$4)-$N78,"")))</f>
        <v/>
      </c>
      <c r="Q78" s="45" t="str">
        <f aca="false">IFERROR(MATCH(76,'Lançar Resultado'!$Q$3:$Q$2002,0),"")</f>
        <v/>
      </c>
    </row>
    <row r="79" customFormat="false" ht="18" hidden="false" customHeight="true" outlineLevel="0" collapsed="false">
      <c r="A79" s="39" t="n">
        <v>77</v>
      </c>
      <c r="B79" s="47" t="str">
        <f aca="false">IF($Q79="","",INDEX('Lançar Resultado'!$A$3:$A$2002,$Q79))</f>
        <v/>
      </c>
      <c r="C79" s="44" t="str">
        <f aca="false">IF($Q79="","",INDEX('Lançar Resultado'!$B$3:$B$2002,$Q79))</f>
        <v/>
      </c>
      <c r="D79" s="46" t="str">
        <f aca="false">IF($Q79="","",IF(SUMPRODUCT((Inspeções!$B$3:$B$122=$B79)*(Inspeções!$A$3:$A$122=$C79)*(ROW(Inspeções!$B$3:$B$122)-3+1))=0,"",INDEX(Inspeções!$C$3:$C$122,SUMPRODUCT((Inspeções!$B$3:$B$122=$B79)*(Inspeções!$A$3:$A$122=$C79)*(ROW(Inspeções!$B$3:$B$122)-3+1)))))</f>
        <v/>
      </c>
      <c r="E79" s="47" t="str">
        <f aca="false">IF($Q79="","",INDEX('Lançar Resultado'!$C$3:$C$2002,$Q79))</f>
        <v/>
      </c>
      <c r="F79" s="47" t="str">
        <f aca="false">IF($Q79="","",IFERROR(INDEX(Equipamentos!$E$3:$E$52,MATCH($B79,Equipamentos!$A$3:$A$52,0)),""))</f>
        <v/>
      </c>
      <c r="G79" s="47" t="str">
        <f aca="false">IF($Q79="","",INDEX('Lançar Resultado'!$D$3:$D$2002,$Q79))</f>
        <v/>
      </c>
      <c r="H79" s="47" t="str">
        <f aca="false">IF($Q79="","",INDEX('Lançar Resultado'!$E$3:$E$2002,$Q79))</f>
        <v/>
      </c>
      <c r="I79" s="46" t="str">
        <f aca="false">IF($Q79="","",INDEX('Lançar Resultado'!$G$3:$G$2002,$Q79))</f>
        <v/>
      </c>
      <c r="J79" s="45" t="str">
        <f aca="false">IF($Q79="","",INDEX('Lançar Resultado'!$P$3:$P$2002,$Q79))</f>
        <v/>
      </c>
      <c r="K79" s="46" t="str">
        <f aca="false">IF($Q79="","",INDEX('Lançar Resultado'!$N$3:$N$2002,$Q79))</f>
        <v/>
      </c>
      <c r="L79" s="47" t="str">
        <f aca="false">IF($Q79="","",INDEX('Lançar Resultado'!$I$3:$I$2002,$Q79))</f>
        <v/>
      </c>
      <c r="M79" s="47" t="str">
        <f aca="false">IF($Q79="","",INDEX('Lançar Resultado'!$J$3:$J$2002,$Q79))</f>
        <v/>
      </c>
      <c r="N79" s="44" t="str">
        <f aca="false">IF($Q79="","",INDEX('Lançar Resultado'!$K$3:$K$2002,$Q79))</f>
        <v/>
      </c>
      <c r="O79" s="46" t="str">
        <f aca="false">IF($Q79="","",INDEX('Lançar Resultado'!$L$3:$L$2002,$Q79))</f>
        <v/>
      </c>
      <c r="P79" s="45" t="str">
        <f aca="false">IF($Q79="","",IF(OR($O79="Concluída",$N79=""),"",IF($N79&lt;INT(Parâmetros!$C$4),INT(Parâmetros!$C$4)-$N79,"")))</f>
        <v/>
      </c>
      <c r="Q79" s="45" t="str">
        <f aca="false">IFERROR(MATCH(77,'Lançar Resultado'!$Q$3:$Q$2002,0),"")</f>
        <v/>
      </c>
    </row>
    <row r="80" customFormat="false" ht="18" hidden="false" customHeight="true" outlineLevel="0" collapsed="false">
      <c r="A80" s="39" t="n">
        <v>78</v>
      </c>
      <c r="B80" s="47" t="str">
        <f aca="false">IF($Q80="","",INDEX('Lançar Resultado'!$A$3:$A$2002,$Q80))</f>
        <v/>
      </c>
      <c r="C80" s="44" t="str">
        <f aca="false">IF($Q80="","",INDEX('Lançar Resultado'!$B$3:$B$2002,$Q80))</f>
        <v/>
      </c>
      <c r="D80" s="46" t="str">
        <f aca="false">IF($Q80="","",IF(SUMPRODUCT((Inspeções!$B$3:$B$122=$B80)*(Inspeções!$A$3:$A$122=$C80)*(ROW(Inspeções!$B$3:$B$122)-3+1))=0,"",INDEX(Inspeções!$C$3:$C$122,SUMPRODUCT((Inspeções!$B$3:$B$122=$B80)*(Inspeções!$A$3:$A$122=$C80)*(ROW(Inspeções!$B$3:$B$122)-3+1)))))</f>
        <v/>
      </c>
      <c r="E80" s="47" t="str">
        <f aca="false">IF($Q80="","",INDEX('Lançar Resultado'!$C$3:$C$2002,$Q80))</f>
        <v/>
      </c>
      <c r="F80" s="47" t="str">
        <f aca="false">IF($Q80="","",IFERROR(INDEX(Equipamentos!$E$3:$E$52,MATCH($B80,Equipamentos!$A$3:$A$52,0)),""))</f>
        <v/>
      </c>
      <c r="G80" s="47" t="str">
        <f aca="false">IF($Q80="","",INDEX('Lançar Resultado'!$D$3:$D$2002,$Q80))</f>
        <v/>
      </c>
      <c r="H80" s="47" t="str">
        <f aca="false">IF($Q80="","",INDEX('Lançar Resultado'!$E$3:$E$2002,$Q80))</f>
        <v/>
      </c>
      <c r="I80" s="46" t="str">
        <f aca="false">IF($Q80="","",INDEX('Lançar Resultado'!$G$3:$G$2002,$Q80))</f>
        <v/>
      </c>
      <c r="J80" s="45" t="str">
        <f aca="false">IF($Q80="","",INDEX('Lançar Resultado'!$P$3:$P$2002,$Q80))</f>
        <v/>
      </c>
      <c r="K80" s="46" t="str">
        <f aca="false">IF($Q80="","",INDEX('Lançar Resultado'!$N$3:$N$2002,$Q80))</f>
        <v/>
      </c>
      <c r="L80" s="47" t="str">
        <f aca="false">IF($Q80="","",INDEX('Lançar Resultado'!$I$3:$I$2002,$Q80))</f>
        <v/>
      </c>
      <c r="M80" s="47" t="str">
        <f aca="false">IF($Q80="","",INDEX('Lançar Resultado'!$J$3:$J$2002,$Q80))</f>
        <v/>
      </c>
      <c r="N80" s="44" t="str">
        <f aca="false">IF($Q80="","",INDEX('Lançar Resultado'!$K$3:$K$2002,$Q80))</f>
        <v/>
      </c>
      <c r="O80" s="46" t="str">
        <f aca="false">IF($Q80="","",INDEX('Lançar Resultado'!$L$3:$L$2002,$Q80))</f>
        <v/>
      </c>
      <c r="P80" s="45" t="str">
        <f aca="false">IF($Q80="","",IF(OR($O80="Concluída",$N80=""),"",IF($N80&lt;INT(Parâmetros!$C$4),INT(Parâmetros!$C$4)-$N80,"")))</f>
        <v/>
      </c>
      <c r="Q80" s="45" t="str">
        <f aca="false">IFERROR(MATCH(78,'Lançar Resultado'!$Q$3:$Q$2002,0),"")</f>
        <v/>
      </c>
    </row>
    <row r="81" customFormat="false" ht="18" hidden="false" customHeight="true" outlineLevel="0" collapsed="false">
      <c r="A81" s="39" t="n">
        <v>79</v>
      </c>
      <c r="B81" s="47" t="str">
        <f aca="false">IF($Q81="","",INDEX('Lançar Resultado'!$A$3:$A$2002,$Q81))</f>
        <v/>
      </c>
      <c r="C81" s="44" t="str">
        <f aca="false">IF($Q81="","",INDEX('Lançar Resultado'!$B$3:$B$2002,$Q81))</f>
        <v/>
      </c>
      <c r="D81" s="46" t="str">
        <f aca="false">IF($Q81="","",IF(SUMPRODUCT((Inspeções!$B$3:$B$122=$B81)*(Inspeções!$A$3:$A$122=$C81)*(ROW(Inspeções!$B$3:$B$122)-3+1))=0,"",INDEX(Inspeções!$C$3:$C$122,SUMPRODUCT((Inspeções!$B$3:$B$122=$B81)*(Inspeções!$A$3:$A$122=$C81)*(ROW(Inspeções!$B$3:$B$122)-3+1)))))</f>
        <v/>
      </c>
      <c r="E81" s="47" t="str">
        <f aca="false">IF($Q81="","",INDEX('Lançar Resultado'!$C$3:$C$2002,$Q81))</f>
        <v/>
      </c>
      <c r="F81" s="47" t="str">
        <f aca="false">IF($Q81="","",IFERROR(INDEX(Equipamentos!$E$3:$E$52,MATCH($B81,Equipamentos!$A$3:$A$52,0)),""))</f>
        <v/>
      </c>
      <c r="G81" s="47" t="str">
        <f aca="false">IF($Q81="","",INDEX('Lançar Resultado'!$D$3:$D$2002,$Q81))</f>
        <v/>
      </c>
      <c r="H81" s="47" t="str">
        <f aca="false">IF($Q81="","",INDEX('Lançar Resultado'!$E$3:$E$2002,$Q81))</f>
        <v/>
      </c>
      <c r="I81" s="46" t="str">
        <f aca="false">IF($Q81="","",INDEX('Lançar Resultado'!$G$3:$G$2002,$Q81))</f>
        <v/>
      </c>
      <c r="J81" s="45" t="str">
        <f aca="false">IF($Q81="","",INDEX('Lançar Resultado'!$P$3:$P$2002,$Q81))</f>
        <v/>
      </c>
      <c r="K81" s="46" t="str">
        <f aca="false">IF($Q81="","",INDEX('Lançar Resultado'!$N$3:$N$2002,$Q81))</f>
        <v/>
      </c>
      <c r="L81" s="47" t="str">
        <f aca="false">IF($Q81="","",INDEX('Lançar Resultado'!$I$3:$I$2002,$Q81))</f>
        <v/>
      </c>
      <c r="M81" s="47" t="str">
        <f aca="false">IF($Q81="","",INDEX('Lançar Resultado'!$J$3:$J$2002,$Q81))</f>
        <v/>
      </c>
      <c r="N81" s="44" t="str">
        <f aca="false">IF($Q81="","",INDEX('Lançar Resultado'!$K$3:$K$2002,$Q81))</f>
        <v/>
      </c>
      <c r="O81" s="46" t="str">
        <f aca="false">IF($Q81="","",INDEX('Lançar Resultado'!$L$3:$L$2002,$Q81))</f>
        <v/>
      </c>
      <c r="P81" s="45" t="str">
        <f aca="false">IF($Q81="","",IF(OR($O81="Concluída",$N81=""),"",IF($N81&lt;INT(Parâmetros!$C$4),INT(Parâmetros!$C$4)-$N81,"")))</f>
        <v/>
      </c>
      <c r="Q81" s="45" t="str">
        <f aca="false">IFERROR(MATCH(79,'Lançar Resultado'!$Q$3:$Q$2002,0),"")</f>
        <v/>
      </c>
    </row>
    <row r="82" customFormat="false" ht="18" hidden="false" customHeight="true" outlineLevel="0" collapsed="false">
      <c r="A82" s="39" t="n">
        <v>80</v>
      </c>
      <c r="B82" s="47" t="str">
        <f aca="false">IF($Q82="","",INDEX('Lançar Resultado'!$A$3:$A$2002,$Q82))</f>
        <v/>
      </c>
      <c r="C82" s="44" t="str">
        <f aca="false">IF($Q82="","",INDEX('Lançar Resultado'!$B$3:$B$2002,$Q82))</f>
        <v/>
      </c>
      <c r="D82" s="46" t="str">
        <f aca="false">IF($Q82="","",IF(SUMPRODUCT((Inspeções!$B$3:$B$122=$B82)*(Inspeções!$A$3:$A$122=$C82)*(ROW(Inspeções!$B$3:$B$122)-3+1))=0,"",INDEX(Inspeções!$C$3:$C$122,SUMPRODUCT((Inspeções!$B$3:$B$122=$B82)*(Inspeções!$A$3:$A$122=$C82)*(ROW(Inspeções!$B$3:$B$122)-3+1)))))</f>
        <v/>
      </c>
      <c r="E82" s="47" t="str">
        <f aca="false">IF($Q82="","",INDEX('Lançar Resultado'!$C$3:$C$2002,$Q82))</f>
        <v/>
      </c>
      <c r="F82" s="47" t="str">
        <f aca="false">IF($Q82="","",IFERROR(INDEX(Equipamentos!$E$3:$E$52,MATCH($B82,Equipamentos!$A$3:$A$52,0)),""))</f>
        <v/>
      </c>
      <c r="G82" s="47" t="str">
        <f aca="false">IF($Q82="","",INDEX('Lançar Resultado'!$D$3:$D$2002,$Q82))</f>
        <v/>
      </c>
      <c r="H82" s="47" t="str">
        <f aca="false">IF($Q82="","",INDEX('Lançar Resultado'!$E$3:$E$2002,$Q82))</f>
        <v/>
      </c>
      <c r="I82" s="46" t="str">
        <f aca="false">IF($Q82="","",INDEX('Lançar Resultado'!$G$3:$G$2002,$Q82))</f>
        <v/>
      </c>
      <c r="J82" s="45" t="str">
        <f aca="false">IF($Q82="","",INDEX('Lançar Resultado'!$P$3:$P$2002,$Q82))</f>
        <v/>
      </c>
      <c r="K82" s="46" t="str">
        <f aca="false">IF($Q82="","",INDEX('Lançar Resultado'!$N$3:$N$2002,$Q82))</f>
        <v/>
      </c>
      <c r="L82" s="47" t="str">
        <f aca="false">IF($Q82="","",INDEX('Lançar Resultado'!$I$3:$I$2002,$Q82))</f>
        <v/>
      </c>
      <c r="M82" s="47" t="str">
        <f aca="false">IF($Q82="","",INDEX('Lançar Resultado'!$J$3:$J$2002,$Q82))</f>
        <v/>
      </c>
      <c r="N82" s="44" t="str">
        <f aca="false">IF($Q82="","",INDEX('Lançar Resultado'!$K$3:$K$2002,$Q82))</f>
        <v/>
      </c>
      <c r="O82" s="46" t="str">
        <f aca="false">IF($Q82="","",INDEX('Lançar Resultado'!$L$3:$L$2002,$Q82))</f>
        <v/>
      </c>
      <c r="P82" s="45" t="str">
        <f aca="false">IF($Q82="","",IF(OR($O82="Concluída",$N82=""),"",IF($N82&lt;INT(Parâmetros!$C$4),INT(Parâmetros!$C$4)-$N82,"")))</f>
        <v/>
      </c>
      <c r="Q82" s="45" t="str">
        <f aca="false">IFERROR(MATCH(80,'Lançar Resultado'!$Q$3:$Q$2002,0),"")</f>
        <v/>
      </c>
    </row>
    <row r="83" customFormat="false" ht="18" hidden="false" customHeight="true" outlineLevel="0" collapsed="false">
      <c r="A83" s="39" t="n">
        <v>81</v>
      </c>
      <c r="B83" s="47" t="str">
        <f aca="false">IF($Q83="","",INDEX('Lançar Resultado'!$A$3:$A$2002,$Q83))</f>
        <v/>
      </c>
      <c r="C83" s="44" t="str">
        <f aca="false">IF($Q83="","",INDEX('Lançar Resultado'!$B$3:$B$2002,$Q83))</f>
        <v/>
      </c>
      <c r="D83" s="46" t="str">
        <f aca="false">IF($Q83="","",IF(SUMPRODUCT((Inspeções!$B$3:$B$122=$B83)*(Inspeções!$A$3:$A$122=$C83)*(ROW(Inspeções!$B$3:$B$122)-3+1))=0,"",INDEX(Inspeções!$C$3:$C$122,SUMPRODUCT((Inspeções!$B$3:$B$122=$B83)*(Inspeções!$A$3:$A$122=$C83)*(ROW(Inspeções!$B$3:$B$122)-3+1)))))</f>
        <v/>
      </c>
      <c r="E83" s="47" t="str">
        <f aca="false">IF($Q83="","",INDEX('Lançar Resultado'!$C$3:$C$2002,$Q83))</f>
        <v/>
      </c>
      <c r="F83" s="47" t="str">
        <f aca="false">IF($Q83="","",IFERROR(INDEX(Equipamentos!$E$3:$E$52,MATCH($B83,Equipamentos!$A$3:$A$52,0)),""))</f>
        <v/>
      </c>
      <c r="G83" s="47" t="str">
        <f aca="false">IF($Q83="","",INDEX('Lançar Resultado'!$D$3:$D$2002,$Q83))</f>
        <v/>
      </c>
      <c r="H83" s="47" t="str">
        <f aca="false">IF($Q83="","",INDEX('Lançar Resultado'!$E$3:$E$2002,$Q83))</f>
        <v/>
      </c>
      <c r="I83" s="46" t="str">
        <f aca="false">IF($Q83="","",INDEX('Lançar Resultado'!$G$3:$G$2002,$Q83))</f>
        <v/>
      </c>
      <c r="J83" s="45" t="str">
        <f aca="false">IF($Q83="","",INDEX('Lançar Resultado'!$P$3:$P$2002,$Q83))</f>
        <v/>
      </c>
      <c r="K83" s="46" t="str">
        <f aca="false">IF($Q83="","",INDEX('Lançar Resultado'!$N$3:$N$2002,$Q83))</f>
        <v/>
      </c>
      <c r="L83" s="47" t="str">
        <f aca="false">IF($Q83="","",INDEX('Lançar Resultado'!$I$3:$I$2002,$Q83))</f>
        <v/>
      </c>
      <c r="M83" s="47" t="str">
        <f aca="false">IF($Q83="","",INDEX('Lançar Resultado'!$J$3:$J$2002,$Q83))</f>
        <v/>
      </c>
      <c r="N83" s="44" t="str">
        <f aca="false">IF($Q83="","",INDEX('Lançar Resultado'!$K$3:$K$2002,$Q83))</f>
        <v/>
      </c>
      <c r="O83" s="46" t="str">
        <f aca="false">IF($Q83="","",INDEX('Lançar Resultado'!$L$3:$L$2002,$Q83))</f>
        <v/>
      </c>
      <c r="P83" s="45" t="str">
        <f aca="false">IF($Q83="","",IF(OR($O83="Concluída",$N83=""),"",IF($N83&lt;INT(Parâmetros!$C$4),INT(Parâmetros!$C$4)-$N83,"")))</f>
        <v/>
      </c>
      <c r="Q83" s="45" t="str">
        <f aca="false">IFERROR(MATCH(81,'Lançar Resultado'!$Q$3:$Q$2002,0),"")</f>
        <v/>
      </c>
    </row>
    <row r="84" customFormat="false" ht="18" hidden="false" customHeight="true" outlineLevel="0" collapsed="false">
      <c r="A84" s="39" t="n">
        <v>82</v>
      </c>
      <c r="B84" s="47" t="str">
        <f aca="false">IF($Q84="","",INDEX('Lançar Resultado'!$A$3:$A$2002,$Q84))</f>
        <v/>
      </c>
      <c r="C84" s="44" t="str">
        <f aca="false">IF($Q84="","",INDEX('Lançar Resultado'!$B$3:$B$2002,$Q84))</f>
        <v/>
      </c>
      <c r="D84" s="46" t="str">
        <f aca="false">IF($Q84="","",IF(SUMPRODUCT((Inspeções!$B$3:$B$122=$B84)*(Inspeções!$A$3:$A$122=$C84)*(ROW(Inspeções!$B$3:$B$122)-3+1))=0,"",INDEX(Inspeções!$C$3:$C$122,SUMPRODUCT((Inspeções!$B$3:$B$122=$B84)*(Inspeções!$A$3:$A$122=$C84)*(ROW(Inspeções!$B$3:$B$122)-3+1)))))</f>
        <v/>
      </c>
      <c r="E84" s="47" t="str">
        <f aca="false">IF($Q84="","",INDEX('Lançar Resultado'!$C$3:$C$2002,$Q84))</f>
        <v/>
      </c>
      <c r="F84" s="47" t="str">
        <f aca="false">IF($Q84="","",IFERROR(INDEX(Equipamentos!$E$3:$E$52,MATCH($B84,Equipamentos!$A$3:$A$52,0)),""))</f>
        <v/>
      </c>
      <c r="G84" s="47" t="str">
        <f aca="false">IF($Q84="","",INDEX('Lançar Resultado'!$D$3:$D$2002,$Q84))</f>
        <v/>
      </c>
      <c r="H84" s="47" t="str">
        <f aca="false">IF($Q84="","",INDEX('Lançar Resultado'!$E$3:$E$2002,$Q84))</f>
        <v/>
      </c>
      <c r="I84" s="46" t="str">
        <f aca="false">IF($Q84="","",INDEX('Lançar Resultado'!$G$3:$G$2002,$Q84))</f>
        <v/>
      </c>
      <c r="J84" s="45" t="str">
        <f aca="false">IF($Q84="","",INDEX('Lançar Resultado'!$P$3:$P$2002,$Q84))</f>
        <v/>
      </c>
      <c r="K84" s="46" t="str">
        <f aca="false">IF($Q84="","",INDEX('Lançar Resultado'!$N$3:$N$2002,$Q84))</f>
        <v/>
      </c>
      <c r="L84" s="47" t="str">
        <f aca="false">IF($Q84="","",INDEX('Lançar Resultado'!$I$3:$I$2002,$Q84))</f>
        <v/>
      </c>
      <c r="M84" s="47" t="str">
        <f aca="false">IF($Q84="","",INDEX('Lançar Resultado'!$J$3:$J$2002,$Q84))</f>
        <v/>
      </c>
      <c r="N84" s="44" t="str">
        <f aca="false">IF($Q84="","",INDEX('Lançar Resultado'!$K$3:$K$2002,$Q84))</f>
        <v/>
      </c>
      <c r="O84" s="46" t="str">
        <f aca="false">IF($Q84="","",INDEX('Lançar Resultado'!$L$3:$L$2002,$Q84))</f>
        <v/>
      </c>
      <c r="P84" s="45" t="str">
        <f aca="false">IF($Q84="","",IF(OR($O84="Concluída",$N84=""),"",IF($N84&lt;INT(Parâmetros!$C$4),INT(Parâmetros!$C$4)-$N84,"")))</f>
        <v/>
      </c>
      <c r="Q84" s="45" t="str">
        <f aca="false">IFERROR(MATCH(82,'Lançar Resultado'!$Q$3:$Q$2002,0),"")</f>
        <v/>
      </c>
    </row>
    <row r="85" customFormat="false" ht="18" hidden="false" customHeight="true" outlineLevel="0" collapsed="false">
      <c r="A85" s="39" t="n">
        <v>83</v>
      </c>
      <c r="B85" s="47" t="str">
        <f aca="false">IF($Q85="","",INDEX('Lançar Resultado'!$A$3:$A$2002,$Q85))</f>
        <v/>
      </c>
      <c r="C85" s="44" t="str">
        <f aca="false">IF($Q85="","",INDEX('Lançar Resultado'!$B$3:$B$2002,$Q85))</f>
        <v/>
      </c>
      <c r="D85" s="46" t="str">
        <f aca="false">IF($Q85="","",IF(SUMPRODUCT((Inspeções!$B$3:$B$122=$B85)*(Inspeções!$A$3:$A$122=$C85)*(ROW(Inspeções!$B$3:$B$122)-3+1))=0,"",INDEX(Inspeções!$C$3:$C$122,SUMPRODUCT((Inspeções!$B$3:$B$122=$B85)*(Inspeções!$A$3:$A$122=$C85)*(ROW(Inspeções!$B$3:$B$122)-3+1)))))</f>
        <v/>
      </c>
      <c r="E85" s="47" t="str">
        <f aca="false">IF($Q85="","",INDEX('Lançar Resultado'!$C$3:$C$2002,$Q85))</f>
        <v/>
      </c>
      <c r="F85" s="47" t="str">
        <f aca="false">IF($Q85="","",IFERROR(INDEX(Equipamentos!$E$3:$E$52,MATCH($B85,Equipamentos!$A$3:$A$52,0)),""))</f>
        <v/>
      </c>
      <c r="G85" s="47" t="str">
        <f aca="false">IF($Q85="","",INDEX('Lançar Resultado'!$D$3:$D$2002,$Q85))</f>
        <v/>
      </c>
      <c r="H85" s="47" t="str">
        <f aca="false">IF($Q85="","",INDEX('Lançar Resultado'!$E$3:$E$2002,$Q85))</f>
        <v/>
      </c>
      <c r="I85" s="46" t="str">
        <f aca="false">IF($Q85="","",INDEX('Lançar Resultado'!$G$3:$G$2002,$Q85))</f>
        <v/>
      </c>
      <c r="J85" s="45" t="str">
        <f aca="false">IF($Q85="","",INDEX('Lançar Resultado'!$P$3:$P$2002,$Q85))</f>
        <v/>
      </c>
      <c r="K85" s="46" t="str">
        <f aca="false">IF($Q85="","",INDEX('Lançar Resultado'!$N$3:$N$2002,$Q85))</f>
        <v/>
      </c>
      <c r="L85" s="47" t="str">
        <f aca="false">IF($Q85="","",INDEX('Lançar Resultado'!$I$3:$I$2002,$Q85))</f>
        <v/>
      </c>
      <c r="M85" s="47" t="str">
        <f aca="false">IF($Q85="","",INDEX('Lançar Resultado'!$J$3:$J$2002,$Q85))</f>
        <v/>
      </c>
      <c r="N85" s="44" t="str">
        <f aca="false">IF($Q85="","",INDEX('Lançar Resultado'!$K$3:$K$2002,$Q85))</f>
        <v/>
      </c>
      <c r="O85" s="46" t="str">
        <f aca="false">IF($Q85="","",INDEX('Lançar Resultado'!$L$3:$L$2002,$Q85))</f>
        <v/>
      </c>
      <c r="P85" s="45" t="str">
        <f aca="false">IF($Q85="","",IF(OR($O85="Concluída",$N85=""),"",IF($N85&lt;INT(Parâmetros!$C$4),INT(Parâmetros!$C$4)-$N85,"")))</f>
        <v/>
      </c>
      <c r="Q85" s="45" t="str">
        <f aca="false">IFERROR(MATCH(83,'Lançar Resultado'!$Q$3:$Q$2002,0),"")</f>
        <v/>
      </c>
    </row>
    <row r="86" customFormat="false" ht="18" hidden="false" customHeight="true" outlineLevel="0" collapsed="false">
      <c r="A86" s="39" t="n">
        <v>84</v>
      </c>
      <c r="B86" s="47" t="str">
        <f aca="false">IF($Q86="","",INDEX('Lançar Resultado'!$A$3:$A$2002,$Q86))</f>
        <v/>
      </c>
      <c r="C86" s="44" t="str">
        <f aca="false">IF($Q86="","",INDEX('Lançar Resultado'!$B$3:$B$2002,$Q86))</f>
        <v/>
      </c>
      <c r="D86" s="46" t="str">
        <f aca="false">IF($Q86="","",IF(SUMPRODUCT((Inspeções!$B$3:$B$122=$B86)*(Inspeções!$A$3:$A$122=$C86)*(ROW(Inspeções!$B$3:$B$122)-3+1))=0,"",INDEX(Inspeções!$C$3:$C$122,SUMPRODUCT((Inspeções!$B$3:$B$122=$B86)*(Inspeções!$A$3:$A$122=$C86)*(ROW(Inspeções!$B$3:$B$122)-3+1)))))</f>
        <v/>
      </c>
      <c r="E86" s="47" t="str">
        <f aca="false">IF($Q86="","",INDEX('Lançar Resultado'!$C$3:$C$2002,$Q86))</f>
        <v/>
      </c>
      <c r="F86" s="47" t="str">
        <f aca="false">IF($Q86="","",IFERROR(INDEX(Equipamentos!$E$3:$E$52,MATCH($B86,Equipamentos!$A$3:$A$52,0)),""))</f>
        <v/>
      </c>
      <c r="G86" s="47" t="str">
        <f aca="false">IF($Q86="","",INDEX('Lançar Resultado'!$D$3:$D$2002,$Q86))</f>
        <v/>
      </c>
      <c r="H86" s="47" t="str">
        <f aca="false">IF($Q86="","",INDEX('Lançar Resultado'!$E$3:$E$2002,$Q86))</f>
        <v/>
      </c>
      <c r="I86" s="46" t="str">
        <f aca="false">IF($Q86="","",INDEX('Lançar Resultado'!$G$3:$G$2002,$Q86))</f>
        <v/>
      </c>
      <c r="J86" s="45" t="str">
        <f aca="false">IF($Q86="","",INDEX('Lançar Resultado'!$P$3:$P$2002,$Q86))</f>
        <v/>
      </c>
      <c r="K86" s="46" t="str">
        <f aca="false">IF($Q86="","",INDEX('Lançar Resultado'!$N$3:$N$2002,$Q86))</f>
        <v/>
      </c>
      <c r="L86" s="47" t="str">
        <f aca="false">IF($Q86="","",INDEX('Lançar Resultado'!$I$3:$I$2002,$Q86))</f>
        <v/>
      </c>
      <c r="M86" s="47" t="str">
        <f aca="false">IF($Q86="","",INDEX('Lançar Resultado'!$J$3:$J$2002,$Q86))</f>
        <v/>
      </c>
      <c r="N86" s="44" t="str">
        <f aca="false">IF($Q86="","",INDEX('Lançar Resultado'!$K$3:$K$2002,$Q86))</f>
        <v/>
      </c>
      <c r="O86" s="46" t="str">
        <f aca="false">IF($Q86="","",INDEX('Lançar Resultado'!$L$3:$L$2002,$Q86))</f>
        <v/>
      </c>
      <c r="P86" s="45" t="str">
        <f aca="false">IF($Q86="","",IF(OR($O86="Concluída",$N86=""),"",IF($N86&lt;INT(Parâmetros!$C$4),INT(Parâmetros!$C$4)-$N86,"")))</f>
        <v/>
      </c>
      <c r="Q86" s="45" t="str">
        <f aca="false">IFERROR(MATCH(84,'Lançar Resultado'!$Q$3:$Q$2002,0),"")</f>
        <v/>
      </c>
    </row>
    <row r="87" customFormat="false" ht="18" hidden="false" customHeight="true" outlineLevel="0" collapsed="false">
      <c r="A87" s="39" t="n">
        <v>85</v>
      </c>
      <c r="B87" s="47" t="str">
        <f aca="false">IF($Q87="","",INDEX('Lançar Resultado'!$A$3:$A$2002,$Q87))</f>
        <v/>
      </c>
      <c r="C87" s="44" t="str">
        <f aca="false">IF($Q87="","",INDEX('Lançar Resultado'!$B$3:$B$2002,$Q87))</f>
        <v/>
      </c>
      <c r="D87" s="46" t="str">
        <f aca="false">IF($Q87="","",IF(SUMPRODUCT((Inspeções!$B$3:$B$122=$B87)*(Inspeções!$A$3:$A$122=$C87)*(ROW(Inspeções!$B$3:$B$122)-3+1))=0,"",INDEX(Inspeções!$C$3:$C$122,SUMPRODUCT((Inspeções!$B$3:$B$122=$B87)*(Inspeções!$A$3:$A$122=$C87)*(ROW(Inspeções!$B$3:$B$122)-3+1)))))</f>
        <v/>
      </c>
      <c r="E87" s="47" t="str">
        <f aca="false">IF($Q87="","",INDEX('Lançar Resultado'!$C$3:$C$2002,$Q87))</f>
        <v/>
      </c>
      <c r="F87" s="47" t="str">
        <f aca="false">IF($Q87="","",IFERROR(INDEX(Equipamentos!$E$3:$E$52,MATCH($B87,Equipamentos!$A$3:$A$52,0)),""))</f>
        <v/>
      </c>
      <c r="G87" s="47" t="str">
        <f aca="false">IF($Q87="","",INDEX('Lançar Resultado'!$D$3:$D$2002,$Q87))</f>
        <v/>
      </c>
      <c r="H87" s="47" t="str">
        <f aca="false">IF($Q87="","",INDEX('Lançar Resultado'!$E$3:$E$2002,$Q87))</f>
        <v/>
      </c>
      <c r="I87" s="46" t="str">
        <f aca="false">IF($Q87="","",INDEX('Lançar Resultado'!$G$3:$G$2002,$Q87))</f>
        <v/>
      </c>
      <c r="J87" s="45" t="str">
        <f aca="false">IF($Q87="","",INDEX('Lançar Resultado'!$P$3:$P$2002,$Q87))</f>
        <v/>
      </c>
      <c r="K87" s="46" t="str">
        <f aca="false">IF($Q87="","",INDEX('Lançar Resultado'!$N$3:$N$2002,$Q87))</f>
        <v/>
      </c>
      <c r="L87" s="47" t="str">
        <f aca="false">IF($Q87="","",INDEX('Lançar Resultado'!$I$3:$I$2002,$Q87))</f>
        <v/>
      </c>
      <c r="M87" s="47" t="str">
        <f aca="false">IF($Q87="","",INDEX('Lançar Resultado'!$J$3:$J$2002,$Q87))</f>
        <v/>
      </c>
      <c r="N87" s="44" t="str">
        <f aca="false">IF($Q87="","",INDEX('Lançar Resultado'!$K$3:$K$2002,$Q87))</f>
        <v/>
      </c>
      <c r="O87" s="46" t="str">
        <f aca="false">IF($Q87="","",INDEX('Lançar Resultado'!$L$3:$L$2002,$Q87))</f>
        <v/>
      </c>
      <c r="P87" s="45" t="str">
        <f aca="false">IF($Q87="","",IF(OR($O87="Concluída",$N87=""),"",IF($N87&lt;INT(Parâmetros!$C$4),INT(Parâmetros!$C$4)-$N87,"")))</f>
        <v/>
      </c>
      <c r="Q87" s="45" t="str">
        <f aca="false">IFERROR(MATCH(85,'Lançar Resultado'!$Q$3:$Q$2002,0),"")</f>
        <v/>
      </c>
    </row>
    <row r="88" customFormat="false" ht="18" hidden="false" customHeight="true" outlineLevel="0" collapsed="false">
      <c r="A88" s="39" t="n">
        <v>86</v>
      </c>
      <c r="B88" s="47" t="str">
        <f aca="false">IF($Q88="","",INDEX('Lançar Resultado'!$A$3:$A$2002,$Q88))</f>
        <v/>
      </c>
      <c r="C88" s="44" t="str">
        <f aca="false">IF($Q88="","",INDEX('Lançar Resultado'!$B$3:$B$2002,$Q88))</f>
        <v/>
      </c>
      <c r="D88" s="46" t="str">
        <f aca="false">IF($Q88="","",IF(SUMPRODUCT((Inspeções!$B$3:$B$122=$B88)*(Inspeções!$A$3:$A$122=$C88)*(ROW(Inspeções!$B$3:$B$122)-3+1))=0,"",INDEX(Inspeções!$C$3:$C$122,SUMPRODUCT((Inspeções!$B$3:$B$122=$B88)*(Inspeções!$A$3:$A$122=$C88)*(ROW(Inspeções!$B$3:$B$122)-3+1)))))</f>
        <v/>
      </c>
      <c r="E88" s="47" t="str">
        <f aca="false">IF($Q88="","",INDEX('Lançar Resultado'!$C$3:$C$2002,$Q88))</f>
        <v/>
      </c>
      <c r="F88" s="47" t="str">
        <f aca="false">IF($Q88="","",IFERROR(INDEX(Equipamentos!$E$3:$E$52,MATCH($B88,Equipamentos!$A$3:$A$52,0)),""))</f>
        <v/>
      </c>
      <c r="G88" s="47" t="str">
        <f aca="false">IF($Q88="","",INDEX('Lançar Resultado'!$D$3:$D$2002,$Q88))</f>
        <v/>
      </c>
      <c r="H88" s="47" t="str">
        <f aca="false">IF($Q88="","",INDEX('Lançar Resultado'!$E$3:$E$2002,$Q88))</f>
        <v/>
      </c>
      <c r="I88" s="46" t="str">
        <f aca="false">IF($Q88="","",INDEX('Lançar Resultado'!$G$3:$G$2002,$Q88))</f>
        <v/>
      </c>
      <c r="J88" s="45" t="str">
        <f aca="false">IF($Q88="","",INDEX('Lançar Resultado'!$P$3:$P$2002,$Q88))</f>
        <v/>
      </c>
      <c r="K88" s="46" t="str">
        <f aca="false">IF($Q88="","",INDEX('Lançar Resultado'!$N$3:$N$2002,$Q88))</f>
        <v/>
      </c>
      <c r="L88" s="47" t="str">
        <f aca="false">IF($Q88="","",INDEX('Lançar Resultado'!$I$3:$I$2002,$Q88))</f>
        <v/>
      </c>
      <c r="M88" s="47" t="str">
        <f aca="false">IF($Q88="","",INDEX('Lançar Resultado'!$J$3:$J$2002,$Q88))</f>
        <v/>
      </c>
      <c r="N88" s="44" t="str">
        <f aca="false">IF($Q88="","",INDEX('Lançar Resultado'!$K$3:$K$2002,$Q88))</f>
        <v/>
      </c>
      <c r="O88" s="46" t="str">
        <f aca="false">IF($Q88="","",INDEX('Lançar Resultado'!$L$3:$L$2002,$Q88))</f>
        <v/>
      </c>
      <c r="P88" s="45" t="str">
        <f aca="false">IF($Q88="","",IF(OR($O88="Concluída",$N88=""),"",IF($N88&lt;INT(Parâmetros!$C$4),INT(Parâmetros!$C$4)-$N88,"")))</f>
        <v/>
      </c>
      <c r="Q88" s="45" t="str">
        <f aca="false">IFERROR(MATCH(86,'Lançar Resultado'!$Q$3:$Q$2002,0),"")</f>
        <v/>
      </c>
    </row>
    <row r="89" customFormat="false" ht="18" hidden="false" customHeight="true" outlineLevel="0" collapsed="false">
      <c r="A89" s="39" t="n">
        <v>87</v>
      </c>
      <c r="B89" s="47" t="str">
        <f aca="false">IF($Q89="","",INDEX('Lançar Resultado'!$A$3:$A$2002,$Q89))</f>
        <v/>
      </c>
      <c r="C89" s="44" t="str">
        <f aca="false">IF($Q89="","",INDEX('Lançar Resultado'!$B$3:$B$2002,$Q89))</f>
        <v/>
      </c>
      <c r="D89" s="46" t="str">
        <f aca="false">IF($Q89="","",IF(SUMPRODUCT((Inspeções!$B$3:$B$122=$B89)*(Inspeções!$A$3:$A$122=$C89)*(ROW(Inspeções!$B$3:$B$122)-3+1))=0,"",INDEX(Inspeções!$C$3:$C$122,SUMPRODUCT((Inspeções!$B$3:$B$122=$B89)*(Inspeções!$A$3:$A$122=$C89)*(ROW(Inspeções!$B$3:$B$122)-3+1)))))</f>
        <v/>
      </c>
      <c r="E89" s="47" t="str">
        <f aca="false">IF($Q89="","",INDEX('Lançar Resultado'!$C$3:$C$2002,$Q89))</f>
        <v/>
      </c>
      <c r="F89" s="47" t="str">
        <f aca="false">IF($Q89="","",IFERROR(INDEX(Equipamentos!$E$3:$E$52,MATCH($B89,Equipamentos!$A$3:$A$52,0)),""))</f>
        <v/>
      </c>
      <c r="G89" s="47" t="str">
        <f aca="false">IF($Q89="","",INDEX('Lançar Resultado'!$D$3:$D$2002,$Q89))</f>
        <v/>
      </c>
      <c r="H89" s="47" t="str">
        <f aca="false">IF($Q89="","",INDEX('Lançar Resultado'!$E$3:$E$2002,$Q89))</f>
        <v/>
      </c>
      <c r="I89" s="46" t="str">
        <f aca="false">IF($Q89="","",INDEX('Lançar Resultado'!$G$3:$G$2002,$Q89))</f>
        <v/>
      </c>
      <c r="J89" s="45" t="str">
        <f aca="false">IF($Q89="","",INDEX('Lançar Resultado'!$P$3:$P$2002,$Q89))</f>
        <v/>
      </c>
      <c r="K89" s="46" t="str">
        <f aca="false">IF($Q89="","",INDEX('Lançar Resultado'!$N$3:$N$2002,$Q89))</f>
        <v/>
      </c>
      <c r="L89" s="47" t="str">
        <f aca="false">IF($Q89="","",INDEX('Lançar Resultado'!$I$3:$I$2002,$Q89))</f>
        <v/>
      </c>
      <c r="M89" s="47" t="str">
        <f aca="false">IF($Q89="","",INDEX('Lançar Resultado'!$J$3:$J$2002,$Q89))</f>
        <v/>
      </c>
      <c r="N89" s="44" t="str">
        <f aca="false">IF($Q89="","",INDEX('Lançar Resultado'!$K$3:$K$2002,$Q89))</f>
        <v/>
      </c>
      <c r="O89" s="46" t="str">
        <f aca="false">IF($Q89="","",INDEX('Lançar Resultado'!$L$3:$L$2002,$Q89))</f>
        <v/>
      </c>
      <c r="P89" s="45" t="str">
        <f aca="false">IF($Q89="","",IF(OR($O89="Concluída",$N89=""),"",IF($N89&lt;INT(Parâmetros!$C$4),INT(Parâmetros!$C$4)-$N89,"")))</f>
        <v/>
      </c>
      <c r="Q89" s="45" t="str">
        <f aca="false">IFERROR(MATCH(87,'Lançar Resultado'!$Q$3:$Q$2002,0),"")</f>
        <v/>
      </c>
    </row>
    <row r="90" customFormat="false" ht="18" hidden="false" customHeight="true" outlineLevel="0" collapsed="false">
      <c r="A90" s="39" t="n">
        <v>88</v>
      </c>
      <c r="B90" s="47" t="str">
        <f aca="false">IF($Q90="","",INDEX('Lançar Resultado'!$A$3:$A$2002,$Q90))</f>
        <v/>
      </c>
      <c r="C90" s="44" t="str">
        <f aca="false">IF($Q90="","",INDEX('Lançar Resultado'!$B$3:$B$2002,$Q90))</f>
        <v/>
      </c>
      <c r="D90" s="46" t="str">
        <f aca="false">IF($Q90="","",IF(SUMPRODUCT((Inspeções!$B$3:$B$122=$B90)*(Inspeções!$A$3:$A$122=$C90)*(ROW(Inspeções!$B$3:$B$122)-3+1))=0,"",INDEX(Inspeções!$C$3:$C$122,SUMPRODUCT((Inspeções!$B$3:$B$122=$B90)*(Inspeções!$A$3:$A$122=$C90)*(ROW(Inspeções!$B$3:$B$122)-3+1)))))</f>
        <v/>
      </c>
      <c r="E90" s="47" t="str">
        <f aca="false">IF($Q90="","",INDEX('Lançar Resultado'!$C$3:$C$2002,$Q90))</f>
        <v/>
      </c>
      <c r="F90" s="47" t="str">
        <f aca="false">IF($Q90="","",IFERROR(INDEX(Equipamentos!$E$3:$E$52,MATCH($B90,Equipamentos!$A$3:$A$52,0)),""))</f>
        <v/>
      </c>
      <c r="G90" s="47" t="str">
        <f aca="false">IF($Q90="","",INDEX('Lançar Resultado'!$D$3:$D$2002,$Q90))</f>
        <v/>
      </c>
      <c r="H90" s="47" t="str">
        <f aca="false">IF($Q90="","",INDEX('Lançar Resultado'!$E$3:$E$2002,$Q90))</f>
        <v/>
      </c>
      <c r="I90" s="46" t="str">
        <f aca="false">IF($Q90="","",INDEX('Lançar Resultado'!$G$3:$G$2002,$Q90))</f>
        <v/>
      </c>
      <c r="J90" s="45" t="str">
        <f aca="false">IF($Q90="","",INDEX('Lançar Resultado'!$P$3:$P$2002,$Q90))</f>
        <v/>
      </c>
      <c r="K90" s="46" t="str">
        <f aca="false">IF($Q90="","",INDEX('Lançar Resultado'!$N$3:$N$2002,$Q90))</f>
        <v/>
      </c>
      <c r="L90" s="47" t="str">
        <f aca="false">IF($Q90="","",INDEX('Lançar Resultado'!$I$3:$I$2002,$Q90))</f>
        <v/>
      </c>
      <c r="M90" s="47" t="str">
        <f aca="false">IF($Q90="","",INDEX('Lançar Resultado'!$J$3:$J$2002,$Q90))</f>
        <v/>
      </c>
      <c r="N90" s="44" t="str">
        <f aca="false">IF($Q90="","",INDEX('Lançar Resultado'!$K$3:$K$2002,$Q90))</f>
        <v/>
      </c>
      <c r="O90" s="46" t="str">
        <f aca="false">IF($Q90="","",INDEX('Lançar Resultado'!$L$3:$L$2002,$Q90))</f>
        <v/>
      </c>
      <c r="P90" s="45" t="str">
        <f aca="false">IF($Q90="","",IF(OR($O90="Concluída",$N90=""),"",IF($N90&lt;INT(Parâmetros!$C$4),INT(Parâmetros!$C$4)-$N90,"")))</f>
        <v/>
      </c>
      <c r="Q90" s="45" t="str">
        <f aca="false">IFERROR(MATCH(88,'Lançar Resultado'!$Q$3:$Q$2002,0),"")</f>
        <v/>
      </c>
    </row>
    <row r="91" customFormat="false" ht="18" hidden="false" customHeight="true" outlineLevel="0" collapsed="false">
      <c r="A91" s="39" t="n">
        <v>89</v>
      </c>
      <c r="B91" s="47" t="str">
        <f aca="false">IF($Q91="","",INDEX('Lançar Resultado'!$A$3:$A$2002,$Q91))</f>
        <v/>
      </c>
      <c r="C91" s="44" t="str">
        <f aca="false">IF($Q91="","",INDEX('Lançar Resultado'!$B$3:$B$2002,$Q91))</f>
        <v/>
      </c>
      <c r="D91" s="46" t="str">
        <f aca="false">IF($Q91="","",IF(SUMPRODUCT((Inspeções!$B$3:$B$122=$B91)*(Inspeções!$A$3:$A$122=$C91)*(ROW(Inspeções!$B$3:$B$122)-3+1))=0,"",INDEX(Inspeções!$C$3:$C$122,SUMPRODUCT((Inspeções!$B$3:$B$122=$B91)*(Inspeções!$A$3:$A$122=$C91)*(ROW(Inspeções!$B$3:$B$122)-3+1)))))</f>
        <v/>
      </c>
      <c r="E91" s="47" t="str">
        <f aca="false">IF($Q91="","",INDEX('Lançar Resultado'!$C$3:$C$2002,$Q91))</f>
        <v/>
      </c>
      <c r="F91" s="47" t="str">
        <f aca="false">IF($Q91="","",IFERROR(INDEX(Equipamentos!$E$3:$E$52,MATCH($B91,Equipamentos!$A$3:$A$52,0)),""))</f>
        <v/>
      </c>
      <c r="G91" s="47" t="str">
        <f aca="false">IF($Q91="","",INDEX('Lançar Resultado'!$D$3:$D$2002,$Q91))</f>
        <v/>
      </c>
      <c r="H91" s="47" t="str">
        <f aca="false">IF($Q91="","",INDEX('Lançar Resultado'!$E$3:$E$2002,$Q91))</f>
        <v/>
      </c>
      <c r="I91" s="46" t="str">
        <f aca="false">IF($Q91="","",INDEX('Lançar Resultado'!$G$3:$G$2002,$Q91))</f>
        <v/>
      </c>
      <c r="J91" s="45" t="str">
        <f aca="false">IF($Q91="","",INDEX('Lançar Resultado'!$P$3:$P$2002,$Q91))</f>
        <v/>
      </c>
      <c r="K91" s="46" t="str">
        <f aca="false">IF($Q91="","",INDEX('Lançar Resultado'!$N$3:$N$2002,$Q91))</f>
        <v/>
      </c>
      <c r="L91" s="47" t="str">
        <f aca="false">IF($Q91="","",INDEX('Lançar Resultado'!$I$3:$I$2002,$Q91))</f>
        <v/>
      </c>
      <c r="M91" s="47" t="str">
        <f aca="false">IF($Q91="","",INDEX('Lançar Resultado'!$J$3:$J$2002,$Q91))</f>
        <v/>
      </c>
      <c r="N91" s="44" t="str">
        <f aca="false">IF($Q91="","",INDEX('Lançar Resultado'!$K$3:$K$2002,$Q91))</f>
        <v/>
      </c>
      <c r="O91" s="46" t="str">
        <f aca="false">IF($Q91="","",INDEX('Lançar Resultado'!$L$3:$L$2002,$Q91))</f>
        <v/>
      </c>
      <c r="P91" s="45" t="str">
        <f aca="false">IF($Q91="","",IF(OR($O91="Concluída",$N91=""),"",IF($N91&lt;INT(Parâmetros!$C$4),INT(Parâmetros!$C$4)-$N91,"")))</f>
        <v/>
      </c>
      <c r="Q91" s="45" t="str">
        <f aca="false">IFERROR(MATCH(89,'Lançar Resultado'!$Q$3:$Q$2002,0),"")</f>
        <v/>
      </c>
    </row>
    <row r="92" customFormat="false" ht="18" hidden="false" customHeight="true" outlineLevel="0" collapsed="false">
      <c r="A92" s="39" t="n">
        <v>90</v>
      </c>
      <c r="B92" s="47" t="str">
        <f aca="false">IF($Q92="","",INDEX('Lançar Resultado'!$A$3:$A$2002,$Q92))</f>
        <v/>
      </c>
      <c r="C92" s="44" t="str">
        <f aca="false">IF($Q92="","",INDEX('Lançar Resultado'!$B$3:$B$2002,$Q92))</f>
        <v/>
      </c>
      <c r="D92" s="46" t="str">
        <f aca="false">IF($Q92="","",IF(SUMPRODUCT((Inspeções!$B$3:$B$122=$B92)*(Inspeções!$A$3:$A$122=$C92)*(ROW(Inspeções!$B$3:$B$122)-3+1))=0,"",INDEX(Inspeções!$C$3:$C$122,SUMPRODUCT((Inspeções!$B$3:$B$122=$B92)*(Inspeções!$A$3:$A$122=$C92)*(ROW(Inspeções!$B$3:$B$122)-3+1)))))</f>
        <v/>
      </c>
      <c r="E92" s="47" t="str">
        <f aca="false">IF($Q92="","",INDEX('Lançar Resultado'!$C$3:$C$2002,$Q92))</f>
        <v/>
      </c>
      <c r="F92" s="47" t="str">
        <f aca="false">IF($Q92="","",IFERROR(INDEX(Equipamentos!$E$3:$E$52,MATCH($B92,Equipamentos!$A$3:$A$52,0)),""))</f>
        <v/>
      </c>
      <c r="G92" s="47" t="str">
        <f aca="false">IF($Q92="","",INDEX('Lançar Resultado'!$D$3:$D$2002,$Q92))</f>
        <v/>
      </c>
      <c r="H92" s="47" t="str">
        <f aca="false">IF($Q92="","",INDEX('Lançar Resultado'!$E$3:$E$2002,$Q92))</f>
        <v/>
      </c>
      <c r="I92" s="46" t="str">
        <f aca="false">IF($Q92="","",INDEX('Lançar Resultado'!$G$3:$G$2002,$Q92))</f>
        <v/>
      </c>
      <c r="J92" s="45" t="str">
        <f aca="false">IF($Q92="","",INDEX('Lançar Resultado'!$P$3:$P$2002,$Q92))</f>
        <v/>
      </c>
      <c r="K92" s="46" t="str">
        <f aca="false">IF($Q92="","",INDEX('Lançar Resultado'!$N$3:$N$2002,$Q92))</f>
        <v/>
      </c>
      <c r="L92" s="47" t="str">
        <f aca="false">IF($Q92="","",INDEX('Lançar Resultado'!$I$3:$I$2002,$Q92))</f>
        <v/>
      </c>
      <c r="M92" s="47" t="str">
        <f aca="false">IF($Q92="","",INDEX('Lançar Resultado'!$J$3:$J$2002,$Q92))</f>
        <v/>
      </c>
      <c r="N92" s="44" t="str">
        <f aca="false">IF($Q92="","",INDEX('Lançar Resultado'!$K$3:$K$2002,$Q92))</f>
        <v/>
      </c>
      <c r="O92" s="46" t="str">
        <f aca="false">IF($Q92="","",INDEX('Lançar Resultado'!$L$3:$L$2002,$Q92))</f>
        <v/>
      </c>
      <c r="P92" s="45" t="str">
        <f aca="false">IF($Q92="","",IF(OR($O92="Concluída",$N92=""),"",IF($N92&lt;INT(Parâmetros!$C$4),INT(Parâmetros!$C$4)-$N92,"")))</f>
        <v/>
      </c>
      <c r="Q92" s="45" t="str">
        <f aca="false">IFERROR(MATCH(90,'Lançar Resultado'!$Q$3:$Q$2002,0),"")</f>
        <v/>
      </c>
    </row>
    <row r="93" customFormat="false" ht="18" hidden="false" customHeight="true" outlineLevel="0" collapsed="false">
      <c r="A93" s="39" t="n">
        <v>91</v>
      </c>
      <c r="B93" s="47" t="str">
        <f aca="false">IF($Q93="","",INDEX('Lançar Resultado'!$A$3:$A$2002,$Q93))</f>
        <v/>
      </c>
      <c r="C93" s="44" t="str">
        <f aca="false">IF($Q93="","",INDEX('Lançar Resultado'!$B$3:$B$2002,$Q93))</f>
        <v/>
      </c>
      <c r="D93" s="46" t="str">
        <f aca="false">IF($Q93="","",IF(SUMPRODUCT((Inspeções!$B$3:$B$122=$B93)*(Inspeções!$A$3:$A$122=$C93)*(ROW(Inspeções!$B$3:$B$122)-3+1))=0,"",INDEX(Inspeções!$C$3:$C$122,SUMPRODUCT((Inspeções!$B$3:$B$122=$B93)*(Inspeções!$A$3:$A$122=$C93)*(ROW(Inspeções!$B$3:$B$122)-3+1)))))</f>
        <v/>
      </c>
      <c r="E93" s="47" t="str">
        <f aca="false">IF($Q93="","",INDEX('Lançar Resultado'!$C$3:$C$2002,$Q93))</f>
        <v/>
      </c>
      <c r="F93" s="47" t="str">
        <f aca="false">IF($Q93="","",IFERROR(INDEX(Equipamentos!$E$3:$E$52,MATCH($B93,Equipamentos!$A$3:$A$52,0)),""))</f>
        <v/>
      </c>
      <c r="G93" s="47" t="str">
        <f aca="false">IF($Q93="","",INDEX('Lançar Resultado'!$D$3:$D$2002,$Q93))</f>
        <v/>
      </c>
      <c r="H93" s="47" t="str">
        <f aca="false">IF($Q93="","",INDEX('Lançar Resultado'!$E$3:$E$2002,$Q93))</f>
        <v/>
      </c>
      <c r="I93" s="46" t="str">
        <f aca="false">IF($Q93="","",INDEX('Lançar Resultado'!$G$3:$G$2002,$Q93))</f>
        <v/>
      </c>
      <c r="J93" s="45" t="str">
        <f aca="false">IF($Q93="","",INDEX('Lançar Resultado'!$P$3:$P$2002,$Q93))</f>
        <v/>
      </c>
      <c r="K93" s="46" t="str">
        <f aca="false">IF($Q93="","",INDEX('Lançar Resultado'!$N$3:$N$2002,$Q93))</f>
        <v/>
      </c>
      <c r="L93" s="47" t="str">
        <f aca="false">IF($Q93="","",INDEX('Lançar Resultado'!$I$3:$I$2002,$Q93))</f>
        <v/>
      </c>
      <c r="M93" s="47" t="str">
        <f aca="false">IF($Q93="","",INDEX('Lançar Resultado'!$J$3:$J$2002,$Q93))</f>
        <v/>
      </c>
      <c r="N93" s="44" t="str">
        <f aca="false">IF($Q93="","",INDEX('Lançar Resultado'!$K$3:$K$2002,$Q93))</f>
        <v/>
      </c>
      <c r="O93" s="46" t="str">
        <f aca="false">IF($Q93="","",INDEX('Lançar Resultado'!$L$3:$L$2002,$Q93))</f>
        <v/>
      </c>
      <c r="P93" s="45" t="str">
        <f aca="false">IF($Q93="","",IF(OR($O93="Concluída",$N93=""),"",IF($N93&lt;INT(Parâmetros!$C$4),INT(Parâmetros!$C$4)-$N93,"")))</f>
        <v/>
      </c>
      <c r="Q93" s="45" t="str">
        <f aca="false">IFERROR(MATCH(91,'Lançar Resultado'!$Q$3:$Q$2002,0),"")</f>
        <v/>
      </c>
    </row>
    <row r="94" customFormat="false" ht="18" hidden="false" customHeight="true" outlineLevel="0" collapsed="false">
      <c r="A94" s="39" t="n">
        <v>92</v>
      </c>
      <c r="B94" s="47" t="str">
        <f aca="false">IF($Q94="","",INDEX('Lançar Resultado'!$A$3:$A$2002,$Q94))</f>
        <v/>
      </c>
      <c r="C94" s="44" t="str">
        <f aca="false">IF($Q94="","",INDEX('Lançar Resultado'!$B$3:$B$2002,$Q94))</f>
        <v/>
      </c>
      <c r="D94" s="46" t="str">
        <f aca="false">IF($Q94="","",IF(SUMPRODUCT((Inspeções!$B$3:$B$122=$B94)*(Inspeções!$A$3:$A$122=$C94)*(ROW(Inspeções!$B$3:$B$122)-3+1))=0,"",INDEX(Inspeções!$C$3:$C$122,SUMPRODUCT((Inspeções!$B$3:$B$122=$B94)*(Inspeções!$A$3:$A$122=$C94)*(ROW(Inspeções!$B$3:$B$122)-3+1)))))</f>
        <v/>
      </c>
      <c r="E94" s="47" t="str">
        <f aca="false">IF($Q94="","",INDEX('Lançar Resultado'!$C$3:$C$2002,$Q94))</f>
        <v/>
      </c>
      <c r="F94" s="47" t="str">
        <f aca="false">IF($Q94="","",IFERROR(INDEX(Equipamentos!$E$3:$E$52,MATCH($B94,Equipamentos!$A$3:$A$52,0)),""))</f>
        <v/>
      </c>
      <c r="G94" s="47" t="str">
        <f aca="false">IF($Q94="","",INDEX('Lançar Resultado'!$D$3:$D$2002,$Q94))</f>
        <v/>
      </c>
      <c r="H94" s="47" t="str">
        <f aca="false">IF($Q94="","",INDEX('Lançar Resultado'!$E$3:$E$2002,$Q94))</f>
        <v/>
      </c>
      <c r="I94" s="46" t="str">
        <f aca="false">IF($Q94="","",INDEX('Lançar Resultado'!$G$3:$G$2002,$Q94))</f>
        <v/>
      </c>
      <c r="J94" s="45" t="str">
        <f aca="false">IF($Q94="","",INDEX('Lançar Resultado'!$P$3:$P$2002,$Q94))</f>
        <v/>
      </c>
      <c r="K94" s="46" t="str">
        <f aca="false">IF($Q94="","",INDEX('Lançar Resultado'!$N$3:$N$2002,$Q94))</f>
        <v/>
      </c>
      <c r="L94" s="47" t="str">
        <f aca="false">IF($Q94="","",INDEX('Lançar Resultado'!$I$3:$I$2002,$Q94))</f>
        <v/>
      </c>
      <c r="M94" s="47" t="str">
        <f aca="false">IF($Q94="","",INDEX('Lançar Resultado'!$J$3:$J$2002,$Q94))</f>
        <v/>
      </c>
      <c r="N94" s="44" t="str">
        <f aca="false">IF($Q94="","",INDEX('Lançar Resultado'!$K$3:$K$2002,$Q94))</f>
        <v/>
      </c>
      <c r="O94" s="46" t="str">
        <f aca="false">IF($Q94="","",INDEX('Lançar Resultado'!$L$3:$L$2002,$Q94))</f>
        <v/>
      </c>
      <c r="P94" s="45" t="str">
        <f aca="false">IF($Q94="","",IF(OR($O94="Concluída",$N94=""),"",IF($N94&lt;INT(Parâmetros!$C$4),INT(Parâmetros!$C$4)-$N94,"")))</f>
        <v/>
      </c>
      <c r="Q94" s="45" t="str">
        <f aca="false">IFERROR(MATCH(92,'Lançar Resultado'!$Q$3:$Q$2002,0),"")</f>
        <v/>
      </c>
    </row>
    <row r="95" customFormat="false" ht="18" hidden="false" customHeight="true" outlineLevel="0" collapsed="false">
      <c r="A95" s="39" t="n">
        <v>93</v>
      </c>
      <c r="B95" s="47" t="str">
        <f aca="false">IF($Q95="","",INDEX('Lançar Resultado'!$A$3:$A$2002,$Q95))</f>
        <v/>
      </c>
      <c r="C95" s="44" t="str">
        <f aca="false">IF($Q95="","",INDEX('Lançar Resultado'!$B$3:$B$2002,$Q95))</f>
        <v/>
      </c>
      <c r="D95" s="46" t="str">
        <f aca="false">IF($Q95="","",IF(SUMPRODUCT((Inspeções!$B$3:$B$122=$B95)*(Inspeções!$A$3:$A$122=$C95)*(ROW(Inspeções!$B$3:$B$122)-3+1))=0,"",INDEX(Inspeções!$C$3:$C$122,SUMPRODUCT((Inspeções!$B$3:$B$122=$B95)*(Inspeções!$A$3:$A$122=$C95)*(ROW(Inspeções!$B$3:$B$122)-3+1)))))</f>
        <v/>
      </c>
      <c r="E95" s="47" t="str">
        <f aca="false">IF($Q95="","",INDEX('Lançar Resultado'!$C$3:$C$2002,$Q95))</f>
        <v/>
      </c>
      <c r="F95" s="47" t="str">
        <f aca="false">IF($Q95="","",IFERROR(INDEX(Equipamentos!$E$3:$E$52,MATCH($B95,Equipamentos!$A$3:$A$52,0)),""))</f>
        <v/>
      </c>
      <c r="G95" s="47" t="str">
        <f aca="false">IF($Q95="","",INDEX('Lançar Resultado'!$D$3:$D$2002,$Q95))</f>
        <v/>
      </c>
      <c r="H95" s="47" t="str">
        <f aca="false">IF($Q95="","",INDEX('Lançar Resultado'!$E$3:$E$2002,$Q95))</f>
        <v/>
      </c>
      <c r="I95" s="46" t="str">
        <f aca="false">IF($Q95="","",INDEX('Lançar Resultado'!$G$3:$G$2002,$Q95))</f>
        <v/>
      </c>
      <c r="J95" s="45" t="str">
        <f aca="false">IF($Q95="","",INDEX('Lançar Resultado'!$P$3:$P$2002,$Q95))</f>
        <v/>
      </c>
      <c r="K95" s="46" t="str">
        <f aca="false">IF($Q95="","",INDEX('Lançar Resultado'!$N$3:$N$2002,$Q95))</f>
        <v/>
      </c>
      <c r="L95" s="47" t="str">
        <f aca="false">IF($Q95="","",INDEX('Lançar Resultado'!$I$3:$I$2002,$Q95))</f>
        <v/>
      </c>
      <c r="M95" s="47" t="str">
        <f aca="false">IF($Q95="","",INDEX('Lançar Resultado'!$J$3:$J$2002,$Q95))</f>
        <v/>
      </c>
      <c r="N95" s="44" t="str">
        <f aca="false">IF($Q95="","",INDEX('Lançar Resultado'!$K$3:$K$2002,$Q95))</f>
        <v/>
      </c>
      <c r="O95" s="46" t="str">
        <f aca="false">IF($Q95="","",INDEX('Lançar Resultado'!$L$3:$L$2002,$Q95))</f>
        <v/>
      </c>
      <c r="P95" s="45" t="str">
        <f aca="false">IF($Q95="","",IF(OR($O95="Concluída",$N95=""),"",IF($N95&lt;INT(Parâmetros!$C$4),INT(Parâmetros!$C$4)-$N95,"")))</f>
        <v/>
      </c>
      <c r="Q95" s="45" t="str">
        <f aca="false">IFERROR(MATCH(93,'Lançar Resultado'!$Q$3:$Q$2002,0),"")</f>
        <v/>
      </c>
    </row>
    <row r="96" customFormat="false" ht="18" hidden="false" customHeight="true" outlineLevel="0" collapsed="false">
      <c r="A96" s="39" t="n">
        <v>94</v>
      </c>
      <c r="B96" s="47" t="str">
        <f aca="false">IF($Q96="","",INDEX('Lançar Resultado'!$A$3:$A$2002,$Q96))</f>
        <v/>
      </c>
      <c r="C96" s="44" t="str">
        <f aca="false">IF($Q96="","",INDEX('Lançar Resultado'!$B$3:$B$2002,$Q96))</f>
        <v/>
      </c>
      <c r="D96" s="46" t="str">
        <f aca="false">IF($Q96="","",IF(SUMPRODUCT((Inspeções!$B$3:$B$122=$B96)*(Inspeções!$A$3:$A$122=$C96)*(ROW(Inspeções!$B$3:$B$122)-3+1))=0,"",INDEX(Inspeções!$C$3:$C$122,SUMPRODUCT((Inspeções!$B$3:$B$122=$B96)*(Inspeções!$A$3:$A$122=$C96)*(ROW(Inspeções!$B$3:$B$122)-3+1)))))</f>
        <v/>
      </c>
      <c r="E96" s="47" t="str">
        <f aca="false">IF($Q96="","",INDEX('Lançar Resultado'!$C$3:$C$2002,$Q96))</f>
        <v/>
      </c>
      <c r="F96" s="47" t="str">
        <f aca="false">IF($Q96="","",IFERROR(INDEX(Equipamentos!$E$3:$E$52,MATCH($B96,Equipamentos!$A$3:$A$52,0)),""))</f>
        <v/>
      </c>
      <c r="G96" s="47" t="str">
        <f aca="false">IF($Q96="","",INDEX('Lançar Resultado'!$D$3:$D$2002,$Q96))</f>
        <v/>
      </c>
      <c r="H96" s="47" t="str">
        <f aca="false">IF($Q96="","",INDEX('Lançar Resultado'!$E$3:$E$2002,$Q96))</f>
        <v/>
      </c>
      <c r="I96" s="46" t="str">
        <f aca="false">IF($Q96="","",INDEX('Lançar Resultado'!$G$3:$G$2002,$Q96))</f>
        <v/>
      </c>
      <c r="J96" s="45" t="str">
        <f aca="false">IF($Q96="","",INDEX('Lançar Resultado'!$P$3:$P$2002,$Q96))</f>
        <v/>
      </c>
      <c r="K96" s="46" t="str">
        <f aca="false">IF($Q96="","",INDEX('Lançar Resultado'!$N$3:$N$2002,$Q96))</f>
        <v/>
      </c>
      <c r="L96" s="47" t="str">
        <f aca="false">IF($Q96="","",INDEX('Lançar Resultado'!$I$3:$I$2002,$Q96))</f>
        <v/>
      </c>
      <c r="M96" s="47" t="str">
        <f aca="false">IF($Q96="","",INDEX('Lançar Resultado'!$J$3:$J$2002,$Q96))</f>
        <v/>
      </c>
      <c r="N96" s="44" t="str">
        <f aca="false">IF($Q96="","",INDEX('Lançar Resultado'!$K$3:$K$2002,$Q96))</f>
        <v/>
      </c>
      <c r="O96" s="46" t="str">
        <f aca="false">IF($Q96="","",INDEX('Lançar Resultado'!$L$3:$L$2002,$Q96))</f>
        <v/>
      </c>
      <c r="P96" s="45" t="str">
        <f aca="false">IF($Q96="","",IF(OR($O96="Concluída",$N96=""),"",IF($N96&lt;INT(Parâmetros!$C$4),INT(Parâmetros!$C$4)-$N96,"")))</f>
        <v/>
      </c>
      <c r="Q96" s="45" t="str">
        <f aca="false">IFERROR(MATCH(94,'Lançar Resultado'!$Q$3:$Q$2002,0),"")</f>
        <v/>
      </c>
    </row>
    <row r="97" customFormat="false" ht="18" hidden="false" customHeight="true" outlineLevel="0" collapsed="false">
      <c r="A97" s="39" t="n">
        <v>95</v>
      </c>
      <c r="B97" s="47" t="str">
        <f aca="false">IF($Q97="","",INDEX('Lançar Resultado'!$A$3:$A$2002,$Q97))</f>
        <v/>
      </c>
      <c r="C97" s="44" t="str">
        <f aca="false">IF($Q97="","",INDEX('Lançar Resultado'!$B$3:$B$2002,$Q97))</f>
        <v/>
      </c>
      <c r="D97" s="46" t="str">
        <f aca="false">IF($Q97="","",IF(SUMPRODUCT((Inspeções!$B$3:$B$122=$B97)*(Inspeções!$A$3:$A$122=$C97)*(ROW(Inspeções!$B$3:$B$122)-3+1))=0,"",INDEX(Inspeções!$C$3:$C$122,SUMPRODUCT((Inspeções!$B$3:$B$122=$B97)*(Inspeções!$A$3:$A$122=$C97)*(ROW(Inspeções!$B$3:$B$122)-3+1)))))</f>
        <v/>
      </c>
      <c r="E97" s="47" t="str">
        <f aca="false">IF($Q97="","",INDEX('Lançar Resultado'!$C$3:$C$2002,$Q97))</f>
        <v/>
      </c>
      <c r="F97" s="47" t="str">
        <f aca="false">IF($Q97="","",IFERROR(INDEX(Equipamentos!$E$3:$E$52,MATCH($B97,Equipamentos!$A$3:$A$52,0)),""))</f>
        <v/>
      </c>
      <c r="G97" s="47" t="str">
        <f aca="false">IF($Q97="","",INDEX('Lançar Resultado'!$D$3:$D$2002,$Q97))</f>
        <v/>
      </c>
      <c r="H97" s="47" t="str">
        <f aca="false">IF($Q97="","",INDEX('Lançar Resultado'!$E$3:$E$2002,$Q97))</f>
        <v/>
      </c>
      <c r="I97" s="46" t="str">
        <f aca="false">IF($Q97="","",INDEX('Lançar Resultado'!$G$3:$G$2002,$Q97))</f>
        <v/>
      </c>
      <c r="J97" s="45" t="str">
        <f aca="false">IF($Q97="","",INDEX('Lançar Resultado'!$P$3:$P$2002,$Q97))</f>
        <v/>
      </c>
      <c r="K97" s="46" t="str">
        <f aca="false">IF($Q97="","",INDEX('Lançar Resultado'!$N$3:$N$2002,$Q97))</f>
        <v/>
      </c>
      <c r="L97" s="47" t="str">
        <f aca="false">IF($Q97="","",INDEX('Lançar Resultado'!$I$3:$I$2002,$Q97))</f>
        <v/>
      </c>
      <c r="M97" s="47" t="str">
        <f aca="false">IF($Q97="","",INDEX('Lançar Resultado'!$J$3:$J$2002,$Q97))</f>
        <v/>
      </c>
      <c r="N97" s="44" t="str">
        <f aca="false">IF($Q97="","",INDEX('Lançar Resultado'!$K$3:$K$2002,$Q97))</f>
        <v/>
      </c>
      <c r="O97" s="46" t="str">
        <f aca="false">IF($Q97="","",INDEX('Lançar Resultado'!$L$3:$L$2002,$Q97))</f>
        <v/>
      </c>
      <c r="P97" s="45" t="str">
        <f aca="false">IF($Q97="","",IF(OR($O97="Concluída",$N97=""),"",IF($N97&lt;INT(Parâmetros!$C$4),INT(Parâmetros!$C$4)-$N97,"")))</f>
        <v/>
      </c>
      <c r="Q97" s="45" t="str">
        <f aca="false">IFERROR(MATCH(95,'Lançar Resultado'!$Q$3:$Q$2002,0),"")</f>
        <v/>
      </c>
    </row>
    <row r="98" customFormat="false" ht="18" hidden="false" customHeight="true" outlineLevel="0" collapsed="false">
      <c r="A98" s="39" t="n">
        <v>96</v>
      </c>
      <c r="B98" s="47" t="str">
        <f aca="false">IF($Q98="","",INDEX('Lançar Resultado'!$A$3:$A$2002,$Q98))</f>
        <v/>
      </c>
      <c r="C98" s="44" t="str">
        <f aca="false">IF($Q98="","",INDEX('Lançar Resultado'!$B$3:$B$2002,$Q98))</f>
        <v/>
      </c>
      <c r="D98" s="46" t="str">
        <f aca="false">IF($Q98="","",IF(SUMPRODUCT((Inspeções!$B$3:$B$122=$B98)*(Inspeções!$A$3:$A$122=$C98)*(ROW(Inspeções!$B$3:$B$122)-3+1))=0,"",INDEX(Inspeções!$C$3:$C$122,SUMPRODUCT((Inspeções!$B$3:$B$122=$B98)*(Inspeções!$A$3:$A$122=$C98)*(ROW(Inspeções!$B$3:$B$122)-3+1)))))</f>
        <v/>
      </c>
      <c r="E98" s="47" t="str">
        <f aca="false">IF($Q98="","",INDEX('Lançar Resultado'!$C$3:$C$2002,$Q98))</f>
        <v/>
      </c>
      <c r="F98" s="47" t="str">
        <f aca="false">IF($Q98="","",IFERROR(INDEX(Equipamentos!$E$3:$E$52,MATCH($B98,Equipamentos!$A$3:$A$52,0)),""))</f>
        <v/>
      </c>
      <c r="G98" s="47" t="str">
        <f aca="false">IF($Q98="","",INDEX('Lançar Resultado'!$D$3:$D$2002,$Q98))</f>
        <v/>
      </c>
      <c r="H98" s="47" t="str">
        <f aca="false">IF($Q98="","",INDEX('Lançar Resultado'!$E$3:$E$2002,$Q98))</f>
        <v/>
      </c>
      <c r="I98" s="46" t="str">
        <f aca="false">IF($Q98="","",INDEX('Lançar Resultado'!$G$3:$G$2002,$Q98))</f>
        <v/>
      </c>
      <c r="J98" s="45" t="str">
        <f aca="false">IF($Q98="","",INDEX('Lançar Resultado'!$P$3:$P$2002,$Q98))</f>
        <v/>
      </c>
      <c r="K98" s="46" t="str">
        <f aca="false">IF($Q98="","",INDEX('Lançar Resultado'!$N$3:$N$2002,$Q98))</f>
        <v/>
      </c>
      <c r="L98" s="47" t="str">
        <f aca="false">IF($Q98="","",INDEX('Lançar Resultado'!$I$3:$I$2002,$Q98))</f>
        <v/>
      </c>
      <c r="M98" s="47" t="str">
        <f aca="false">IF($Q98="","",INDEX('Lançar Resultado'!$J$3:$J$2002,$Q98))</f>
        <v/>
      </c>
      <c r="N98" s="44" t="str">
        <f aca="false">IF($Q98="","",INDEX('Lançar Resultado'!$K$3:$K$2002,$Q98))</f>
        <v/>
      </c>
      <c r="O98" s="46" t="str">
        <f aca="false">IF($Q98="","",INDEX('Lançar Resultado'!$L$3:$L$2002,$Q98))</f>
        <v/>
      </c>
      <c r="P98" s="45" t="str">
        <f aca="false">IF($Q98="","",IF(OR($O98="Concluída",$N98=""),"",IF($N98&lt;INT(Parâmetros!$C$4),INT(Parâmetros!$C$4)-$N98,"")))</f>
        <v/>
      </c>
      <c r="Q98" s="45" t="str">
        <f aca="false">IFERROR(MATCH(96,'Lançar Resultado'!$Q$3:$Q$2002,0),"")</f>
        <v/>
      </c>
    </row>
    <row r="99" customFormat="false" ht="18" hidden="false" customHeight="true" outlineLevel="0" collapsed="false">
      <c r="A99" s="39" t="n">
        <v>97</v>
      </c>
      <c r="B99" s="47" t="str">
        <f aca="false">IF($Q99="","",INDEX('Lançar Resultado'!$A$3:$A$2002,$Q99))</f>
        <v/>
      </c>
      <c r="C99" s="44" t="str">
        <f aca="false">IF($Q99="","",INDEX('Lançar Resultado'!$B$3:$B$2002,$Q99))</f>
        <v/>
      </c>
      <c r="D99" s="46" t="str">
        <f aca="false">IF($Q99="","",IF(SUMPRODUCT((Inspeções!$B$3:$B$122=$B99)*(Inspeções!$A$3:$A$122=$C99)*(ROW(Inspeções!$B$3:$B$122)-3+1))=0,"",INDEX(Inspeções!$C$3:$C$122,SUMPRODUCT((Inspeções!$B$3:$B$122=$B99)*(Inspeções!$A$3:$A$122=$C99)*(ROW(Inspeções!$B$3:$B$122)-3+1)))))</f>
        <v/>
      </c>
      <c r="E99" s="47" t="str">
        <f aca="false">IF($Q99="","",INDEX('Lançar Resultado'!$C$3:$C$2002,$Q99))</f>
        <v/>
      </c>
      <c r="F99" s="47" t="str">
        <f aca="false">IF($Q99="","",IFERROR(INDEX(Equipamentos!$E$3:$E$52,MATCH($B99,Equipamentos!$A$3:$A$52,0)),""))</f>
        <v/>
      </c>
      <c r="G99" s="47" t="str">
        <f aca="false">IF($Q99="","",INDEX('Lançar Resultado'!$D$3:$D$2002,$Q99))</f>
        <v/>
      </c>
      <c r="H99" s="47" t="str">
        <f aca="false">IF($Q99="","",INDEX('Lançar Resultado'!$E$3:$E$2002,$Q99))</f>
        <v/>
      </c>
      <c r="I99" s="46" t="str">
        <f aca="false">IF($Q99="","",INDEX('Lançar Resultado'!$G$3:$G$2002,$Q99))</f>
        <v/>
      </c>
      <c r="J99" s="45" t="str">
        <f aca="false">IF($Q99="","",INDEX('Lançar Resultado'!$P$3:$P$2002,$Q99))</f>
        <v/>
      </c>
      <c r="K99" s="46" t="str">
        <f aca="false">IF($Q99="","",INDEX('Lançar Resultado'!$N$3:$N$2002,$Q99))</f>
        <v/>
      </c>
      <c r="L99" s="47" t="str">
        <f aca="false">IF($Q99="","",INDEX('Lançar Resultado'!$I$3:$I$2002,$Q99))</f>
        <v/>
      </c>
      <c r="M99" s="47" t="str">
        <f aca="false">IF($Q99="","",INDEX('Lançar Resultado'!$J$3:$J$2002,$Q99))</f>
        <v/>
      </c>
      <c r="N99" s="44" t="str">
        <f aca="false">IF($Q99="","",INDEX('Lançar Resultado'!$K$3:$K$2002,$Q99))</f>
        <v/>
      </c>
      <c r="O99" s="46" t="str">
        <f aca="false">IF($Q99="","",INDEX('Lançar Resultado'!$L$3:$L$2002,$Q99))</f>
        <v/>
      </c>
      <c r="P99" s="45" t="str">
        <f aca="false">IF($Q99="","",IF(OR($O99="Concluída",$N99=""),"",IF($N99&lt;INT(Parâmetros!$C$4),INT(Parâmetros!$C$4)-$N99,"")))</f>
        <v/>
      </c>
      <c r="Q99" s="45" t="str">
        <f aca="false">IFERROR(MATCH(97,'Lançar Resultado'!$Q$3:$Q$2002,0),"")</f>
        <v/>
      </c>
    </row>
    <row r="100" customFormat="false" ht="18" hidden="false" customHeight="true" outlineLevel="0" collapsed="false">
      <c r="A100" s="39" t="n">
        <v>98</v>
      </c>
      <c r="B100" s="47" t="str">
        <f aca="false">IF($Q100="","",INDEX('Lançar Resultado'!$A$3:$A$2002,$Q100))</f>
        <v/>
      </c>
      <c r="C100" s="44" t="str">
        <f aca="false">IF($Q100="","",INDEX('Lançar Resultado'!$B$3:$B$2002,$Q100))</f>
        <v/>
      </c>
      <c r="D100" s="46" t="str">
        <f aca="false">IF($Q100="","",IF(SUMPRODUCT((Inspeções!$B$3:$B$122=$B100)*(Inspeções!$A$3:$A$122=$C100)*(ROW(Inspeções!$B$3:$B$122)-3+1))=0,"",INDEX(Inspeções!$C$3:$C$122,SUMPRODUCT((Inspeções!$B$3:$B$122=$B100)*(Inspeções!$A$3:$A$122=$C100)*(ROW(Inspeções!$B$3:$B$122)-3+1)))))</f>
        <v/>
      </c>
      <c r="E100" s="47" t="str">
        <f aca="false">IF($Q100="","",INDEX('Lançar Resultado'!$C$3:$C$2002,$Q100))</f>
        <v/>
      </c>
      <c r="F100" s="47" t="str">
        <f aca="false">IF($Q100="","",IFERROR(INDEX(Equipamentos!$E$3:$E$52,MATCH($B100,Equipamentos!$A$3:$A$52,0)),""))</f>
        <v/>
      </c>
      <c r="G100" s="47" t="str">
        <f aca="false">IF($Q100="","",INDEX('Lançar Resultado'!$D$3:$D$2002,$Q100))</f>
        <v/>
      </c>
      <c r="H100" s="47" t="str">
        <f aca="false">IF($Q100="","",INDEX('Lançar Resultado'!$E$3:$E$2002,$Q100))</f>
        <v/>
      </c>
      <c r="I100" s="46" t="str">
        <f aca="false">IF($Q100="","",INDEX('Lançar Resultado'!$G$3:$G$2002,$Q100))</f>
        <v/>
      </c>
      <c r="J100" s="45" t="str">
        <f aca="false">IF($Q100="","",INDEX('Lançar Resultado'!$P$3:$P$2002,$Q100))</f>
        <v/>
      </c>
      <c r="K100" s="46" t="str">
        <f aca="false">IF($Q100="","",INDEX('Lançar Resultado'!$N$3:$N$2002,$Q100))</f>
        <v/>
      </c>
      <c r="L100" s="47" t="str">
        <f aca="false">IF($Q100="","",INDEX('Lançar Resultado'!$I$3:$I$2002,$Q100))</f>
        <v/>
      </c>
      <c r="M100" s="47" t="str">
        <f aca="false">IF($Q100="","",INDEX('Lançar Resultado'!$J$3:$J$2002,$Q100))</f>
        <v/>
      </c>
      <c r="N100" s="44" t="str">
        <f aca="false">IF($Q100="","",INDEX('Lançar Resultado'!$K$3:$K$2002,$Q100))</f>
        <v/>
      </c>
      <c r="O100" s="46" t="str">
        <f aca="false">IF($Q100="","",INDEX('Lançar Resultado'!$L$3:$L$2002,$Q100))</f>
        <v/>
      </c>
      <c r="P100" s="45" t="str">
        <f aca="false">IF($Q100="","",IF(OR($O100="Concluída",$N100=""),"",IF($N100&lt;INT(Parâmetros!$C$4),INT(Parâmetros!$C$4)-$N100,"")))</f>
        <v/>
      </c>
      <c r="Q100" s="45" t="str">
        <f aca="false">IFERROR(MATCH(98,'Lançar Resultado'!$Q$3:$Q$2002,0),"")</f>
        <v/>
      </c>
    </row>
    <row r="101" customFormat="false" ht="18" hidden="false" customHeight="true" outlineLevel="0" collapsed="false">
      <c r="A101" s="39" t="n">
        <v>99</v>
      </c>
      <c r="B101" s="47" t="str">
        <f aca="false">IF($Q101="","",INDEX('Lançar Resultado'!$A$3:$A$2002,$Q101))</f>
        <v/>
      </c>
      <c r="C101" s="44" t="str">
        <f aca="false">IF($Q101="","",INDEX('Lançar Resultado'!$B$3:$B$2002,$Q101))</f>
        <v/>
      </c>
      <c r="D101" s="46" t="str">
        <f aca="false">IF($Q101="","",IF(SUMPRODUCT((Inspeções!$B$3:$B$122=$B101)*(Inspeções!$A$3:$A$122=$C101)*(ROW(Inspeções!$B$3:$B$122)-3+1))=0,"",INDEX(Inspeções!$C$3:$C$122,SUMPRODUCT((Inspeções!$B$3:$B$122=$B101)*(Inspeções!$A$3:$A$122=$C101)*(ROW(Inspeções!$B$3:$B$122)-3+1)))))</f>
        <v/>
      </c>
      <c r="E101" s="47" t="str">
        <f aca="false">IF($Q101="","",INDEX('Lançar Resultado'!$C$3:$C$2002,$Q101))</f>
        <v/>
      </c>
      <c r="F101" s="47" t="str">
        <f aca="false">IF($Q101="","",IFERROR(INDEX(Equipamentos!$E$3:$E$52,MATCH($B101,Equipamentos!$A$3:$A$52,0)),""))</f>
        <v/>
      </c>
      <c r="G101" s="47" t="str">
        <f aca="false">IF($Q101="","",INDEX('Lançar Resultado'!$D$3:$D$2002,$Q101))</f>
        <v/>
      </c>
      <c r="H101" s="47" t="str">
        <f aca="false">IF($Q101="","",INDEX('Lançar Resultado'!$E$3:$E$2002,$Q101))</f>
        <v/>
      </c>
      <c r="I101" s="46" t="str">
        <f aca="false">IF($Q101="","",INDEX('Lançar Resultado'!$G$3:$G$2002,$Q101))</f>
        <v/>
      </c>
      <c r="J101" s="45" t="str">
        <f aca="false">IF($Q101="","",INDEX('Lançar Resultado'!$P$3:$P$2002,$Q101))</f>
        <v/>
      </c>
      <c r="K101" s="46" t="str">
        <f aca="false">IF($Q101="","",INDEX('Lançar Resultado'!$N$3:$N$2002,$Q101))</f>
        <v/>
      </c>
      <c r="L101" s="47" t="str">
        <f aca="false">IF($Q101="","",INDEX('Lançar Resultado'!$I$3:$I$2002,$Q101))</f>
        <v/>
      </c>
      <c r="M101" s="47" t="str">
        <f aca="false">IF($Q101="","",INDEX('Lançar Resultado'!$J$3:$J$2002,$Q101))</f>
        <v/>
      </c>
      <c r="N101" s="44" t="str">
        <f aca="false">IF($Q101="","",INDEX('Lançar Resultado'!$K$3:$K$2002,$Q101))</f>
        <v/>
      </c>
      <c r="O101" s="46" t="str">
        <f aca="false">IF($Q101="","",INDEX('Lançar Resultado'!$L$3:$L$2002,$Q101))</f>
        <v/>
      </c>
      <c r="P101" s="45" t="str">
        <f aca="false">IF($Q101="","",IF(OR($O101="Concluída",$N101=""),"",IF($N101&lt;INT(Parâmetros!$C$4),INT(Parâmetros!$C$4)-$N101,"")))</f>
        <v/>
      </c>
      <c r="Q101" s="45" t="str">
        <f aca="false">IFERROR(MATCH(99,'Lançar Resultado'!$Q$3:$Q$2002,0),"")</f>
        <v/>
      </c>
    </row>
    <row r="102" customFormat="false" ht="18" hidden="false" customHeight="true" outlineLevel="0" collapsed="false">
      <c r="A102" s="39" t="n">
        <v>100</v>
      </c>
      <c r="B102" s="47" t="str">
        <f aca="false">IF($Q102="","",INDEX('Lançar Resultado'!$A$3:$A$2002,$Q102))</f>
        <v/>
      </c>
      <c r="C102" s="44" t="str">
        <f aca="false">IF($Q102="","",INDEX('Lançar Resultado'!$B$3:$B$2002,$Q102))</f>
        <v/>
      </c>
      <c r="D102" s="46" t="str">
        <f aca="false">IF($Q102="","",IF(SUMPRODUCT((Inspeções!$B$3:$B$122=$B102)*(Inspeções!$A$3:$A$122=$C102)*(ROW(Inspeções!$B$3:$B$122)-3+1))=0,"",INDEX(Inspeções!$C$3:$C$122,SUMPRODUCT((Inspeções!$B$3:$B$122=$B102)*(Inspeções!$A$3:$A$122=$C102)*(ROW(Inspeções!$B$3:$B$122)-3+1)))))</f>
        <v/>
      </c>
      <c r="E102" s="47" t="str">
        <f aca="false">IF($Q102="","",INDEX('Lançar Resultado'!$C$3:$C$2002,$Q102))</f>
        <v/>
      </c>
      <c r="F102" s="47" t="str">
        <f aca="false">IF($Q102="","",IFERROR(INDEX(Equipamentos!$E$3:$E$52,MATCH($B102,Equipamentos!$A$3:$A$52,0)),""))</f>
        <v/>
      </c>
      <c r="G102" s="47" t="str">
        <f aca="false">IF($Q102="","",INDEX('Lançar Resultado'!$D$3:$D$2002,$Q102))</f>
        <v/>
      </c>
      <c r="H102" s="47" t="str">
        <f aca="false">IF($Q102="","",INDEX('Lançar Resultado'!$E$3:$E$2002,$Q102))</f>
        <v/>
      </c>
      <c r="I102" s="46" t="str">
        <f aca="false">IF($Q102="","",INDEX('Lançar Resultado'!$G$3:$G$2002,$Q102))</f>
        <v/>
      </c>
      <c r="J102" s="45" t="str">
        <f aca="false">IF($Q102="","",INDEX('Lançar Resultado'!$P$3:$P$2002,$Q102))</f>
        <v/>
      </c>
      <c r="K102" s="46" t="str">
        <f aca="false">IF($Q102="","",INDEX('Lançar Resultado'!$N$3:$N$2002,$Q102))</f>
        <v/>
      </c>
      <c r="L102" s="47" t="str">
        <f aca="false">IF($Q102="","",INDEX('Lançar Resultado'!$I$3:$I$2002,$Q102))</f>
        <v/>
      </c>
      <c r="M102" s="47" t="str">
        <f aca="false">IF($Q102="","",INDEX('Lançar Resultado'!$J$3:$J$2002,$Q102))</f>
        <v/>
      </c>
      <c r="N102" s="44" t="str">
        <f aca="false">IF($Q102="","",INDEX('Lançar Resultado'!$K$3:$K$2002,$Q102))</f>
        <v/>
      </c>
      <c r="O102" s="46" t="str">
        <f aca="false">IF($Q102="","",INDEX('Lançar Resultado'!$L$3:$L$2002,$Q102))</f>
        <v/>
      </c>
      <c r="P102" s="45" t="str">
        <f aca="false">IF($Q102="","",IF(OR($O102="Concluída",$N102=""),"",IF($N102&lt;INT(Parâmetros!$C$4),INT(Parâmetros!$C$4)-$N102,"")))</f>
        <v/>
      </c>
      <c r="Q102" s="45" t="str">
        <f aca="false">IFERROR(MATCH(100,'Lançar Resultado'!$Q$3:$Q$2002,0),"")</f>
        <v/>
      </c>
    </row>
    <row r="103" customFormat="false" ht="18" hidden="false" customHeight="true" outlineLevel="0" collapsed="false">
      <c r="A103" s="39" t="n">
        <v>101</v>
      </c>
      <c r="B103" s="47" t="str">
        <f aca="false">IF($Q103="","",INDEX('Lançar Resultado'!$A$3:$A$2002,$Q103))</f>
        <v/>
      </c>
      <c r="C103" s="44" t="str">
        <f aca="false">IF($Q103="","",INDEX('Lançar Resultado'!$B$3:$B$2002,$Q103))</f>
        <v/>
      </c>
      <c r="D103" s="46" t="str">
        <f aca="false">IF($Q103="","",IF(SUMPRODUCT((Inspeções!$B$3:$B$122=$B103)*(Inspeções!$A$3:$A$122=$C103)*(ROW(Inspeções!$B$3:$B$122)-3+1))=0,"",INDEX(Inspeções!$C$3:$C$122,SUMPRODUCT((Inspeções!$B$3:$B$122=$B103)*(Inspeções!$A$3:$A$122=$C103)*(ROW(Inspeções!$B$3:$B$122)-3+1)))))</f>
        <v/>
      </c>
      <c r="E103" s="47" t="str">
        <f aca="false">IF($Q103="","",INDEX('Lançar Resultado'!$C$3:$C$2002,$Q103))</f>
        <v/>
      </c>
      <c r="F103" s="47" t="str">
        <f aca="false">IF($Q103="","",IFERROR(INDEX(Equipamentos!$E$3:$E$52,MATCH($B103,Equipamentos!$A$3:$A$52,0)),""))</f>
        <v/>
      </c>
      <c r="G103" s="47" t="str">
        <f aca="false">IF($Q103="","",INDEX('Lançar Resultado'!$D$3:$D$2002,$Q103))</f>
        <v/>
      </c>
      <c r="H103" s="47" t="str">
        <f aca="false">IF($Q103="","",INDEX('Lançar Resultado'!$E$3:$E$2002,$Q103))</f>
        <v/>
      </c>
      <c r="I103" s="46" t="str">
        <f aca="false">IF($Q103="","",INDEX('Lançar Resultado'!$G$3:$G$2002,$Q103))</f>
        <v/>
      </c>
      <c r="J103" s="45" t="str">
        <f aca="false">IF($Q103="","",INDEX('Lançar Resultado'!$P$3:$P$2002,$Q103))</f>
        <v/>
      </c>
      <c r="K103" s="46" t="str">
        <f aca="false">IF($Q103="","",INDEX('Lançar Resultado'!$N$3:$N$2002,$Q103))</f>
        <v/>
      </c>
      <c r="L103" s="47" t="str">
        <f aca="false">IF($Q103="","",INDEX('Lançar Resultado'!$I$3:$I$2002,$Q103))</f>
        <v/>
      </c>
      <c r="M103" s="47" t="str">
        <f aca="false">IF($Q103="","",INDEX('Lançar Resultado'!$J$3:$J$2002,$Q103))</f>
        <v/>
      </c>
      <c r="N103" s="44" t="str">
        <f aca="false">IF($Q103="","",INDEX('Lançar Resultado'!$K$3:$K$2002,$Q103))</f>
        <v/>
      </c>
      <c r="O103" s="46" t="str">
        <f aca="false">IF($Q103="","",INDEX('Lançar Resultado'!$L$3:$L$2002,$Q103))</f>
        <v/>
      </c>
      <c r="P103" s="45" t="str">
        <f aca="false">IF($Q103="","",IF(OR($O103="Concluída",$N103=""),"",IF($N103&lt;INT(Parâmetros!$C$4),INT(Parâmetros!$C$4)-$N103,"")))</f>
        <v/>
      </c>
      <c r="Q103" s="45" t="str">
        <f aca="false">IFERROR(MATCH(101,'Lançar Resultado'!$Q$3:$Q$2002,0),"")</f>
        <v/>
      </c>
    </row>
    <row r="104" customFormat="false" ht="18" hidden="false" customHeight="true" outlineLevel="0" collapsed="false">
      <c r="A104" s="39" t="n">
        <v>102</v>
      </c>
      <c r="B104" s="47" t="str">
        <f aca="false">IF($Q104="","",INDEX('Lançar Resultado'!$A$3:$A$2002,$Q104))</f>
        <v/>
      </c>
      <c r="C104" s="44" t="str">
        <f aca="false">IF($Q104="","",INDEX('Lançar Resultado'!$B$3:$B$2002,$Q104))</f>
        <v/>
      </c>
      <c r="D104" s="46" t="str">
        <f aca="false">IF($Q104="","",IF(SUMPRODUCT((Inspeções!$B$3:$B$122=$B104)*(Inspeções!$A$3:$A$122=$C104)*(ROW(Inspeções!$B$3:$B$122)-3+1))=0,"",INDEX(Inspeções!$C$3:$C$122,SUMPRODUCT((Inspeções!$B$3:$B$122=$B104)*(Inspeções!$A$3:$A$122=$C104)*(ROW(Inspeções!$B$3:$B$122)-3+1)))))</f>
        <v/>
      </c>
      <c r="E104" s="47" t="str">
        <f aca="false">IF($Q104="","",INDEX('Lançar Resultado'!$C$3:$C$2002,$Q104))</f>
        <v/>
      </c>
      <c r="F104" s="47" t="str">
        <f aca="false">IF($Q104="","",IFERROR(INDEX(Equipamentos!$E$3:$E$52,MATCH($B104,Equipamentos!$A$3:$A$52,0)),""))</f>
        <v/>
      </c>
      <c r="G104" s="47" t="str">
        <f aca="false">IF($Q104="","",INDEX('Lançar Resultado'!$D$3:$D$2002,$Q104))</f>
        <v/>
      </c>
      <c r="H104" s="47" t="str">
        <f aca="false">IF($Q104="","",INDEX('Lançar Resultado'!$E$3:$E$2002,$Q104))</f>
        <v/>
      </c>
      <c r="I104" s="46" t="str">
        <f aca="false">IF($Q104="","",INDEX('Lançar Resultado'!$G$3:$G$2002,$Q104))</f>
        <v/>
      </c>
      <c r="J104" s="45" t="str">
        <f aca="false">IF($Q104="","",INDEX('Lançar Resultado'!$P$3:$P$2002,$Q104))</f>
        <v/>
      </c>
      <c r="K104" s="46" t="str">
        <f aca="false">IF($Q104="","",INDEX('Lançar Resultado'!$N$3:$N$2002,$Q104))</f>
        <v/>
      </c>
      <c r="L104" s="47" t="str">
        <f aca="false">IF($Q104="","",INDEX('Lançar Resultado'!$I$3:$I$2002,$Q104))</f>
        <v/>
      </c>
      <c r="M104" s="47" t="str">
        <f aca="false">IF($Q104="","",INDEX('Lançar Resultado'!$J$3:$J$2002,$Q104))</f>
        <v/>
      </c>
      <c r="N104" s="44" t="str">
        <f aca="false">IF($Q104="","",INDEX('Lançar Resultado'!$K$3:$K$2002,$Q104))</f>
        <v/>
      </c>
      <c r="O104" s="46" t="str">
        <f aca="false">IF($Q104="","",INDEX('Lançar Resultado'!$L$3:$L$2002,$Q104))</f>
        <v/>
      </c>
      <c r="P104" s="45" t="str">
        <f aca="false">IF($Q104="","",IF(OR($O104="Concluída",$N104=""),"",IF($N104&lt;INT(Parâmetros!$C$4),INT(Parâmetros!$C$4)-$N104,"")))</f>
        <v/>
      </c>
      <c r="Q104" s="45" t="str">
        <f aca="false">IFERROR(MATCH(102,'Lançar Resultado'!$Q$3:$Q$2002,0),"")</f>
        <v/>
      </c>
    </row>
    <row r="105" customFormat="false" ht="18" hidden="false" customHeight="true" outlineLevel="0" collapsed="false">
      <c r="A105" s="39" t="n">
        <v>103</v>
      </c>
      <c r="B105" s="47" t="str">
        <f aca="false">IF($Q105="","",INDEX('Lançar Resultado'!$A$3:$A$2002,$Q105))</f>
        <v/>
      </c>
      <c r="C105" s="44" t="str">
        <f aca="false">IF($Q105="","",INDEX('Lançar Resultado'!$B$3:$B$2002,$Q105))</f>
        <v/>
      </c>
      <c r="D105" s="46" t="str">
        <f aca="false">IF($Q105="","",IF(SUMPRODUCT((Inspeções!$B$3:$B$122=$B105)*(Inspeções!$A$3:$A$122=$C105)*(ROW(Inspeções!$B$3:$B$122)-3+1))=0,"",INDEX(Inspeções!$C$3:$C$122,SUMPRODUCT((Inspeções!$B$3:$B$122=$B105)*(Inspeções!$A$3:$A$122=$C105)*(ROW(Inspeções!$B$3:$B$122)-3+1)))))</f>
        <v/>
      </c>
      <c r="E105" s="47" t="str">
        <f aca="false">IF($Q105="","",INDEX('Lançar Resultado'!$C$3:$C$2002,$Q105))</f>
        <v/>
      </c>
      <c r="F105" s="47" t="str">
        <f aca="false">IF($Q105="","",IFERROR(INDEX(Equipamentos!$E$3:$E$52,MATCH($B105,Equipamentos!$A$3:$A$52,0)),""))</f>
        <v/>
      </c>
      <c r="G105" s="47" t="str">
        <f aca="false">IF($Q105="","",INDEX('Lançar Resultado'!$D$3:$D$2002,$Q105))</f>
        <v/>
      </c>
      <c r="H105" s="47" t="str">
        <f aca="false">IF($Q105="","",INDEX('Lançar Resultado'!$E$3:$E$2002,$Q105))</f>
        <v/>
      </c>
      <c r="I105" s="46" t="str">
        <f aca="false">IF($Q105="","",INDEX('Lançar Resultado'!$G$3:$G$2002,$Q105))</f>
        <v/>
      </c>
      <c r="J105" s="45" t="str">
        <f aca="false">IF($Q105="","",INDEX('Lançar Resultado'!$P$3:$P$2002,$Q105))</f>
        <v/>
      </c>
      <c r="K105" s="46" t="str">
        <f aca="false">IF($Q105="","",INDEX('Lançar Resultado'!$N$3:$N$2002,$Q105))</f>
        <v/>
      </c>
      <c r="L105" s="47" t="str">
        <f aca="false">IF($Q105="","",INDEX('Lançar Resultado'!$I$3:$I$2002,$Q105))</f>
        <v/>
      </c>
      <c r="M105" s="47" t="str">
        <f aca="false">IF($Q105="","",INDEX('Lançar Resultado'!$J$3:$J$2002,$Q105))</f>
        <v/>
      </c>
      <c r="N105" s="44" t="str">
        <f aca="false">IF($Q105="","",INDEX('Lançar Resultado'!$K$3:$K$2002,$Q105))</f>
        <v/>
      </c>
      <c r="O105" s="46" t="str">
        <f aca="false">IF($Q105="","",INDEX('Lançar Resultado'!$L$3:$L$2002,$Q105))</f>
        <v/>
      </c>
      <c r="P105" s="45" t="str">
        <f aca="false">IF($Q105="","",IF(OR($O105="Concluída",$N105=""),"",IF($N105&lt;INT(Parâmetros!$C$4),INT(Parâmetros!$C$4)-$N105,"")))</f>
        <v/>
      </c>
      <c r="Q105" s="45" t="str">
        <f aca="false">IFERROR(MATCH(103,'Lançar Resultado'!$Q$3:$Q$2002,0),"")</f>
        <v/>
      </c>
    </row>
    <row r="106" customFormat="false" ht="18" hidden="false" customHeight="true" outlineLevel="0" collapsed="false">
      <c r="A106" s="39" t="n">
        <v>104</v>
      </c>
      <c r="B106" s="47" t="str">
        <f aca="false">IF($Q106="","",INDEX('Lançar Resultado'!$A$3:$A$2002,$Q106))</f>
        <v/>
      </c>
      <c r="C106" s="44" t="str">
        <f aca="false">IF($Q106="","",INDEX('Lançar Resultado'!$B$3:$B$2002,$Q106))</f>
        <v/>
      </c>
      <c r="D106" s="46" t="str">
        <f aca="false">IF($Q106="","",IF(SUMPRODUCT((Inspeções!$B$3:$B$122=$B106)*(Inspeções!$A$3:$A$122=$C106)*(ROW(Inspeções!$B$3:$B$122)-3+1))=0,"",INDEX(Inspeções!$C$3:$C$122,SUMPRODUCT((Inspeções!$B$3:$B$122=$B106)*(Inspeções!$A$3:$A$122=$C106)*(ROW(Inspeções!$B$3:$B$122)-3+1)))))</f>
        <v/>
      </c>
      <c r="E106" s="47" t="str">
        <f aca="false">IF($Q106="","",INDEX('Lançar Resultado'!$C$3:$C$2002,$Q106))</f>
        <v/>
      </c>
      <c r="F106" s="47" t="str">
        <f aca="false">IF($Q106="","",IFERROR(INDEX(Equipamentos!$E$3:$E$52,MATCH($B106,Equipamentos!$A$3:$A$52,0)),""))</f>
        <v/>
      </c>
      <c r="G106" s="47" t="str">
        <f aca="false">IF($Q106="","",INDEX('Lançar Resultado'!$D$3:$D$2002,$Q106))</f>
        <v/>
      </c>
      <c r="H106" s="47" t="str">
        <f aca="false">IF($Q106="","",INDEX('Lançar Resultado'!$E$3:$E$2002,$Q106))</f>
        <v/>
      </c>
      <c r="I106" s="46" t="str">
        <f aca="false">IF($Q106="","",INDEX('Lançar Resultado'!$G$3:$G$2002,$Q106))</f>
        <v/>
      </c>
      <c r="J106" s="45" t="str">
        <f aca="false">IF($Q106="","",INDEX('Lançar Resultado'!$P$3:$P$2002,$Q106))</f>
        <v/>
      </c>
      <c r="K106" s="46" t="str">
        <f aca="false">IF($Q106="","",INDEX('Lançar Resultado'!$N$3:$N$2002,$Q106))</f>
        <v/>
      </c>
      <c r="L106" s="47" t="str">
        <f aca="false">IF($Q106="","",INDEX('Lançar Resultado'!$I$3:$I$2002,$Q106))</f>
        <v/>
      </c>
      <c r="M106" s="47" t="str">
        <f aca="false">IF($Q106="","",INDEX('Lançar Resultado'!$J$3:$J$2002,$Q106))</f>
        <v/>
      </c>
      <c r="N106" s="44" t="str">
        <f aca="false">IF($Q106="","",INDEX('Lançar Resultado'!$K$3:$K$2002,$Q106))</f>
        <v/>
      </c>
      <c r="O106" s="46" t="str">
        <f aca="false">IF($Q106="","",INDEX('Lançar Resultado'!$L$3:$L$2002,$Q106))</f>
        <v/>
      </c>
      <c r="P106" s="45" t="str">
        <f aca="false">IF($Q106="","",IF(OR($O106="Concluída",$N106=""),"",IF($N106&lt;INT(Parâmetros!$C$4),INT(Parâmetros!$C$4)-$N106,"")))</f>
        <v/>
      </c>
      <c r="Q106" s="45" t="str">
        <f aca="false">IFERROR(MATCH(104,'Lançar Resultado'!$Q$3:$Q$2002,0),"")</f>
        <v/>
      </c>
    </row>
    <row r="107" customFormat="false" ht="18" hidden="false" customHeight="true" outlineLevel="0" collapsed="false">
      <c r="A107" s="39" t="n">
        <v>105</v>
      </c>
      <c r="B107" s="47" t="str">
        <f aca="false">IF($Q107="","",INDEX('Lançar Resultado'!$A$3:$A$2002,$Q107))</f>
        <v/>
      </c>
      <c r="C107" s="44" t="str">
        <f aca="false">IF($Q107="","",INDEX('Lançar Resultado'!$B$3:$B$2002,$Q107))</f>
        <v/>
      </c>
      <c r="D107" s="46" t="str">
        <f aca="false">IF($Q107="","",IF(SUMPRODUCT((Inspeções!$B$3:$B$122=$B107)*(Inspeções!$A$3:$A$122=$C107)*(ROW(Inspeções!$B$3:$B$122)-3+1))=0,"",INDEX(Inspeções!$C$3:$C$122,SUMPRODUCT((Inspeções!$B$3:$B$122=$B107)*(Inspeções!$A$3:$A$122=$C107)*(ROW(Inspeções!$B$3:$B$122)-3+1)))))</f>
        <v/>
      </c>
      <c r="E107" s="47" t="str">
        <f aca="false">IF($Q107="","",INDEX('Lançar Resultado'!$C$3:$C$2002,$Q107))</f>
        <v/>
      </c>
      <c r="F107" s="47" t="str">
        <f aca="false">IF($Q107="","",IFERROR(INDEX(Equipamentos!$E$3:$E$52,MATCH($B107,Equipamentos!$A$3:$A$52,0)),""))</f>
        <v/>
      </c>
      <c r="G107" s="47" t="str">
        <f aca="false">IF($Q107="","",INDEX('Lançar Resultado'!$D$3:$D$2002,$Q107))</f>
        <v/>
      </c>
      <c r="H107" s="47" t="str">
        <f aca="false">IF($Q107="","",INDEX('Lançar Resultado'!$E$3:$E$2002,$Q107))</f>
        <v/>
      </c>
      <c r="I107" s="46" t="str">
        <f aca="false">IF($Q107="","",INDEX('Lançar Resultado'!$G$3:$G$2002,$Q107))</f>
        <v/>
      </c>
      <c r="J107" s="45" t="str">
        <f aca="false">IF($Q107="","",INDEX('Lançar Resultado'!$P$3:$P$2002,$Q107))</f>
        <v/>
      </c>
      <c r="K107" s="46" t="str">
        <f aca="false">IF($Q107="","",INDEX('Lançar Resultado'!$N$3:$N$2002,$Q107))</f>
        <v/>
      </c>
      <c r="L107" s="47" t="str">
        <f aca="false">IF($Q107="","",INDEX('Lançar Resultado'!$I$3:$I$2002,$Q107))</f>
        <v/>
      </c>
      <c r="M107" s="47" t="str">
        <f aca="false">IF($Q107="","",INDEX('Lançar Resultado'!$J$3:$J$2002,$Q107))</f>
        <v/>
      </c>
      <c r="N107" s="44" t="str">
        <f aca="false">IF($Q107="","",INDEX('Lançar Resultado'!$K$3:$K$2002,$Q107))</f>
        <v/>
      </c>
      <c r="O107" s="46" t="str">
        <f aca="false">IF($Q107="","",INDEX('Lançar Resultado'!$L$3:$L$2002,$Q107))</f>
        <v/>
      </c>
      <c r="P107" s="45" t="str">
        <f aca="false">IF($Q107="","",IF(OR($O107="Concluída",$N107=""),"",IF($N107&lt;INT(Parâmetros!$C$4),INT(Parâmetros!$C$4)-$N107,"")))</f>
        <v/>
      </c>
      <c r="Q107" s="45" t="str">
        <f aca="false">IFERROR(MATCH(105,'Lançar Resultado'!$Q$3:$Q$2002,0),"")</f>
        <v/>
      </c>
    </row>
    <row r="108" customFormat="false" ht="18" hidden="false" customHeight="true" outlineLevel="0" collapsed="false">
      <c r="A108" s="39" t="n">
        <v>106</v>
      </c>
      <c r="B108" s="47" t="str">
        <f aca="false">IF($Q108="","",INDEX('Lançar Resultado'!$A$3:$A$2002,$Q108))</f>
        <v/>
      </c>
      <c r="C108" s="44" t="str">
        <f aca="false">IF($Q108="","",INDEX('Lançar Resultado'!$B$3:$B$2002,$Q108))</f>
        <v/>
      </c>
      <c r="D108" s="46" t="str">
        <f aca="false">IF($Q108="","",IF(SUMPRODUCT((Inspeções!$B$3:$B$122=$B108)*(Inspeções!$A$3:$A$122=$C108)*(ROW(Inspeções!$B$3:$B$122)-3+1))=0,"",INDEX(Inspeções!$C$3:$C$122,SUMPRODUCT((Inspeções!$B$3:$B$122=$B108)*(Inspeções!$A$3:$A$122=$C108)*(ROW(Inspeções!$B$3:$B$122)-3+1)))))</f>
        <v/>
      </c>
      <c r="E108" s="47" t="str">
        <f aca="false">IF($Q108="","",INDEX('Lançar Resultado'!$C$3:$C$2002,$Q108))</f>
        <v/>
      </c>
      <c r="F108" s="47" t="str">
        <f aca="false">IF($Q108="","",IFERROR(INDEX(Equipamentos!$E$3:$E$52,MATCH($B108,Equipamentos!$A$3:$A$52,0)),""))</f>
        <v/>
      </c>
      <c r="G108" s="47" t="str">
        <f aca="false">IF($Q108="","",INDEX('Lançar Resultado'!$D$3:$D$2002,$Q108))</f>
        <v/>
      </c>
      <c r="H108" s="47" t="str">
        <f aca="false">IF($Q108="","",INDEX('Lançar Resultado'!$E$3:$E$2002,$Q108))</f>
        <v/>
      </c>
      <c r="I108" s="46" t="str">
        <f aca="false">IF($Q108="","",INDEX('Lançar Resultado'!$G$3:$G$2002,$Q108))</f>
        <v/>
      </c>
      <c r="J108" s="45" t="str">
        <f aca="false">IF($Q108="","",INDEX('Lançar Resultado'!$P$3:$P$2002,$Q108))</f>
        <v/>
      </c>
      <c r="K108" s="46" t="str">
        <f aca="false">IF($Q108="","",INDEX('Lançar Resultado'!$N$3:$N$2002,$Q108))</f>
        <v/>
      </c>
      <c r="L108" s="47" t="str">
        <f aca="false">IF($Q108="","",INDEX('Lançar Resultado'!$I$3:$I$2002,$Q108))</f>
        <v/>
      </c>
      <c r="M108" s="47" t="str">
        <f aca="false">IF($Q108="","",INDEX('Lançar Resultado'!$J$3:$J$2002,$Q108))</f>
        <v/>
      </c>
      <c r="N108" s="44" t="str">
        <f aca="false">IF($Q108="","",INDEX('Lançar Resultado'!$K$3:$K$2002,$Q108))</f>
        <v/>
      </c>
      <c r="O108" s="46" t="str">
        <f aca="false">IF($Q108="","",INDEX('Lançar Resultado'!$L$3:$L$2002,$Q108))</f>
        <v/>
      </c>
      <c r="P108" s="45" t="str">
        <f aca="false">IF($Q108="","",IF(OR($O108="Concluída",$N108=""),"",IF($N108&lt;INT(Parâmetros!$C$4),INT(Parâmetros!$C$4)-$N108,"")))</f>
        <v/>
      </c>
      <c r="Q108" s="45" t="str">
        <f aca="false">IFERROR(MATCH(106,'Lançar Resultado'!$Q$3:$Q$2002,0),"")</f>
        <v/>
      </c>
    </row>
    <row r="109" customFormat="false" ht="18" hidden="false" customHeight="true" outlineLevel="0" collapsed="false">
      <c r="A109" s="39" t="n">
        <v>107</v>
      </c>
      <c r="B109" s="47" t="str">
        <f aca="false">IF($Q109="","",INDEX('Lançar Resultado'!$A$3:$A$2002,$Q109))</f>
        <v/>
      </c>
      <c r="C109" s="44" t="str">
        <f aca="false">IF($Q109="","",INDEX('Lançar Resultado'!$B$3:$B$2002,$Q109))</f>
        <v/>
      </c>
      <c r="D109" s="46" t="str">
        <f aca="false">IF($Q109="","",IF(SUMPRODUCT((Inspeções!$B$3:$B$122=$B109)*(Inspeções!$A$3:$A$122=$C109)*(ROW(Inspeções!$B$3:$B$122)-3+1))=0,"",INDEX(Inspeções!$C$3:$C$122,SUMPRODUCT((Inspeções!$B$3:$B$122=$B109)*(Inspeções!$A$3:$A$122=$C109)*(ROW(Inspeções!$B$3:$B$122)-3+1)))))</f>
        <v/>
      </c>
      <c r="E109" s="47" t="str">
        <f aca="false">IF($Q109="","",INDEX('Lançar Resultado'!$C$3:$C$2002,$Q109))</f>
        <v/>
      </c>
      <c r="F109" s="47" t="str">
        <f aca="false">IF($Q109="","",IFERROR(INDEX(Equipamentos!$E$3:$E$52,MATCH($B109,Equipamentos!$A$3:$A$52,0)),""))</f>
        <v/>
      </c>
      <c r="G109" s="47" t="str">
        <f aca="false">IF($Q109="","",INDEX('Lançar Resultado'!$D$3:$D$2002,$Q109))</f>
        <v/>
      </c>
      <c r="H109" s="47" t="str">
        <f aca="false">IF($Q109="","",INDEX('Lançar Resultado'!$E$3:$E$2002,$Q109))</f>
        <v/>
      </c>
      <c r="I109" s="46" t="str">
        <f aca="false">IF($Q109="","",INDEX('Lançar Resultado'!$G$3:$G$2002,$Q109))</f>
        <v/>
      </c>
      <c r="J109" s="45" t="str">
        <f aca="false">IF($Q109="","",INDEX('Lançar Resultado'!$P$3:$P$2002,$Q109))</f>
        <v/>
      </c>
      <c r="K109" s="46" t="str">
        <f aca="false">IF($Q109="","",INDEX('Lançar Resultado'!$N$3:$N$2002,$Q109))</f>
        <v/>
      </c>
      <c r="L109" s="47" t="str">
        <f aca="false">IF($Q109="","",INDEX('Lançar Resultado'!$I$3:$I$2002,$Q109))</f>
        <v/>
      </c>
      <c r="M109" s="47" t="str">
        <f aca="false">IF($Q109="","",INDEX('Lançar Resultado'!$J$3:$J$2002,$Q109))</f>
        <v/>
      </c>
      <c r="N109" s="44" t="str">
        <f aca="false">IF($Q109="","",INDEX('Lançar Resultado'!$K$3:$K$2002,$Q109))</f>
        <v/>
      </c>
      <c r="O109" s="46" t="str">
        <f aca="false">IF($Q109="","",INDEX('Lançar Resultado'!$L$3:$L$2002,$Q109))</f>
        <v/>
      </c>
      <c r="P109" s="45" t="str">
        <f aca="false">IF($Q109="","",IF(OR($O109="Concluída",$N109=""),"",IF($N109&lt;INT(Parâmetros!$C$4),INT(Parâmetros!$C$4)-$N109,"")))</f>
        <v/>
      </c>
      <c r="Q109" s="45" t="str">
        <f aca="false">IFERROR(MATCH(107,'Lançar Resultado'!$Q$3:$Q$2002,0),"")</f>
        <v/>
      </c>
    </row>
    <row r="110" customFormat="false" ht="18" hidden="false" customHeight="true" outlineLevel="0" collapsed="false">
      <c r="A110" s="39" t="n">
        <v>108</v>
      </c>
      <c r="B110" s="47" t="str">
        <f aca="false">IF($Q110="","",INDEX('Lançar Resultado'!$A$3:$A$2002,$Q110))</f>
        <v/>
      </c>
      <c r="C110" s="44" t="str">
        <f aca="false">IF($Q110="","",INDEX('Lançar Resultado'!$B$3:$B$2002,$Q110))</f>
        <v/>
      </c>
      <c r="D110" s="46" t="str">
        <f aca="false">IF($Q110="","",IF(SUMPRODUCT((Inspeções!$B$3:$B$122=$B110)*(Inspeções!$A$3:$A$122=$C110)*(ROW(Inspeções!$B$3:$B$122)-3+1))=0,"",INDEX(Inspeções!$C$3:$C$122,SUMPRODUCT((Inspeções!$B$3:$B$122=$B110)*(Inspeções!$A$3:$A$122=$C110)*(ROW(Inspeções!$B$3:$B$122)-3+1)))))</f>
        <v/>
      </c>
      <c r="E110" s="47" t="str">
        <f aca="false">IF($Q110="","",INDEX('Lançar Resultado'!$C$3:$C$2002,$Q110))</f>
        <v/>
      </c>
      <c r="F110" s="47" t="str">
        <f aca="false">IF($Q110="","",IFERROR(INDEX(Equipamentos!$E$3:$E$52,MATCH($B110,Equipamentos!$A$3:$A$52,0)),""))</f>
        <v/>
      </c>
      <c r="G110" s="47" t="str">
        <f aca="false">IF($Q110="","",INDEX('Lançar Resultado'!$D$3:$D$2002,$Q110))</f>
        <v/>
      </c>
      <c r="H110" s="47" t="str">
        <f aca="false">IF($Q110="","",INDEX('Lançar Resultado'!$E$3:$E$2002,$Q110))</f>
        <v/>
      </c>
      <c r="I110" s="46" t="str">
        <f aca="false">IF($Q110="","",INDEX('Lançar Resultado'!$G$3:$G$2002,$Q110))</f>
        <v/>
      </c>
      <c r="J110" s="45" t="str">
        <f aca="false">IF($Q110="","",INDEX('Lançar Resultado'!$P$3:$P$2002,$Q110))</f>
        <v/>
      </c>
      <c r="K110" s="46" t="str">
        <f aca="false">IF($Q110="","",INDEX('Lançar Resultado'!$N$3:$N$2002,$Q110))</f>
        <v/>
      </c>
      <c r="L110" s="47" t="str">
        <f aca="false">IF($Q110="","",INDEX('Lançar Resultado'!$I$3:$I$2002,$Q110))</f>
        <v/>
      </c>
      <c r="M110" s="47" t="str">
        <f aca="false">IF($Q110="","",INDEX('Lançar Resultado'!$J$3:$J$2002,$Q110))</f>
        <v/>
      </c>
      <c r="N110" s="44" t="str">
        <f aca="false">IF($Q110="","",INDEX('Lançar Resultado'!$K$3:$K$2002,$Q110))</f>
        <v/>
      </c>
      <c r="O110" s="46" t="str">
        <f aca="false">IF($Q110="","",INDEX('Lançar Resultado'!$L$3:$L$2002,$Q110))</f>
        <v/>
      </c>
      <c r="P110" s="45" t="str">
        <f aca="false">IF($Q110="","",IF(OR($O110="Concluída",$N110=""),"",IF($N110&lt;INT(Parâmetros!$C$4),INT(Parâmetros!$C$4)-$N110,"")))</f>
        <v/>
      </c>
      <c r="Q110" s="45" t="str">
        <f aca="false">IFERROR(MATCH(108,'Lançar Resultado'!$Q$3:$Q$2002,0),"")</f>
        <v/>
      </c>
    </row>
    <row r="111" customFormat="false" ht="18" hidden="false" customHeight="true" outlineLevel="0" collapsed="false">
      <c r="A111" s="39" t="n">
        <v>109</v>
      </c>
      <c r="B111" s="47" t="str">
        <f aca="false">IF($Q111="","",INDEX('Lançar Resultado'!$A$3:$A$2002,$Q111))</f>
        <v/>
      </c>
      <c r="C111" s="44" t="str">
        <f aca="false">IF($Q111="","",INDEX('Lançar Resultado'!$B$3:$B$2002,$Q111))</f>
        <v/>
      </c>
      <c r="D111" s="46" t="str">
        <f aca="false">IF($Q111="","",IF(SUMPRODUCT((Inspeções!$B$3:$B$122=$B111)*(Inspeções!$A$3:$A$122=$C111)*(ROW(Inspeções!$B$3:$B$122)-3+1))=0,"",INDEX(Inspeções!$C$3:$C$122,SUMPRODUCT((Inspeções!$B$3:$B$122=$B111)*(Inspeções!$A$3:$A$122=$C111)*(ROW(Inspeções!$B$3:$B$122)-3+1)))))</f>
        <v/>
      </c>
      <c r="E111" s="47" t="str">
        <f aca="false">IF($Q111="","",INDEX('Lançar Resultado'!$C$3:$C$2002,$Q111))</f>
        <v/>
      </c>
      <c r="F111" s="47" t="str">
        <f aca="false">IF($Q111="","",IFERROR(INDEX(Equipamentos!$E$3:$E$52,MATCH($B111,Equipamentos!$A$3:$A$52,0)),""))</f>
        <v/>
      </c>
      <c r="G111" s="47" t="str">
        <f aca="false">IF($Q111="","",INDEX('Lançar Resultado'!$D$3:$D$2002,$Q111))</f>
        <v/>
      </c>
      <c r="H111" s="47" t="str">
        <f aca="false">IF($Q111="","",INDEX('Lançar Resultado'!$E$3:$E$2002,$Q111))</f>
        <v/>
      </c>
      <c r="I111" s="46" t="str">
        <f aca="false">IF($Q111="","",INDEX('Lançar Resultado'!$G$3:$G$2002,$Q111))</f>
        <v/>
      </c>
      <c r="J111" s="45" t="str">
        <f aca="false">IF($Q111="","",INDEX('Lançar Resultado'!$P$3:$P$2002,$Q111))</f>
        <v/>
      </c>
      <c r="K111" s="46" t="str">
        <f aca="false">IF($Q111="","",INDEX('Lançar Resultado'!$N$3:$N$2002,$Q111))</f>
        <v/>
      </c>
      <c r="L111" s="47" t="str">
        <f aca="false">IF($Q111="","",INDEX('Lançar Resultado'!$I$3:$I$2002,$Q111))</f>
        <v/>
      </c>
      <c r="M111" s="47" t="str">
        <f aca="false">IF($Q111="","",INDEX('Lançar Resultado'!$J$3:$J$2002,$Q111))</f>
        <v/>
      </c>
      <c r="N111" s="44" t="str">
        <f aca="false">IF($Q111="","",INDEX('Lançar Resultado'!$K$3:$K$2002,$Q111))</f>
        <v/>
      </c>
      <c r="O111" s="46" t="str">
        <f aca="false">IF($Q111="","",INDEX('Lançar Resultado'!$L$3:$L$2002,$Q111))</f>
        <v/>
      </c>
      <c r="P111" s="45" t="str">
        <f aca="false">IF($Q111="","",IF(OR($O111="Concluída",$N111=""),"",IF($N111&lt;INT(Parâmetros!$C$4),INT(Parâmetros!$C$4)-$N111,"")))</f>
        <v/>
      </c>
      <c r="Q111" s="45" t="str">
        <f aca="false">IFERROR(MATCH(109,'Lançar Resultado'!$Q$3:$Q$2002,0),"")</f>
        <v/>
      </c>
    </row>
    <row r="112" customFormat="false" ht="18" hidden="false" customHeight="true" outlineLevel="0" collapsed="false">
      <c r="A112" s="39" t="n">
        <v>110</v>
      </c>
      <c r="B112" s="47" t="str">
        <f aca="false">IF($Q112="","",INDEX('Lançar Resultado'!$A$3:$A$2002,$Q112))</f>
        <v/>
      </c>
      <c r="C112" s="44" t="str">
        <f aca="false">IF($Q112="","",INDEX('Lançar Resultado'!$B$3:$B$2002,$Q112))</f>
        <v/>
      </c>
      <c r="D112" s="46" t="str">
        <f aca="false">IF($Q112="","",IF(SUMPRODUCT((Inspeções!$B$3:$B$122=$B112)*(Inspeções!$A$3:$A$122=$C112)*(ROW(Inspeções!$B$3:$B$122)-3+1))=0,"",INDEX(Inspeções!$C$3:$C$122,SUMPRODUCT((Inspeções!$B$3:$B$122=$B112)*(Inspeções!$A$3:$A$122=$C112)*(ROW(Inspeções!$B$3:$B$122)-3+1)))))</f>
        <v/>
      </c>
      <c r="E112" s="47" t="str">
        <f aca="false">IF($Q112="","",INDEX('Lançar Resultado'!$C$3:$C$2002,$Q112))</f>
        <v/>
      </c>
      <c r="F112" s="47" t="str">
        <f aca="false">IF($Q112="","",IFERROR(INDEX(Equipamentos!$E$3:$E$52,MATCH($B112,Equipamentos!$A$3:$A$52,0)),""))</f>
        <v/>
      </c>
      <c r="G112" s="47" t="str">
        <f aca="false">IF($Q112="","",INDEX('Lançar Resultado'!$D$3:$D$2002,$Q112))</f>
        <v/>
      </c>
      <c r="H112" s="47" t="str">
        <f aca="false">IF($Q112="","",INDEX('Lançar Resultado'!$E$3:$E$2002,$Q112))</f>
        <v/>
      </c>
      <c r="I112" s="46" t="str">
        <f aca="false">IF($Q112="","",INDEX('Lançar Resultado'!$G$3:$G$2002,$Q112))</f>
        <v/>
      </c>
      <c r="J112" s="45" t="str">
        <f aca="false">IF($Q112="","",INDEX('Lançar Resultado'!$P$3:$P$2002,$Q112))</f>
        <v/>
      </c>
      <c r="K112" s="46" t="str">
        <f aca="false">IF($Q112="","",INDEX('Lançar Resultado'!$N$3:$N$2002,$Q112))</f>
        <v/>
      </c>
      <c r="L112" s="47" t="str">
        <f aca="false">IF($Q112="","",INDEX('Lançar Resultado'!$I$3:$I$2002,$Q112))</f>
        <v/>
      </c>
      <c r="M112" s="47" t="str">
        <f aca="false">IF($Q112="","",INDEX('Lançar Resultado'!$J$3:$J$2002,$Q112))</f>
        <v/>
      </c>
      <c r="N112" s="44" t="str">
        <f aca="false">IF($Q112="","",INDEX('Lançar Resultado'!$K$3:$K$2002,$Q112))</f>
        <v/>
      </c>
      <c r="O112" s="46" t="str">
        <f aca="false">IF($Q112="","",INDEX('Lançar Resultado'!$L$3:$L$2002,$Q112))</f>
        <v/>
      </c>
      <c r="P112" s="45" t="str">
        <f aca="false">IF($Q112="","",IF(OR($O112="Concluída",$N112=""),"",IF($N112&lt;INT(Parâmetros!$C$4),INT(Parâmetros!$C$4)-$N112,"")))</f>
        <v/>
      </c>
      <c r="Q112" s="45" t="str">
        <f aca="false">IFERROR(MATCH(110,'Lançar Resultado'!$Q$3:$Q$2002,0),"")</f>
        <v/>
      </c>
    </row>
    <row r="113" customFormat="false" ht="18" hidden="false" customHeight="true" outlineLevel="0" collapsed="false">
      <c r="A113" s="39" t="n">
        <v>111</v>
      </c>
      <c r="B113" s="47" t="str">
        <f aca="false">IF($Q113="","",INDEX('Lançar Resultado'!$A$3:$A$2002,$Q113))</f>
        <v/>
      </c>
      <c r="C113" s="44" t="str">
        <f aca="false">IF($Q113="","",INDEX('Lançar Resultado'!$B$3:$B$2002,$Q113))</f>
        <v/>
      </c>
      <c r="D113" s="46" t="str">
        <f aca="false">IF($Q113="","",IF(SUMPRODUCT((Inspeções!$B$3:$B$122=$B113)*(Inspeções!$A$3:$A$122=$C113)*(ROW(Inspeções!$B$3:$B$122)-3+1))=0,"",INDEX(Inspeções!$C$3:$C$122,SUMPRODUCT((Inspeções!$B$3:$B$122=$B113)*(Inspeções!$A$3:$A$122=$C113)*(ROW(Inspeções!$B$3:$B$122)-3+1)))))</f>
        <v/>
      </c>
      <c r="E113" s="47" t="str">
        <f aca="false">IF($Q113="","",INDEX('Lançar Resultado'!$C$3:$C$2002,$Q113))</f>
        <v/>
      </c>
      <c r="F113" s="47" t="str">
        <f aca="false">IF($Q113="","",IFERROR(INDEX(Equipamentos!$E$3:$E$52,MATCH($B113,Equipamentos!$A$3:$A$52,0)),""))</f>
        <v/>
      </c>
      <c r="G113" s="47" t="str">
        <f aca="false">IF($Q113="","",INDEX('Lançar Resultado'!$D$3:$D$2002,$Q113))</f>
        <v/>
      </c>
      <c r="H113" s="47" t="str">
        <f aca="false">IF($Q113="","",INDEX('Lançar Resultado'!$E$3:$E$2002,$Q113))</f>
        <v/>
      </c>
      <c r="I113" s="46" t="str">
        <f aca="false">IF($Q113="","",INDEX('Lançar Resultado'!$G$3:$G$2002,$Q113))</f>
        <v/>
      </c>
      <c r="J113" s="45" t="str">
        <f aca="false">IF($Q113="","",INDEX('Lançar Resultado'!$P$3:$P$2002,$Q113))</f>
        <v/>
      </c>
      <c r="K113" s="46" t="str">
        <f aca="false">IF($Q113="","",INDEX('Lançar Resultado'!$N$3:$N$2002,$Q113))</f>
        <v/>
      </c>
      <c r="L113" s="47" t="str">
        <f aca="false">IF($Q113="","",INDEX('Lançar Resultado'!$I$3:$I$2002,$Q113))</f>
        <v/>
      </c>
      <c r="M113" s="47" t="str">
        <f aca="false">IF($Q113="","",INDEX('Lançar Resultado'!$J$3:$J$2002,$Q113))</f>
        <v/>
      </c>
      <c r="N113" s="44" t="str">
        <f aca="false">IF($Q113="","",INDEX('Lançar Resultado'!$K$3:$K$2002,$Q113))</f>
        <v/>
      </c>
      <c r="O113" s="46" t="str">
        <f aca="false">IF($Q113="","",INDEX('Lançar Resultado'!$L$3:$L$2002,$Q113))</f>
        <v/>
      </c>
      <c r="P113" s="45" t="str">
        <f aca="false">IF($Q113="","",IF(OR($O113="Concluída",$N113=""),"",IF($N113&lt;INT(Parâmetros!$C$4),INT(Parâmetros!$C$4)-$N113,"")))</f>
        <v/>
      </c>
      <c r="Q113" s="45" t="str">
        <f aca="false">IFERROR(MATCH(111,'Lançar Resultado'!$Q$3:$Q$2002,0),"")</f>
        <v/>
      </c>
    </row>
    <row r="114" customFormat="false" ht="18" hidden="false" customHeight="true" outlineLevel="0" collapsed="false">
      <c r="A114" s="39" t="n">
        <v>112</v>
      </c>
      <c r="B114" s="47" t="str">
        <f aca="false">IF($Q114="","",INDEX('Lançar Resultado'!$A$3:$A$2002,$Q114))</f>
        <v/>
      </c>
      <c r="C114" s="44" t="str">
        <f aca="false">IF($Q114="","",INDEX('Lançar Resultado'!$B$3:$B$2002,$Q114))</f>
        <v/>
      </c>
      <c r="D114" s="46" t="str">
        <f aca="false">IF($Q114="","",IF(SUMPRODUCT((Inspeções!$B$3:$B$122=$B114)*(Inspeções!$A$3:$A$122=$C114)*(ROW(Inspeções!$B$3:$B$122)-3+1))=0,"",INDEX(Inspeções!$C$3:$C$122,SUMPRODUCT((Inspeções!$B$3:$B$122=$B114)*(Inspeções!$A$3:$A$122=$C114)*(ROW(Inspeções!$B$3:$B$122)-3+1)))))</f>
        <v/>
      </c>
      <c r="E114" s="47" t="str">
        <f aca="false">IF($Q114="","",INDEX('Lançar Resultado'!$C$3:$C$2002,$Q114))</f>
        <v/>
      </c>
      <c r="F114" s="47" t="str">
        <f aca="false">IF($Q114="","",IFERROR(INDEX(Equipamentos!$E$3:$E$52,MATCH($B114,Equipamentos!$A$3:$A$52,0)),""))</f>
        <v/>
      </c>
      <c r="G114" s="47" t="str">
        <f aca="false">IF($Q114="","",INDEX('Lançar Resultado'!$D$3:$D$2002,$Q114))</f>
        <v/>
      </c>
      <c r="H114" s="47" t="str">
        <f aca="false">IF($Q114="","",INDEX('Lançar Resultado'!$E$3:$E$2002,$Q114))</f>
        <v/>
      </c>
      <c r="I114" s="46" t="str">
        <f aca="false">IF($Q114="","",INDEX('Lançar Resultado'!$G$3:$G$2002,$Q114))</f>
        <v/>
      </c>
      <c r="J114" s="45" t="str">
        <f aca="false">IF($Q114="","",INDEX('Lançar Resultado'!$P$3:$P$2002,$Q114))</f>
        <v/>
      </c>
      <c r="K114" s="46" t="str">
        <f aca="false">IF($Q114="","",INDEX('Lançar Resultado'!$N$3:$N$2002,$Q114))</f>
        <v/>
      </c>
      <c r="L114" s="47" t="str">
        <f aca="false">IF($Q114="","",INDEX('Lançar Resultado'!$I$3:$I$2002,$Q114))</f>
        <v/>
      </c>
      <c r="M114" s="47" t="str">
        <f aca="false">IF($Q114="","",INDEX('Lançar Resultado'!$J$3:$J$2002,$Q114))</f>
        <v/>
      </c>
      <c r="N114" s="44" t="str">
        <f aca="false">IF($Q114="","",INDEX('Lançar Resultado'!$K$3:$K$2002,$Q114))</f>
        <v/>
      </c>
      <c r="O114" s="46" t="str">
        <f aca="false">IF($Q114="","",INDEX('Lançar Resultado'!$L$3:$L$2002,$Q114))</f>
        <v/>
      </c>
      <c r="P114" s="45" t="str">
        <f aca="false">IF($Q114="","",IF(OR($O114="Concluída",$N114=""),"",IF($N114&lt;INT(Parâmetros!$C$4),INT(Parâmetros!$C$4)-$N114,"")))</f>
        <v/>
      </c>
      <c r="Q114" s="45" t="str">
        <f aca="false">IFERROR(MATCH(112,'Lançar Resultado'!$Q$3:$Q$2002,0),"")</f>
        <v/>
      </c>
    </row>
    <row r="115" customFormat="false" ht="18" hidden="false" customHeight="true" outlineLevel="0" collapsed="false">
      <c r="A115" s="39" t="n">
        <v>113</v>
      </c>
      <c r="B115" s="47" t="str">
        <f aca="false">IF($Q115="","",INDEX('Lançar Resultado'!$A$3:$A$2002,$Q115))</f>
        <v/>
      </c>
      <c r="C115" s="44" t="str">
        <f aca="false">IF($Q115="","",INDEX('Lançar Resultado'!$B$3:$B$2002,$Q115))</f>
        <v/>
      </c>
      <c r="D115" s="46" t="str">
        <f aca="false">IF($Q115="","",IF(SUMPRODUCT((Inspeções!$B$3:$B$122=$B115)*(Inspeções!$A$3:$A$122=$C115)*(ROW(Inspeções!$B$3:$B$122)-3+1))=0,"",INDEX(Inspeções!$C$3:$C$122,SUMPRODUCT((Inspeções!$B$3:$B$122=$B115)*(Inspeções!$A$3:$A$122=$C115)*(ROW(Inspeções!$B$3:$B$122)-3+1)))))</f>
        <v/>
      </c>
      <c r="E115" s="47" t="str">
        <f aca="false">IF($Q115="","",INDEX('Lançar Resultado'!$C$3:$C$2002,$Q115))</f>
        <v/>
      </c>
      <c r="F115" s="47" t="str">
        <f aca="false">IF($Q115="","",IFERROR(INDEX(Equipamentos!$E$3:$E$52,MATCH($B115,Equipamentos!$A$3:$A$52,0)),""))</f>
        <v/>
      </c>
      <c r="G115" s="47" t="str">
        <f aca="false">IF($Q115="","",INDEX('Lançar Resultado'!$D$3:$D$2002,$Q115))</f>
        <v/>
      </c>
      <c r="H115" s="47" t="str">
        <f aca="false">IF($Q115="","",INDEX('Lançar Resultado'!$E$3:$E$2002,$Q115))</f>
        <v/>
      </c>
      <c r="I115" s="46" t="str">
        <f aca="false">IF($Q115="","",INDEX('Lançar Resultado'!$G$3:$G$2002,$Q115))</f>
        <v/>
      </c>
      <c r="J115" s="45" t="str">
        <f aca="false">IF($Q115="","",INDEX('Lançar Resultado'!$P$3:$P$2002,$Q115))</f>
        <v/>
      </c>
      <c r="K115" s="46" t="str">
        <f aca="false">IF($Q115="","",INDEX('Lançar Resultado'!$N$3:$N$2002,$Q115))</f>
        <v/>
      </c>
      <c r="L115" s="47" t="str">
        <f aca="false">IF($Q115="","",INDEX('Lançar Resultado'!$I$3:$I$2002,$Q115))</f>
        <v/>
      </c>
      <c r="M115" s="47" t="str">
        <f aca="false">IF($Q115="","",INDEX('Lançar Resultado'!$J$3:$J$2002,$Q115))</f>
        <v/>
      </c>
      <c r="N115" s="44" t="str">
        <f aca="false">IF($Q115="","",INDEX('Lançar Resultado'!$K$3:$K$2002,$Q115))</f>
        <v/>
      </c>
      <c r="O115" s="46" t="str">
        <f aca="false">IF($Q115="","",INDEX('Lançar Resultado'!$L$3:$L$2002,$Q115))</f>
        <v/>
      </c>
      <c r="P115" s="45" t="str">
        <f aca="false">IF($Q115="","",IF(OR($O115="Concluída",$N115=""),"",IF($N115&lt;INT(Parâmetros!$C$4),INT(Parâmetros!$C$4)-$N115,"")))</f>
        <v/>
      </c>
      <c r="Q115" s="45" t="str">
        <f aca="false">IFERROR(MATCH(113,'Lançar Resultado'!$Q$3:$Q$2002,0),"")</f>
        <v/>
      </c>
    </row>
    <row r="116" customFormat="false" ht="18" hidden="false" customHeight="true" outlineLevel="0" collapsed="false">
      <c r="A116" s="39" t="n">
        <v>114</v>
      </c>
      <c r="B116" s="47" t="str">
        <f aca="false">IF($Q116="","",INDEX('Lançar Resultado'!$A$3:$A$2002,$Q116))</f>
        <v/>
      </c>
      <c r="C116" s="44" t="str">
        <f aca="false">IF($Q116="","",INDEX('Lançar Resultado'!$B$3:$B$2002,$Q116))</f>
        <v/>
      </c>
      <c r="D116" s="46" t="str">
        <f aca="false">IF($Q116="","",IF(SUMPRODUCT((Inspeções!$B$3:$B$122=$B116)*(Inspeções!$A$3:$A$122=$C116)*(ROW(Inspeções!$B$3:$B$122)-3+1))=0,"",INDEX(Inspeções!$C$3:$C$122,SUMPRODUCT((Inspeções!$B$3:$B$122=$B116)*(Inspeções!$A$3:$A$122=$C116)*(ROW(Inspeções!$B$3:$B$122)-3+1)))))</f>
        <v/>
      </c>
      <c r="E116" s="47" t="str">
        <f aca="false">IF($Q116="","",INDEX('Lançar Resultado'!$C$3:$C$2002,$Q116))</f>
        <v/>
      </c>
      <c r="F116" s="47" t="str">
        <f aca="false">IF($Q116="","",IFERROR(INDEX(Equipamentos!$E$3:$E$52,MATCH($B116,Equipamentos!$A$3:$A$52,0)),""))</f>
        <v/>
      </c>
      <c r="G116" s="47" t="str">
        <f aca="false">IF($Q116="","",INDEX('Lançar Resultado'!$D$3:$D$2002,$Q116))</f>
        <v/>
      </c>
      <c r="H116" s="47" t="str">
        <f aca="false">IF($Q116="","",INDEX('Lançar Resultado'!$E$3:$E$2002,$Q116))</f>
        <v/>
      </c>
      <c r="I116" s="46" t="str">
        <f aca="false">IF($Q116="","",INDEX('Lançar Resultado'!$G$3:$G$2002,$Q116))</f>
        <v/>
      </c>
      <c r="J116" s="45" t="str">
        <f aca="false">IF($Q116="","",INDEX('Lançar Resultado'!$P$3:$P$2002,$Q116))</f>
        <v/>
      </c>
      <c r="K116" s="46" t="str">
        <f aca="false">IF($Q116="","",INDEX('Lançar Resultado'!$N$3:$N$2002,$Q116))</f>
        <v/>
      </c>
      <c r="L116" s="47" t="str">
        <f aca="false">IF($Q116="","",INDEX('Lançar Resultado'!$I$3:$I$2002,$Q116))</f>
        <v/>
      </c>
      <c r="M116" s="47" t="str">
        <f aca="false">IF($Q116="","",INDEX('Lançar Resultado'!$J$3:$J$2002,$Q116))</f>
        <v/>
      </c>
      <c r="N116" s="44" t="str">
        <f aca="false">IF($Q116="","",INDEX('Lançar Resultado'!$K$3:$K$2002,$Q116))</f>
        <v/>
      </c>
      <c r="O116" s="46" t="str">
        <f aca="false">IF($Q116="","",INDEX('Lançar Resultado'!$L$3:$L$2002,$Q116))</f>
        <v/>
      </c>
      <c r="P116" s="45" t="str">
        <f aca="false">IF($Q116="","",IF(OR($O116="Concluída",$N116=""),"",IF($N116&lt;INT(Parâmetros!$C$4),INT(Parâmetros!$C$4)-$N116,"")))</f>
        <v/>
      </c>
      <c r="Q116" s="45" t="str">
        <f aca="false">IFERROR(MATCH(114,'Lançar Resultado'!$Q$3:$Q$2002,0),"")</f>
        <v/>
      </c>
    </row>
    <row r="117" customFormat="false" ht="18" hidden="false" customHeight="true" outlineLevel="0" collapsed="false">
      <c r="A117" s="39" t="n">
        <v>115</v>
      </c>
      <c r="B117" s="47" t="str">
        <f aca="false">IF($Q117="","",INDEX('Lançar Resultado'!$A$3:$A$2002,$Q117))</f>
        <v/>
      </c>
      <c r="C117" s="44" t="str">
        <f aca="false">IF($Q117="","",INDEX('Lançar Resultado'!$B$3:$B$2002,$Q117))</f>
        <v/>
      </c>
      <c r="D117" s="46" t="str">
        <f aca="false">IF($Q117="","",IF(SUMPRODUCT((Inspeções!$B$3:$B$122=$B117)*(Inspeções!$A$3:$A$122=$C117)*(ROW(Inspeções!$B$3:$B$122)-3+1))=0,"",INDEX(Inspeções!$C$3:$C$122,SUMPRODUCT((Inspeções!$B$3:$B$122=$B117)*(Inspeções!$A$3:$A$122=$C117)*(ROW(Inspeções!$B$3:$B$122)-3+1)))))</f>
        <v/>
      </c>
      <c r="E117" s="47" t="str">
        <f aca="false">IF($Q117="","",INDEX('Lançar Resultado'!$C$3:$C$2002,$Q117))</f>
        <v/>
      </c>
      <c r="F117" s="47" t="str">
        <f aca="false">IF($Q117="","",IFERROR(INDEX(Equipamentos!$E$3:$E$52,MATCH($B117,Equipamentos!$A$3:$A$52,0)),""))</f>
        <v/>
      </c>
      <c r="G117" s="47" t="str">
        <f aca="false">IF($Q117="","",INDEX('Lançar Resultado'!$D$3:$D$2002,$Q117))</f>
        <v/>
      </c>
      <c r="H117" s="47" t="str">
        <f aca="false">IF($Q117="","",INDEX('Lançar Resultado'!$E$3:$E$2002,$Q117))</f>
        <v/>
      </c>
      <c r="I117" s="46" t="str">
        <f aca="false">IF($Q117="","",INDEX('Lançar Resultado'!$G$3:$G$2002,$Q117))</f>
        <v/>
      </c>
      <c r="J117" s="45" t="str">
        <f aca="false">IF($Q117="","",INDEX('Lançar Resultado'!$P$3:$P$2002,$Q117))</f>
        <v/>
      </c>
      <c r="K117" s="46" t="str">
        <f aca="false">IF($Q117="","",INDEX('Lançar Resultado'!$N$3:$N$2002,$Q117))</f>
        <v/>
      </c>
      <c r="L117" s="47" t="str">
        <f aca="false">IF($Q117="","",INDEX('Lançar Resultado'!$I$3:$I$2002,$Q117))</f>
        <v/>
      </c>
      <c r="M117" s="47" t="str">
        <f aca="false">IF($Q117="","",INDEX('Lançar Resultado'!$J$3:$J$2002,$Q117))</f>
        <v/>
      </c>
      <c r="N117" s="44" t="str">
        <f aca="false">IF($Q117="","",INDEX('Lançar Resultado'!$K$3:$K$2002,$Q117))</f>
        <v/>
      </c>
      <c r="O117" s="46" t="str">
        <f aca="false">IF($Q117="","",INDEX('Lançar Resultado'!$L$3:$L$2002,$Q117))</f>
        <v/>
      </c>
      <c r="P117" s="45" t="str">
        <f aca="false">IF($Q117="","",IF(OR($O117="Concluída",$N117=""),"",IF($N117&lt;INT(Parâmetros!$C$4),INT(Parâmetros!$C$4)-$N117,"")))</f>
        <v/>
      </c>
      <c r="Q117" s="45" t="str">
        <f aca="false">IFERROR(MATCH(115,'Lançar Resultado'!$Q$3:$Q$2002,0),"")</f>
        <v/>
      </c>
    </row>
    <row r="118" customFormat="false" ht="18" hidden="false" customHeight="true" outlineLevel="0" collapsed="false">
      <c r="A118" s="39" t="n">
        <v>116</v>
      </c>
      <c r="B118" s="47" t="str">
        <f aca="false">IF($Q118="","",INDEX('Lançar Resultado'!$A$3:$A$2002,$Q118))</f>
        <v/>
      </c>
      <c r="C118" s="44" t="str">
        <f aca="false">IF($Q118="","",INDEX('Lançar Resultado'!$B$3:$B$2002,$Q118))</f>
        <v/>
      </c>
      <c r="D118" s="46" t="str">
        <f aca="false">IF($Q118="","",IF(SUMPRODUCT((Inspeções!$B$3:$B$122=$B118)*(Inspeções!$A$3:$A$122=$C118)*(ROW(Inspeções!$B$3:$B$122)-3+1))=0,"",INDEX(Inspeções!$C$3:$C$122,SUMPRODUCT((Inspeções!$B$3:$B$122=$B118)*(Inspeções!$A$3:$A$122=$C118)*(ROW(Inspeções!$B$3:$B$122)-3+1)))))</f>
        <v/>
      </c>
      <c r="E118" s="47" t="str">
        <f aca="false">IF($Q118="","",INDEX('Lançar Resultado'!$C$3:$C$2002,$Q118))</f>
        <v/>
      </c>
      <c r="F118" s="47" t="str">
        <f aca="false">IF($Q118="","",IFERROR(INDEX(Equipamentos!$E$3:$E$52,MATCH($B118,Equipamentos!$A$3:$A$52,0)),""))</f>
        <v/>
      </c>
      <c r="G118" s="47" t="str">
        <f aca="false">IF($Q118="","",INDEX('Lançar Resultado'!$D$3:$D$2002,$Q118))</f>
        <v/>
      </c>
      <c r="H118" s="47" t="str">
        <f aca="false">IF($Q118="","",INDEX('Lançar Resultado'!$E$3:$E$2002,$Q118))</f>
        <v/>
      </c>
      <c r="I118" s="46" t="str">
        <f aca="false">IF($Q118="","",INDEX('Lançar Resultado'!$G$3:$G$2002,$Q118))</f>
        <v/>
      </c>
      <c r="J118" s="45" t="str">
        <f aca="false">IF($Q118="","",INDEX('Lançar Resultado'!$P$3:$P$2002,$Q118))</f>
        <v/>
      </c>
      <c r="K118" s="46" t="str">
        <f aca="false">IF($Q118="","",INDEX('Lançar Resultado'!$N$3:$N$2002,$Q118))</f>
        <v/>
      </c>
      <c r="L118" s="47" t="str">
        <f aca="false">IF($Q118="","",INDEX('Lançar Resultado'!$I$3:$I$2002,$Q118))</f>
        <v/>
      </c>
      <c r="M118" s="47" t="str">
        <f aca="false">IF($Q118="","",INDEX('Lançar Resultado'!$J$3:$J$2002,$Q118))</f>
        <v/>
      </c>
      <c r="N118" s="44" t="str">
        <f aca="false">IF($Q118="","",INDEX('Lançar Resultado'!$K$3:$K$2002,$Q118))</f>
        <v/>
      </c>
      <c r="O118" s="46" t="str">
        <f aca="false">IF($Q118="","",INDEX('Lançar Resultado'!$L$3:$L$2002,$Q118))</f>
        <v/>
      </c>
      <c r="P118" s="45" t="str">
        <f aca="false">IF($Q118="","",IF(OR($O118="Concluída",$N118=""),"",IF($N118&lt;INT(Parâmetros!$C$4),INT(Parâmetros!$C$4)-$N118,"")))</f>
        <v/>
      </c>
      <c r="Q118" s="45" t="str">
        <f aca="false">IFERROR(MATCH(116,'Lançar Resultado'!$Q$3:$Q$2002,0),"")</f>
        <v/>
      </c>
    </row>
    <row r="119" customFormat="false" ht="18" hidden="false" customHeight="true" outlineLevel="0" collapsed="false">
      <c r="A119" s="39" t="n">
        <v>117</v>
      </c>
      <c r="B119" s="47" t="str">
        <f aca="false">IF($Q119="","",INDEX('Lançar Resultado'!$A$3:$A$2002,$Q119))</f>
        <v/>
      </c>
      <c r="C119" s="44" t="str">
        <f aca="false">IF($Q119="","",INDEX('Lançar Resultado'!$B$3:$B$2002,$Q119))</f>
        <v/>
      </c>
      <c r="D119" s="46" t="str">
        <f aca="false">IF($Q119="","",IF(SUMPRODUCT((Inspeções!$B$3:$B$122=$B119)*(Inspeções!$A$3:$A$122=$C119)*(ROW(Inspeções!$B$3:$B$122)-3+1))=0,"",INDEX(Inspeções!$C$3:$C$122,SUMPRODUCT((Inspeções!$B$3:$B$122=$B119)*(Inspeções!$A$3:$A$122=$C119)*(ROW(Inspeções!$B$3:$B$122)-3+1)))))</f>
        <v/>
      </c>
      <c r="E119" s="47" t="str">
        <f aca="false">IF($Q119="","",INDEX('Lançar Resultado'!$C$3:$C$2002,$Q119))</f>
        <v/>
      </c>
      <c r="F119" s="47" t="str">
        <f aca="false">IF($Q119="","",IFERROR(INDEX(Equipamentos!$E$3:$E$52,MATCH($B119,Equipamentos!$A$3:$A$52,0)),""))</f>
        <v/>
      </c>
      <c r="G119" s="47" t="str">
        <f aca="false">IF($Q119="","",INDEX('Lançar Resultado'!$D$3:$D$2002,$Q119))</f>
        <v/>
      </c>
      <c r="H119" s="47" t="str">
        <f aca="false">IF($Q119="","",INDEX('Lançar Resultado'!$E$3:$E$2002,$Q119))</f>
        <v/>
      </c>
      <c r="I119" s="46" t="str">
        <f aca="false">IF($Q119="","",INDEX('Lançar Resultado'!$G$3:$G$2002,$Q119))</f>
        <v/>
      </c>
      <c r="J119" s="45" t="str">
        <f aca="false">IF($Q119="","",INDEX('Lançar Resultado'!$P$3:$P$2002,$Q119))</f>
        <v/>
      </c>
      <c r="K119" s="46" t="str">
        <f aca="false">IF($Q119="","",INDEX('Lançar Resultado'!$N$3:$N$2002,$Q119))</f>
        <v/>
      </c>
      <c r="L119" s="47" t="str">
        <f aca="false">IF($Q119="","",INDEX('Lançar Resultado'!$I$3:$I$2002,$Q119))</f>
        <v/>
      </c>
      <c r="M119" s="47" t="str">
        <f aca="false">IF($Q119="","",INDEX('Lançar Resultado'!$J$3:$J$2002,$Q119))</f>
        <v/>
      </c>
      <c r="N119" s="44" t="str">
        <f aca="false">IF($Q119="","",INDEX('Lançar Resultado'!$K$3:$K$2002,$Q119))</f>
        <v/>
      </c>
      <c r="O119" s="46" t="str">
        <f aca="false">IF($Q119="","",INDEX('Lançar Resultado'!$L$3:$L$2002,$Q119))</f>
        <v/>
      </c>
      <c r="P119" s="45" t="str">
        <f aca="false">IF($Q119="","",IF(OR($O119="Concluída",$N119=""),"",IF($N119&lt;INT(Parâmetros!$C$4),INT(Parâmetros!$C$4)-$N119,"")))</f>
        <v/>
      </c>
      <c r="Q119" s="45" t="str">
        <f aca="false">IFERROR(MATCH(117,'Lançar Resultado'!$Q$3:$Q$2002,0),"")</f>
        <v/>
      </c>
    </row>
    <row r="120" customFormat="false" ht="18" hidden="false" customHeight="true" outlineLevel="0" collapsed="false">
      <c r="A120" s="39" t="n">
        <v>118</v>
      </c>
      <c r="B120" s="47" t="str">
        <f aca="false">IF($Q120="","",INDEX('Lançar Resultado'!$A$3:$A$2002,$Q120))</f>
        <v/>
      </c>
      <c r="C120" s="44" t="str">
        <f aca="false">IF($Q120="","",INDEX('Lançar Resultado'!$B$3:$B$2002,$Q120))</f>
        <v/>
      </c>
      <c r="D120" s="46" t="str">
        <f aca="false">IF($Q120="","",IF(SUMPRODUCT((Inspeções!$B$3:$B$122=$B120)*(Inspeções!$A$3:$A$122=$C120)*(ROW(Inspeções!$B$3:$B$122)-3+1))=0,"",INDEX(Inspeções!$C$3:$C$122,SUMPRODUCT((Inspeções!$B$3:$B$122=$B120)*(Inspeções!$A$3:$A$122=$C120)*(ROW(Inspeções!$B$3:$B$122)-3+1)))))</f>
        <v/>
      </c>
      <c r="E120" s="47" t="str">
        <f aca="false">IF($Q120="","",INDEX('Lançar Resultado'!$C$3:$C$2002,$Q120))</f>
        <v/>
      </c>
      <c r="F120" s="47" t="str">
        <f aca="false">IF($Q120="","",IFERROR(INDEX(Equipamentos!$E$3:$E$52,MATCH($B120,Equipamentos!$A$3:$A$52,0)),""))</f>
        <v/>
      </c>
      <c r="G120" s="47" t="str">
        <f aca="false">IF($Q120="","",INDEX('Lançar Resultado'!$D$3:$D$2002,$Q120))</f>
        <v/>
      </c>
      <c r="H120" s="47" t="str">
        <f aca="false">IF($Q120="","",INDEX('Lançar Resultado'!$E$3:$E$2002,$Q120))</f>
        <v/>
      </c>
      <c r="I120" s="46" t="str">
        <f aca="false">IF($Q120="","",INDEX('Lançar Resultado'!$G$3:$G$2002,$Q120))</f>
        <v/>
      </c>
      <c r="J120" s="45" t="str">
        <f aca="false">IF($Q120="","",INDEX('Lançar Resultado'!$P$3:$P$2002,$Q120))</f>
        <v/>
      </c>
      <c r="K120" s="46" t="str">
        <f aca="false">IF($Q120="","",INDEX('Lançar Resultado'!$N$3:$N$2002,$Q120))</f>
        <v/>
      </c>
      <c r="L120" s="47" t="str">
        <f aca="false">IF($Q120="","",INDEX('Lançar Resultado'!$I$3:$I$2002,$Q120))</f>
        <v/>
      </c>
      <c r="M120" s="47" t="str">
        <f aca="false">IF($Q120="","",INDEX('Lançar Resultado'!$J$3:$J$2002,$Q120))</f>
        <v/>
      </c>
      <c r="N120" s="44" t="str">
        <f aca="false">IF($Q120="","",INDEX('Lançar Resultado'!$K$3:$K$2002,$Q120))</f>
        <v/>
      </c>
      <c r="O120" s="46" t="str">
        <f aca="false">IF($Q120="","",INDEX('Lançar Resultado'!$L$3:$L$2002,$Q120))</f>
        <v/>
      </c>
      <c r="P120" s="45" t="str">
        <f aca="false">IF($Q120="","",IF(OR($O120="Concluída",$N120=""),"",IF($N120&lt;INT(Parâmetros!$C$4),INT(Parâmetros!$C$4)-$N120,"")))</f>
        <v/>
      </c>
      <c r="Q120" s="45" t="str">
        <f aca="false">IFERROR(MATCH(118,'Lançar Resultado'!$Q$3:$Q$2002,0),"")</f>
        <v/>
      </c>
    </row>
    <row r="121" customFormat="false" ht="18" hidden="false" customHeight="true" outlineLevel="0" collapsed="false">
      <c r="A121" s="39" t="n">
        <v>119</v>
      </c>
      <c r="B121" s="47" t="str">
        <f aca="false">IF($Q121="","",INDEX('Lançar Resultado'!$A$3:$A$2002,$Q121))</f>
        <v/>
      </c>
      <c r="C121" s="44" t="str">
        <f aca="false">IF($Q121="","",INDEX('Lançar Resultado'!$B$3:$B$2002,$Q121))</f>
        <v/>
      </c>
      <c r="D121" s="46" t="str">
        <f aca="false">IF($Q121="","",IF(SUMPRODUCT((Inspeções!$B$3:$B$122=$B121)*(Inspeções!$A$3:$A$122=$C121)*(ROW(Inspeções!$B$3:$B$122)-3+1))=0,"",INDEX(Inspeções!$C$3:$C$122,SUMPRODUCT((Inspeções!$B$3:$B$122=$B121)*(Inspeções!$A$3:$A$122=$C121)*(ROW(Inspeções!$B$3:$B$122)-3+1)))))</f>
        <v/>
      </c>
      <c r="E121" s="47" t="str">
        <f aca="false">IF($Q121="","",INDEX('Lançar Resultado'!$C$3:$C$2002,$Q121))</f>
        <v/>
      </c>
      <c r="F121" s="47" t="str">
        <f aca="false">IF($Q121="","",IFERROR(INDEX(Equipamentos!$E$3:$E$52,MATCH($B121,Equipamentos!$A$3:$A$52,0)),""))</f>
        <v/>
      </c>
      <c r="G121" s="47" t="str">
        <f aca="false">IF($Q121="","",INDEX('Lançar Resultado'!$D$3:$D$2002,$Q121))</f>
        <v/>
      </c>
      <c r="H121" s="47" t="str">
        <f aca="false">IF($Q121="","",INDEX('Lançar Resultado'!$E$3:$E$2002,$Q121))</f>
        <v/>
      </c>
      <c r="I121" s="46" t="str">
        <f aca="false">IF($Q121="","",INDEX('Lançar Resultado'!$G$3:$G$2002,$Q121))</f>
        <v/>
      </c>
      <c r="J121" s="45" t="str">
        <f aca="false">IF($Q121="","",INDEX('Lançar Resultado'!$P$3:$P$2002,$Q121))</f>
        <v/>
      </c>
      <c r="K121" s="46" t="str">
        <f aca="false">IF($Q121="","",INDEX('Lançar Resultado'!$N$3:$N$2002,$Q121))</f>
        <v/>
      </c>
      <c r="L121" s="47" t="str">
        <f aca="false">IF($Q121="","",INDEX('Lançar Resultado'!$I$3:$I$2002,$Q121))</f>
        <v/>
      </c>
      <c r="M121" s="47" t="str">
        <f aca="false">IF($Q121="","",INDEX('Lançar Resultado'!$J$3:$J$2002,$Q121))</f>
        <v/>
      </c>
      <c r="N121" s="44" t="str">
        <f aca="false">IF($Q121="","",INDEX('Lançar Resultado'!$K$3:$K$2002,$Q121))</f>
        <v/>
      </c>
      <c r="O121" s="46" t="str">
        <f aca="false">IF($Q121="","",INDEX('Lançar Resultado'!$L$3:$L$2002,$Q121))</f>
        <v/>
      </c>
      <c r="P121" s="45" t="str">
        <f aca="false">IF($Q121="","",IF(OR($O121="Concluída",$N121=""),"",IF($N121&lt;INT(Parâmetros!$C$4),INT(Parâmetros!$C$4)-$N121,"")))</f>
        <v/>
      </c>
      <c r="Q121" s="45" t="str">
        <f aca="false">IFERROR(MATCH(119,'Lançar Resultado'!$Q$3:$Q$2002,0),"")</f>
        <v/>
      </c>
    </row>
    <row r="122" customFormat="false" ht="18" hidden="false" customHeight="true" outlineLevel="0" collapsed="false">
      <c r="A122" s="39" t="n">
        <v>120</v>
      </c>
      <c r="B122" s="47" t="str">
        <f aca="false">IF($Q122="","",INDEX('Lançar Resultado'!$A$3:$A$2002,$Q122))</f>
        <v/>
      </c>
      <c r="C122" s="44" t="str">
        <f aca="false">IF($Q122="","",INDEX('Lançar Resultado'!$B$3:$B$2002,$Q122))</f>
        <v/>
      </c>
      <c r="D122" s="46" t="str">
        <f aca="false">IF($Q122="","",IF(SUMPRODUCT((Inspeções!$B$3:$B$122=$B122)*(Inspeções!$A$3:$A$122=$C122)*(ROW(Inspeções!$B$3:$B$122)-3+1))=0,"",INDEX(Inspeções!$C$3:$C$122,SUMPRODUCT((Inspeções!$B$3:$B$122=$B122)*(Inspeções!$A$3:$A$122=$C122)*(ROW(Inspeções!$B$3:$B$122)-3+1)))))</f>
        <v/>
      </c>
      <c r="E122" s="47" t="str">
        <f aca="false">IF($Q122="","",INDEX('Lançar Resultado'!$C$3:$C$2002,$Q122))</f>
        <v/>
      </c>
      <c r="F122" s="47" t="str">
        <f aca="false">IF($Q122="","",IFERROR(INDEX(Equipamentos!$E$3:$E$52,MATCH($B122,Equipamentos!$A$3:$A$52,0)),""))</f>
        <v/>
      </c>
      <c r="G122" s="47" t="str">
        <f aca="false">IF($Q122="","",INDEX('Lançar Resultado'!$D$3:$D$2002,$Q122))</f>
        <v/>
      </c>
      <c r="H122" s="47" t="str">
        <f aca="false">IF($Q122="","",INDEX('Lançar Resultado'!$E$3:$E$2002,$Q122))</f>
        <v/>
      </c>
      <c r="I122" s="46" t="str">
        <f aca="false">IF($Q122="","",INDEX('Lançar Resultado'!$G$3:$G$2002,$Q122))</f>
        <v/>
      </c>
      <c r="J122" s="45" t="str">
        <f aca="false">IF($Q122="","",INDEX('Lançar Resultado'!$P$3:$P$2002,$Q122))</f>
        <v/>
      </c>
      <c r="K122" s="46" t="str">
        <f aca="false">IF($Q122="","",INDEX('Lançar Resultado'!$N$3:$N$2002,$Q122))</f>
        <v/>
      </c>
      <c r="L122" s="47" t="str">
        <f aca="false">IF($Q122="","",INDEX('Lançar Resultado'!$I$3:$I$2002,$Q122))</f>
        <v/>
      </c>
      <c r="M122" s="47" t="str">
        <f aca="false">IF($Q122="","",INDEX('Lançar Resultado'!$J$3:$J$2002,$Q122))</f>
        <v/>
      </c>
      <c r="N122" s="44" t="str">
        <f aca="false">IF($Q122="","",INDEX('Lançar Resultado'!$K$3:$K$2002,$Q122))</f>
        <v/>
      </c>
      <c r="O122" s="46" t="str">
        <f aca="false">IF($Q122="","",INDEX('Lançar Resultado'!$L$3:$L$2002,$Q122))</f>
        <v/>
      </c>
      <c r="P122" s="45" t="str">
        <f aca="false">IF($Q122="","",IF(OR($O122="Concluída",$N122=""),"",IF($N122&lt;INT(Parâmetros!$C$4),INT(Parâmetros!$C$4)-$N122,"")))</f>
        <v/>
      </c>
      <c r="Q122" s="45" t="str">
        <f aca="false">IFERROR(MATCH(120,'Lançar Resultado'!$Q$3:$Q$2002,0),"")</f>
        <v/>
      </c>
    </row>
    <row r="123" customFormat="false" ht="18" hidden="false" customHeight="true" outlineLevel="0" collapsed="false">
      <c r="A123" s="39" t="n">
        <v>121</v>
      </c>
      <c r="B123" s="47" t="str">
        <f aca="false">IF($Q123="","",INDEX('Lançar Resultado'!$A$3:$A$2002,$Q123))</f>
        <v/>
      </c>
      <c r="C123" s="44" t="str">
        <f aca="false">IF($Q123="","",INDEX('Lançar Resultado'!$B$3:$B$2002,$Q123))</f>
        <v/>
      </c>
      <c r="D123" s="46" t="str">
        <f aca="false">IF($Q123="","",IF(SUMPRODUCT((Inspeções!$B$3:$B$122=$B123)*(Inspeções!$A$3:$A$122=$C123)*(ROW(Inspeções!$B$3:$B$122)-3+1))=0,"",INDEX(Inspeções!$C$3:$C$122,SUMPRODUCT((Inspeções!$B$3:$B$122=$B123)*(Inspeções!$A$3:$A$122=$C123)*(ROW(Inspeções!$B$3:$B$122)-3+1)))))</f>
        <v/>
      </c>
      <c r="E123" s="47" t="str">
        <f aca="false">IF($Q123="","",INDEX('Lançar Resultado'!$C$3:$C$2002,$Q123))</f>
        <v/>
      </c>
      <c r="F123" s="47" t="str">
        <f aca="false">IF($Q123="","",IFERROR(INDEX(Equipamentos!$E$3:$E$52,MATCH($B123,Equipamentos!$A$3:$A$52,0)),""))</f>
        <v/>
      </c>
      <c r="G123" s="47" t="str">
        <f aca="false">IF($Q123="","",INDEX('Lançar Resultado'!$D$3:$D$2002,$Q123))</f>
        <v/>
      </c>
      <c r="H123" s="47" t="str">
        <f aca="false">IF($Q123="","",INDEX('Lançar Resultado'!$E$3:$E$2002,$Q123))</f>
        <v/>
      </c>
      <c r="I123" s="46" t="str">
        <f aca="false">IF($Q123="","",INDEX('Lançar Resultado'!$G$3:$G$2002,$Q123))</f>
        <v/>
      </c>
      <c r="J123" s="45" t="str">
        <f aca="false">IF($Q123="","",INDEX('Lançar Resultado'!$P$3:$P$2002,$Q123))</f>
        <v/>
      </c>
      <c r="K123" s="46" t="str">
        <f aca="false">IF($Q123="","",INDEX('Lançar Resultado'!$N$3:$N$2002,$Q123))</f>
        <v/>
      </c>
      <c r="L123" s="47" t="str">
        <f aca="false">IF($Q123="","",INDEX('Lançar Resultado'!$I$3:$I$2002,$Q123))</f>
        <v/>
      </c>
      <c r="M123" s="47" t="str">
        <f aca="false">IF($Q123="","",INDEX('Lançar Resultado'!$J$3:$J$2002,$Q123))</f>
        <v/>
      </c>
      <c r="N123" s="44" t="str">
        <f aca="false">IF($Q123="","",INDEX('Lançar Resultado'!$K$3:$K$2002,$Q123))</f>
        <v/>
      </c>
      <c r="O123" s="46" t="str">
        <f aca="false">IF($Q123="","",INDEX('Lançar Resultado'!$L$3:$L$2002,$Q123))</f>
        <v/>
      </c>
      <c r="P123" s="45" t="str">
        <f aca="false">IF($Q123="","",IF(OR($O123="Concluída",$N123=""),"",IF($N123&lt;INT(Parâmetros!$C$4),INT(Parâmetros!$C$4)-$N123,"")))</f>
        <v/>
      </c>
      <c r="Q123" s="45" t="str">
        <f aca="false">IFERROR(MATCH(121,'Lançar Resultado'!$Q$3:$Q$2002,0),"")</f>
        <v/>
      </c>
    </row>
    <row r="124" customFormat="false" ht="18" hidden="false" customHeight="true" outlineLevel="0" collapsed="false">
      <c r="A124" s="39" t="n">
        <v>122</v>
      </c>
      <c r="B124" s="47" t="str">
        <f aca="false">IF($Q124="","",INDEX('Lançar Resultado'!$A$3:$A$2002,$Q124))</f>
        <v/>
      </c>
      <c r="C124" s="44" t="str">
        <f aca="false">IF($Q124="","",INDEX('Lançar Resultado'!$B$3:$B$2002,$Q124))</f>
        <v/>
      </c>
      <c r="D124" s="46" t="str">
        <f aca="false">IF($Q124="","",IF(SUMPRODUCT((Inspeções!$B$3:$B$122=$B124)*(Inspeções!$A$3:$A$122=$C124)*(ROW(Inspeções!$B$3:$B$122)-3+1))=0,"",INDEX(Inspeções!$C$3:$C$122,SUMPRODUCT((Inspeções!$B$3:$B$122=$B124)*(Inspeções!$A$3:$A$122=$C124)*(ROW(Inspeções!$B$3:$B$122)-3+1)))))</f>
        <v/>
      </c>
      <c r="E124" s="47" t="str">
        <f aca="false">IF($Q124="","",INDEX('Lançar Resultado'!$C$3:$C$2002,$Q124))</f>
        <v/>
      </c>
      <c r="F124" s="47" t="str">
        <f aca="false">IF($Q124="","",IFERROR(INDEX(Equipamentos!$E$3:$E$52,MATCH($B124,Equipamentos!$A$3:$A$52,0)),""))</f>
        <v/>
      </c>
      <c r="G124" s="47" t="str">
        <f aca="false">IF($Q124="","",INDEX('Lançar Resultado'!$D$3:$D$2002,$Q124))</f>
        <v/>
      </c>
      <c r="H124" s="47" t="str">
        <f aca="false">IF($Q124="","",INDEX('Lançar Resultado'!$E$3:$E$2002,$Q124))</f>
        <v/>
      </c>
      <c r="I124" s="46" t="str">
        <f aca="false">IF($Q124="","",INDEX('Lançar Resultado'!$G$3:$G$2002,$Q124))</f>
        <v/>
      </c>
      <c r="J124" s="45" t="str">
        <f aca="false">IF($Q124="","",INDEX('Lançar Resultado'!$P$3:$P$2002,$Q124))</f>
        <v/>
      </c>
      <c r="K124" s="46" t="str">
        <f aca="false">IF($Q124="","",INDEX('Lançar Resultado'!$N$3:$N$2002,$Q124))</f>
        <v/>
      </c>
      <c r="L124" s="47" t="str">
        <f aca="false">IF($Q124="","",INDEX('Lançar Resultado'!$I$3:$I$2002,$Q124))</f>
        <v/>
      </c>
      <c r="M124" s="47" t="str">
        <f aca="false">IF($Q124="","",INDEX('Lançar Resultado'!$J$3:$J$2002,$Q124))</f>
        <v/>
      </c>
      <c r="N124" s="44" t="str">
        <f aca="false">IF($Q124="","",INDEX('Lançar Resultado'!$K$3:$K$2002,$Q124))</f>
        <v/>
      </c>
      <c r="O124" s="46" t="str">
        <f aca="false">IF($Q124="","",INDEX('Lançar Resultado'!$L$3:$L$2002,$Q124))</f>
        <v/>
      </c>
      <c r="P124" s="45" t="str">
        <f aca="false">IF($Q124="","",IF(OR($O124="Concluída",$N124=""),"",IF($N124&lt;INT(Parâmetros!$C$4),INT(Parâmetros!$C$4)-$N124,"")))</f>
        <v/>
      </c>
      <c r="Q124" s="45" t="str">
        <f aca="false">IFERROR(MATCH(122,'Lançar Resultado'!$Q$3:$Q$2002,0),"")</f>
        <v/>
      </c>
    </row>
    <row r="125" customFormat="false" ht="18" hidden="false" customHeight="true" outlineLevel="0" collapsed="false">
      <c r="A125" s="39" t="n">
        <v>123</v>
      </c>
      <c r="B125" s="47" t="str">
        <f aca="false">IF($Q125="","",INDEX('Lançar Resultado'!$A$3:$A$2002,$Q125))</f>
        <v/>
      </c>
      <c r="C125" s="44" t="str">
        <f aca="false">IF($Q125="","",INDEX('Lançar Resultado'!$B$3:$B$2002,$Q125))</f>
        <v/>
      </c>
      <c r="D125" s="46" t="str">
        <f aca="false">IF($Q125="","",IF(SUMPRODUCT((Inspeções!$B$3:$B$122=$B125)*(Inspeções!$A$3:$A$122=$C125)*(ROW(Inspeções!$B$3:$B$122)-3+1))=0,"",INDEX(Inspeções!$C$3:$C$122,SUMPRODUCT((Inspeções!$B$3:$B$122=$B125)*(Inspeções!$A$3:$A$122=$C125)*(ROW(Inspeções!$B$3:$B$122)-3+1)))))</f>
        <v/>
      </c>
      <c r="E125" s="47" t="str">
        <f aca="false">IF($Q125="","",INDEX('Lançar Resultado'!$C$3:$C$2002,$Q125))</f>
        <v/>
      </c>
      <c r="F125" s="47" t="str">
        <f aca="false">IF($Q125="","",IFERROR(INDEX(Equipamentos!$E$3:$E$52,MATCH($B125,Equipamentos!$A$3:$A$52,0)),""))</f>
        <v/>
      </c>
      <c r="G125" s="47" t="str">
        <f aca="false">IF($Q125="","",INDEX('Lançar Resultado'!$D$3:$D$2002,$Q125))</f>
        <v/>
      </c>
      <c r="H125" s="47" t="str">
        <f aca="false">IF($Q125="","",INDEX('Lançar Resultado'!$E$3:$E$2002,$Q125))</f>
        <v/>
      </c>
      <c r="I125" s="46" t="str">
        <f aca="false">IF($Q125="","",INDEX('Lançar Resultado'!$G$3:$G$2002,$Q125))</f>
        <v/>
      </c>
      <c r="J125" s="45" t="str">
        <f aca="false">IF($Q125="","",INDEX('Lançar Resultado'!$P$3:$P$2002,$Q125))</f>
        <v/>
      </c>
      <c r="K125" s="46" t="str">
        <f aca="false">IF($Q125="","",INDEX('Lançar Resultado'!$N$3:$N$2002,$Q125))</f>
        <v/>
      </c>
      <c r="L125" s="47" t="str">
        <f aca="false">IF($Q125="","",INDEX('Lançar Resultado'!$I$3:$I$2002,$Q125))</f>
        <v/>
      </c>
      <c r="M125" s="47" t="str">
        <f aca="false">IF($Q125="","",INDEX('Lançar Resultado'!$J$3:$J$2002,$Q125))</f>
        <v/>
      </c>
      <c r="N125" s="44" t="str">
        <f aca="false">IF($Q125="","",INDEX('Lançar Resultado'!$K$3:$K$2002,$Q125))</f>
        <v/>
      </c>
      <c r="O125" s="46" t="str">
        <f aca="false">IF($Q125="","",INDEX('Lançar Resultado'!$L$3:$L$2002,$Q125))</f>
        <v/>
      </c>
      <c r="P125" s="45" t="str">
        <f aca="false">IF($Q125="","",IF(OR($O125="Concluída",$N125=""),"",IF($N125&lt;INT(Parâmetros!$C$4),INT(Parâmetros!$C$4)-$N125,"")))</f>
        <v/>
      </c>
      <c r="Q125" s="45" t="str">
        <f aca="false">IFERROR(MATCH(123,'Lançar Resultado'!$Q$3:$Q$2002,0),"")</f>
        <v/>
      </c>
    </row>
    <row r="126" customFormat="false" ht="18" hidden="false" customHeight="true" outlineLevel="0" collapsed="false">
      <c r="A126" s="39" t="n">
        <v>124</v>
      </c>
      <c r="B126" s="47" t="str">
        <f aca="false">IF($Q126="","",INDEX('Lançar Resultado'!$A$3:$A$2002,$Q126))</f>
        <v/>
      </c>
      <c r="C126" s="44" t="str">
        <f aca="false">IF($Q126="","",INDEX('Lançar Resultado'!$B$3:$B$2002,$Q126))</f>
        <v/>
      </c>
      <c r="D126" s="46" t="str">
        <f aca="false">IF($Q126="","",IF(SUMPRODUCT((Inspeções!$B$3:$B$122=$B126)*(Inspeções!$A$3:$A$122=$C126)*(ROW(Inspeções!$B$3:$B$122)-3+1))=0,"",INDEX(Inspeções!$C$3:$C$122,SUMPRODUCT((Inspeções!$B$3:$B$122=$B126)*(Inspeções!$A$3:$A$122=$C126)*(ROW(Inspeções!$B$3:$B$122)-3+1)))))</f>
        <v/>
      </c>
      <c r="E126" s="47" t="str">
        <f aca="false">IF($Q126="","",INDEX('Lançar Resultado'!$C$3:$C$2002,$Q126))</f>
        <v/>
      </c>
      <c r="F126" s="47" t="str">
        <f aca="false">IF($Q126="","",IFERROR(INDEX(Equipamentos!$E$3:$E$52,MATCH($B126,Equipamentos!$A$3:$A$52,0)),""))</f>
        <v/>
      </c>
      <c r="G126" s="47" t="str">
        <f aca="false">IF($Q126="","",INDEX('Lançar Resultado'!$D$3:$D$2002,$Q126))</f>
        <v/>
      </c>
      <c r="H126" s="47" t="str">
        <f aca="false">IF($Q126="","",INDEX('Lançar Resultado'!$E$3:$E$2002,$Q126))</f>
        <v/>
      </c>
      <c r="I126" s="46" t="str">
        <f aca="false">IF($Q126="","",INDEX('Lançar Resultado'!$G$3:$G$2002,$Q126))</f>
        <v/>
      </c>
      <c r="J126" s="45" t="str">
        <f aca="false">IF($Q126="","",INDEX('Lançar Resultado'!$P$3:$P$2002,$Q126))</f>
        <v/>
      </c>
      <c r="K126" s="46" t="str">
        <f aca="false">IF($Q126="","",INDEX('Lançar Resultado'!$N$3:$N$2002,$Q126))</f>
        <v/>
      </c>
      <c r="L126" s="47" t="str">
        <f aca="false">IF($Q126="","",INDEX('Lançar Resultado'!$I$3:$I$2002,$Q126))</f>
        <v/>
      </c>
      <c r="M126" s="47" t="str">
        <f aca="false">IF($Q126="","",INDEX('Lançar Resultado'!$J$3:$J$2002,$Q126))</f>
        <v/>
      </c>
      <c r="N126" s="44" t="str">
        <f aca="false">IF($Q126="","",INDEX('Lançar Resultado'!$K$3:$K$2002,$Q126))</f>
        <v/>
      </c>
      <c r="O126" s="46" t="str">
        <f aca="false">IF($Q126="","",INDEX('Lançar Resultado'!$L$3:$L$2002,$Q126))</f>
        <v/>
      </c>
      <c r="P126" s="45" t="str">
        <f aca="false">IF($Q126="","",IF(OR($O126="Concluída",$N126=""),"",IF($N126&lt;INT(Parâmetros!$C$4),INT(Parâmetros!$C$4)-$N126,"")))</f>
        <v/>
      </c>
      <c r="Q126" s="45" t="str">
        <f aca="false">IFERROR(MATCH(124,'Lançar Resultado'!$Q$3:$Q$2002,0),"")</f>
        <v/>
      </c>
    </row>
    <row r="127" customFormat="false" ht="18" hidden="false" customHeight="true" outlineLevel="0" collapsed="false">
      <c r="A127" s="39" t="n">
        <v>125</v>
      </c>
      <c r="B127" s="47" t="str">
        <f aca="false">IF($Q127="","",INDEX('Lançar Resultado'!$A$3:$A$2002,$Q127))</f>
        <v/>
      </c>
      <c r="C127" s="44" t="str">
        <f aca="false">IF($Q127="","",INDEX('Lançar Resultado'!$B$3:$B$2002,$Q127))</f>
        <v/>
      </c>
      <c r="D127" s="46" t="str">
        <f aca="false">IF($Q127="","",IF(SUMPRODUCT((Inspeções!$B$3:$B$122=$B127)*(Inspeções!$A$3:$A$122=$C127)*(ROW(Inspeções!$B$3:$B$122)-3+1))=0,"",INDEX(Inspeções!$C$3:$C$122,SUMPRODUCT((Inspeções!$B$3:$B$122=$B127)*(Inspeções!$A$3:$A$122=$C127)*(ROW(Inspeções!$B$3:$B$122)-3+1)))))</f>
        <v/>
      </c>
      <c r="E127" s="47" t="str">
        <f aca="false">IF($Q127="","",INDEX('Lançar Resultado'!$C$3:$C$2002,$Q127))</f>
        <v/>
      </c>
      <c r="F127" s="47" t="str">
        <f aca="false">IF($Q127="","",IFERROR(INDEX(Equipamentos!$E$3:$E$52,MATCH($B127,Equipamentos!$A$3:$A$52,0)),""))</f>
        <v/>
      </c>
      <c r="G127" s="47" t="str">
        <f aca="false">IF($Q127="","",INDEX('Lançar Resultado'!$D$3:$D$2002,$Q127))</f>
        <v/>
      </c>
      <c r="H127" s="47" t="str">
        <f aca="false">IF($Q127="","",INDEX('Lançar Resultado'!$E$3:$E$2002,$Q127))</f>
        <v/>
      </c>
      <c r="I127" s="46" t="str">
        <f aca="false">IF($Q127="","",INDEX('Lançar Resultado'!$G$3:$G$2002,$Q127))</f>
        <v/>
      </c>
      <c r="J127" s="45" t="str">
        <f aca="false">IF($Q127="","",INDEX('Lançar Resultado'!$P$3:$P$2002,$Q127))</f>
        <v/>
      </c>
      <c r="K127" s="46" t="str">
        <f aca="false">IF($Q127="","",INDEX('Lançar Resultado'!$N$3:$N$2002,$Q127))</f>
        <v/>
      </c>
      <c r="L127" s="47" t="str">
        <f aca="false">IF($Q127="","",INDEX('Lançar Resultado'!$I$3:$I$2002,$Q127))</f>
        <v/>
      </c>
      <c r="M127" s="47" t="str">
        <f aca="false">IF($Q127="","",INDEX('Lançar Resultado'!$J$3:$J$2002,$Q127))</f>
        <v/>
      </c>
      <c r="N127" s="44" t="str">
        <f aca="false">IF($Q127="","",INDEX('Lançar Resultado'!$K$3:$K$2002,$Q127))</f>
        <v/>
      </c>
      <c r="O127" s="46" t="str">
        <f aca="false">IF($Q127="","",INDEX('Lançar Resultado'!$L$3:$L$2002,$Q127))</f>
        <v/>
      </c>
      <c r="P127" s="45" t="str">
        <f aca="false">IF($Q127="","",IF(OR($O127="Concluída",$N127=""),"",IF($N127&lt;INT(Parâmetros!$C$4),INT(Parâmetros!$C$4)-$N127,"")))</f>
        <v/>
      </c>
      <c r="Q127" s="45" t="str">
        <f aca="false">IFERROR(MATCH(125,'Lançar Resultado'!$Q$3:$Q$2002,0),"")</f>
        <v/>
      </c>
    </row>
    <row r="128" customFormat="false" ht="18" hidden="false" customHeight="true" outlineLevel="0" collapsed="false">
      <c r="A128" s="39" t="n">
        <v>126</v>
      </c>
      <c r="B128" s="47" t="str">
        <f aca="false">IF($Q128="","",INDEX('Lançar Resultado'!$A$3:$A$2002,$Q128))</f>
        <v/>
      </c>
      <c r="C128" s="44" t="str">
        <f aca="false">IF($Q128="","",INDEX('Lançar Resultado'!$B$3:$B$2002,$Q128))</f>
        <v/>
      </c>
      <c r="D128" s="46" t="str">
        <f aca="false">IF($Q128="","",IF(SUMPRODUCT((Inspeções!$B$3:$B$122=$B128)*(Inspeções!$A$3:$A$122=$C128)*(ROW(Inspeções!$B$3:$B$122)-3+1))=0,"",INDEX(Inspeções!$C$3:$C$122,SUMPRODUCT((Inspeções!$B$3:$B$122=$B128)*(Inspeções!$A$3:$A$122=$C128)*(ROW(Inspeções!$B$3:$B$122)-3+1)))))</f>
        <v/>
      </c>
      <c r="E128" s="47" t="str">
        <f aca="false">IF($Q128="","",INDEX('Lançar Resultado'!$C$3:$C$2002,$Q128))</f>
        <v/>
      </c>
      <c r="F128" s="47" t="str">
        <f aca="false">IF($Q128="","",IFERROR(INDEX(Equipamentos!$E$3:$E$52,MATCH($B128,Equipamentos!$A$3:$A$52,0)),""))</f>
        <v/>
      </c>
      <c r="G128" s="47" t="str">
        <f aca="false">IF($Q128="","",INDEX('Lançar Resultado'!$D$3:$D$2002,$Q128))</f>
        <v/>
      </c>
      <c r="H128" s="47" t="str">
        <f aca="false">IF($Q128="","",INDEX('Lançar Resultado'!$E$3:$E$2002,$Q128))</f>
        <v/>
      </c>
      <c r="I128" s="46" t="str">
        <f aca="false">IF($Q128="","",INDEX('Lançar Resultado'!$G$3:$G$2002,$Q128))</f>
        <v/>
      </c>
      <c r="J128" s="45" t="str">
        <f aca="false">IF($Q128="","",INDEX('Lançar Resultado'!$P$3:$P$2002,$Q128))</f>
        <v/>
      </c>
      <c r="K128" s="46" t="str">
        <f aca="false">IF($Q128="","",INDEX('Lançar Resultado'!$N$3:$N$2002,$Q128))</f>
        <v/>
      </c>
      <c r="L128" s="47" t="str">
        <f aca="false">IF($Q128="","",INDEX('Lançar Resultado'!$I$3:$I$2002,$Q128))</f>
        <v/>
      </c>
      <c r="M128" s="47" t="str">
        <f aca="false">IF($Q128="","",INDEX('Lançar Resultado'!$J$3:$J$2002,$Q128))</f>
        <v/>
      </c>
      <c r="N128" s="44" t="str">
        <f aca="false">IF($Q128="","",INDEX('Lançar Resultado'!$K$3:$K$2002,$Q128))</f>
        <v/>
      </c>
      <c r="O128" s="46" t="str">
        <f aca="false">IF($Q128="","",INDEX('Lançar Resultado'!$L$3:$L$2002,$Q128))</f>
        <v/>
      </c>
      <c r="P128" s="45" t="str">
        <f aca="false">IF($Q128="","",IF(OR($O128="Concluída",$N128=""),"",IF($N128&lt;INT(Parâmetros!$C$4),INT(Parâmetros!$C$4)-$N128,"")))</f>
        <v/>
      </c>
      <c r="Q128" s="45" t="str">
        <f aca="false">IFERROR(MATCH(126,'Lançar Resultado'!$Q$3:$Q$2002,0),"")</f>
        <v/>
      </c>
    </row>
    <row r="129" customFormat="false" ht="18" hidden="false" customHeight="true" outlineLevel="0" collapsed="false">
      <c r="A129" s="39" t="n">
        <v>127</v>
      </c>
      <c r="B129" s="47" t="str">
        <f aca="false">IF($Q129="","",INDEX('Lançar Resultado'!$A$3:$A$2002,$Q129))</f>
        <v/>
      </c>
      <c r="C129" s="44" t="str">
        <f aca="false">IF($Q129="","",INDEX('Lançar Resultado'!$B$3:$B$2002,$Q129))</f>
        <v/>
      </c>
      <c r="D129" s="46" t="str">
        <f aca="false">IF($Q129="","",IF(SUMPRODUCT((Inspeções!$B$3:$B$122=$B129)*(Inspeções!$A$3:$A$122=$C129)*(ROW(Inspeções!$B$3:$B$122)-3+1))=0,"",INDEX(Inspeções!$C$3:$C$122,SUMPRODUCT((Inspeções!$B$3:$B$122=$B129)*(Inspeções!$A$3:$A$122=$C129)*(ROW(Inspeções!$B$3:$B$122)-3+1)))))</f>
        <v/>
      </c>
      <c r="E129" s="47" t="str">
        <f aca="false">IF($Q129="","",INDEX('Lançar Resultado'!$C$3:$C$2002,$Q129))</f>
        <v/>
      </c>
      <c r="F129" s="47" t="str">
        <f aca="false">IF($Q129="","",IFERROR(INDEX(Equipamentos!$E$3:$E$52,MATCH($B129,Equipamentos!$A$3:$A$52,0)),""))</f>
        <v/>
      </c>
      <c r="G129" s="47" t="str">
        <f aca="false">IF($Q129="","",INDEX('Lançar Resultado'!$D$3:$D$2002,$Q129))</f>
        <v/>
      </c>
      <c r="H129" s="47" t="str">
        <f aca="false">IF($Q129="","",INDEX('Lançar Resultado'!$E$3:$E$2002,$Q129))</f>
        <v/>
      </c>
      <c r="I129" s="46" t="str">
        <f aca="false">IF($Q129="","",INDEX('Lançar Resultado'!$G$3:$G$2002,$Q129))</f>
        <v/>
      </c>
      <c r="J129" s="45" t="str">
        <f aca="false">IF($Q129="","",INDEX('Lançar Resultado'!$P$3:$P$2002,$Q129))</f>
        <v/>
      </c>
      <c r="K129" s="46" t="str">
        <f aca="false">IF($Q129="","",INDEX('Lançar Resultado'!$N$3:$N$2002,$Q129))</f>
        <v/>
      </c>
      <c r="L129" s="47" t="str">
        <f aca="false">IF($Q129="","",INDEX('Lançar Resultado'!$I$3:$I$2002,$Q129))</f>
        <v/>
      </c>
      <c r="M129" s="47" t="str">
        <f aca="false">IF($Q129="","",INDEX('Lançar Resultado'!$J$3:$J$2002,$Q129))</f>
        <v/>
      </c>
      <c r="N129" s="44" t="str">
        <f aca="false">IF($Q129="","",INDEX('Lançar Resultado'!$K$3:$K$2002,$Q129))</f>
        <v/>
      </c>
      <c r="O129" s="46" t="str">
        <f aca="false">IF($Q129="","",INDEX('Lançar Resultado'!$L$3:$L$2002,$Q129))</f>
        <v/>
      </c>
      <c r="P129" s="45" t="str">
        <f aca="false">IF($Q129="","",IF(OR($O129="Concluída",$N129=""),"",IF($N129&lt;INT(Parâmetros!$C$4),INT(Parâmetros!$C$4)-$N129,"")))</f>
        <v/>
      </c>
      <c r="Q129" s="45" t="str">
        <f aca="false">IFERROR(MATCH(127,'Lançar Resultado'!$Q$3:$Q$2002,0),"")</f>
        <v/>
      </c>
    </row>
    <row r="130" customFormat="false" ht="18" hidden="false" customHeight="true" outlineLevel="0" collapsed="false">
      <c r="A130" s="39" t="n">
        <v>128</v>
      </c>
      <c r="B130" s="47" t="str">
        <f aca="false">IF($Q130="","",INDEX('Lançar Resultado'!$A$3:$A$2002,$Q130))</f>
        <v/>
      </c>
      <c r="C130" s="44" t="str">
        <f aca="false">IF($Q130="","",INDEX('Lançar Resultado'!$B$3:$B$2002,$Q130))</f>
        <v/>
      </c>
      <c r="D130" s="46" t="str">
        <f aca="false">IF($Q130="","",IF(SUMPRODUCT((Inspeções!$B$3:$B$122=$B130)*(Inspeções!$A$3:$A$122=$C130)*(ROW(Inspeções!$B$3:$B$122)-3+1))=0,"",INDEX(Inspeções!$C$3:$C$122,SUMPRODUCT((Inspeções!$B$3:$B$122=$B130)*(Inspeções!$A$3:$A$122=$C130)*(ROW(Inspeções!$B$3:$B$122)-3+1)))))</f>
        <v/>
      </c>
      <c r="E130" s="47" t="str">
        <f aca="false">IF($Q130="","",INDEX('Lançar Resultado'!$C$3:$C$2002,$Q130))</f>
        <v/>
      </c>
      <c r="F130" s="47" t="str">
        <f aca="false">IF($Q130="","",IFERROR(INDEX(Equipamentos!$E$3:$E$52,MATCH($B130,Equipamentos!$A$3:$A$52,0)),""))</f>
        <v/>
      </c>
      <c r="G130" s="47" t="str">
        <f aca="false">IF($Q130="","",INDEX('Lançar Resultado'!$D$3:$D$2002,$Q130))</f>
        <v/>
      </c>
      <c r="H130" s="47" t="str">
        <f aca="false">IF($Q130="","",INDEX('Lançar Resultado'!$E$3:$E$2002,$Q130))</f>
        <v/>
      </c>
      <c r="I130" s="46" t="str">
        <f aca="false">IF($Q130="","",INDEX('Lançar Resultado'!$G$3:$G$2002,$Q130))</f>
        <v/>
      </c>
      <c r="J130" s="45" t="str">
        <f aca="false">IF($Q130="","",INDEX('Lançar Resultado'!$P$3:$P$2002,$Q130))</f>
        <v/>
      </c>
      <c r="K130" s="46" t="str">
        <f aca="false">IF($Q130="","",INDEX('Lançar Resultado'!$N$3:$N$2002,$Q130))</f>
        <v/>
      </c>
      <c r="L130" s="47" t="str">
        <f aca="false">IF($Q130="","",INDEX('Lançar Resultado'!$I$3:$I$2002,$Q130))</f>
        <v/>
      </c>
      <c r="M130" s="47" t="str">
        <f aca="false">IF($Q130="","",INDEX('Lançar Resultado'!$J$3:$J$2002,$Q130))</f>
        <v/>
      </c>
      <c r="N130" s="44" t="str">
        <f aca="false">IF($Q130="","",INDEX('Lançar Resultado'!$K$3:$K$2002,$Q130))</f>
        <v/>
      </c>
      <c r="O130" s="46" t="str">
        <f aca="false">IF($Q130="","",INDEX('Lançar Resultado'!$L$3:$L$2002,$Q130))</f>
        <v/>
      </c>
      <c r="P130" s="45" t="str">
        <f aca="false">IF($Q130="","",IF(OR($O130="Concluída",$N130=""),"",IF($N130&lt;INT(Parâmetros!$C$4),INT(Parâmetros!$C$4)-$N130,"")))</f>
        <v/>
      </c>
      <c r="Q130" s="45" t="str">
        <f aca="false">IFERROR(MATCH(128,'Lançar Resultado'!$Q$3:$Q$2002,0),"")</f>
        <v/>
      </c>
    </row>
    <row r="131" customFormat="false" ht="18" hidden="false" customHeight="true" outlineLevel="0" collapsed="false">
      <c r="A131" s="39" t="n">
        <v>129</v>
      </c>
      <c r="B131" s="47" t="str">
        <f aca="false">IF($Q131="","",INDEX('Lançar Resultado'!$A$3:$A$2002,$Q131))</f>
        <v/>
      </c>
      <c r="C131" s="44" t="str">
        <f aca="false">IF($Q131="","",INDEX('Lançar Resultado'!$B$3:$B$2002,$Q131))</f>
        <v/>
      </c>
      <c r="D131" s="46" t="str">
        <f aca="false">IF($Q131="","",IF(SUMPRODUCT((Inspeções!$B$3:$B$122=$B131)*(Inspeções!$A$3:$A$122=$C131)*(ROW(Inspeções!$B$3:$B$122)-3+1))=0,"",INDEX(Inspeções!$C$3:$C$122,SUMPRODUCT((Inspeções!$B$3:$B$122=$B131)*(Inspeções!$A$3:$A$122=$C131)*(ROW(Inspeções!$B$3:$B$122)-3+1)))))</f>
        <v/>
      </c>
      <c r="E131" s="47" t="str">
        <f aca="false">IF($Q131="","",INDEX('Lançar Resultado'!$C$3:$C$2002,$Q131))</f>
        <v/>
      </c>
      <c r="F131" s="47" t="str">
        <f aca="false">IF($Q131="","",IFERROR(INDEX(Equipamentos!$E$3:$E$52,MATCH($B131,Equipamentos!$A$3:$A$52,0)),""))</f>
        <v/>
      </c>
      <c r="G131" s="47" t="str">
        <f aca="false">IF($Q131="","",INDEX('Lançar Resultado'!$D$3:$D$2002,$Q131))</f>
        <v/>
      </c>
      <c r="H131" s="47" t="str">
        <f aca="false">IF($Q131="","",INDEX('Lançar Resultado'!$E$3:$E$2002,$Q131))</f>
        <v/>
      </c>
      <c r="I131" s="46" t="str">
        <f aca="false">IF($Q131="","",INDEX('Lançar Resultado'!$G$3:$G$2002,$Q131))</f>
        <v/>
      </c>
      <c r="J131" s="45" t="str">
        <f aca="false">IF($Q131="","",INDEX('Lançar Resultado'!$P$3:$P$2002,$Q131))</f>
        <v/>
      </c>
      <c r="K131" s="46" t="str">
        <f aca="false">IF($Q131="","",INDEX('Lançar Resultado'!$N$3:$N$2002,$Q131))</f>
        <v/>
      </c>
      <c r="L131" s="47" t="str">
        <f aca="false">IF($Q131="","",INDEX('Lançar Resultado'!$I$3:$I$2002,$Q131))</f>
        <v/>
      </c>
      <c r="M131" s="47" t="str">
        <f aca="false">IF($Q131="","",INDEX('Lançar Resultado'!$J$3:$J$2002,$Q131))</f>
        <v/>
      </c>
      <c r="N131" s="44" t="str">
        <f aca="false">IF($Q131="","",INDEX('Lançar Resultado'!$K$3:$K$2002,$Q131))</f>
        <v/>
      </c>
      <c r="O131" s="46" t="str">
        <f aca="false">IF($Q131="","",INDEX('Lançar Resultado'!$L$3:$L$2002,$Q131))</f>
        <v/>
      </c>
      <c r="P131" s="45" t="str">
        <f aca="false">IF($Q131="","",IF(OR($O131="Concluída",$N131=""),"",IF($N131&lt;INT(Parâmetros!$C$4),INT(Parâmetros!$C$4)-$N131,"")))</f>
        <v/>
      </c>
      <c r="Q131" s="45" t="str">
        <f aca="false">IFERROR(MATCH(129,'Lançar Resultado'!$Q$3:$Q$2002,0),"")</f>
        <v/>
      </c>
    </row>
    <row r="132" customFormat="false" ht="18" hidden="false" customHeight="true" outlineLevel="0" collapsed="false">
      <c r="A132" s="39" t="n">
        <v>130</v>
      </c>
      <c r="B132" s="47" t="str">
        <f aca="false">IF($Q132="","",INDEX('Lançar Resultado'!$A$3:$A$2002,$Q132))</f>
        <v/>
      </c>
      <c r="C132" s="44" t="str">
        <f aca="false">IF($Q132="","",INDEX('Lançar Resultado'!$B$3:$B$2002,$Q132))</f>
        <v/>
      </c>
      <c r="D132" s="46" t="str">
        <f aca="false">IF($Q132="","",IF(SUMPRODUCT((Inspeções!$B$3:$B$122=$B132)*(Inspeções!$A$3:$A$122=$C132)*(ROW(Inspeções!$B$3:$B$122)-3+1))=0,"",INDEX(Inspeções!$C$3:$C$122,SUMPRODUCT((Inspeções!$B$3:$B$122=$B132)*(Inspeções!$A$3:$A$122=$C132)*(ROW(Inspeções!$B$3:$B$122)-3+1)))))</f>
        <v/>
      </c>
      <c r="E132" s="47" t="str">
        <f aca="false">IF($Q132="","",INDEX('Lançar Resultado'!$C$3:$C$2002,$Q132))</f>
        <v/>
      </c>
      <c r="F132" s="47" t="str">
        <f aca="false">IF($Q132="","",IFERROR(INDEX(Equipamentos!$E$3:$E$52,MATCH($B132,Equipamentos!$A$3:$A$52,0)),""))</f>
        <v/>
      </c>
      <c r="G132" s="47" t="str">
        <f aca="false">IF($Q132="","",INDEX('Lançar Resultado'!$D$3:$D$2002,$Q132))</f>
        <v/>
      </c>
      <c r="H132" s="47" t="str">
        <f aca="false">IF($Q132="","",INDEX('Lançar Resultado'!$E$3:$E$2002,$Q132))</f>
        <v/>
      </c>
      <c r="I132" s="46" t="str">
        <f aca="false">IF($Q132="","",INDEX('Lançar Resultado'!$G$3:$G$2002,$Q132))</f>
        <v/>
      </c>
      <c r="J132" s="45" t="str">
        <f aca="false">IF($Q132="","",INDEX('Lançar Resultado'!$P$3:$P$2002,$Q132))</f>
        <v/>
      </c>
      <c r="K132" s="46" t="str">
        <f aca="false">IF($Q132="","",INDEX('Lançar Resultado'!$N$3:$N$2002,$Q132))</f>
        <v/>
      </c>
      <c r="L132" s="47" t="str">
        <f aca="false">IF($Q132="","",INDEX('Lançar Resultado'!$I$3:$I$2002,$Q132))</f>
        <v/>
      </c>
      <c r="M132" s="47" t="str">
        <f aca="false">IF($Q132="","",INDEX('Lançar Resultado'!$J$3:$J$2002,$Q132))</f>
        <v/>
      </c>
      <c r="N132" s="44" t="str">
        <f aca="false">IF($Q132="","",INDEX('Lançar Resultado'!$K$3:$K$2002,$Q132))</f>
        <v/>
      </c>
      <c r="O132" s="46" t="str">
        <f aca="false">IF($Q132="","",INDEX('Lançar Resultado'!$L$3:$L$2002,$Q132))</f>
        <v/>
      </c>
      <c r="P132" s="45" t="str">
        <f aca="false">IF($Q132="","",IF(OR($O132="Concluída",$N132=""),"",IF($N132&lt;INT(Parâmetros!$C$4),INT(Parâmetros!$C$4)-$N132,"")))</f>
        <v/>
      </c>
      <c r="Q132" s="45" t="str">
        <f aca="false">IFERROR(MATCH(130,'Lançar Resultado'!$Q$3:$Q$2002,0),"")</f>
        <v/>
      </c>
    </row>
    <row r="133" customFormat="false" ht="18" hidden="false" customHeight="true" outlineLevel="0" collapsed="false">
      <c r="A133" s="39" t="n">
        <v>131</v>
      </c>
      <c r="B133" s="47" t="str">
        <f aca="false">IF($Q133="","",INDEX('Lançar Resultado'!$A$3:$A$2002,$Q133))</f>
        <v/>
      </c>
      <c r="C133" s="44" t="str">
        <f aca="false">IF($Q133="","",INDEX('Lançar Resultado'!$B$3:$B$2002,$Q133))</f>
        <v/>
      </c>
      <c r="D133" s="46" t="str">
        <f aca="false">IF($Q133="","",IF(SUMPRODUCT((Inspeções!$B$3:$B$122=$B133)*(Inspeções!$A$3:$A$122=$C133)*(ROW(Inspeções!$B$3:$B$122)-3+1))=0,"",INDEX(Inspeções!$C$3:$C$122,SUMPRODUCT((Inspeções!$B$3:$B$122=$B133)*(Inspeções!$A$3:$A$122=$C133)*(ROW(Inspeções!$B$3:$B$122)-3+1)))))</f>
        <v/>
      </c>
      <c r="E133" s="47" t="str">
        <f aca="false">IF($Q133="","",INDEX('Lançar Resultado'!$C$3:$C$2002,$Q133))</f>
        <v/>
      </c>
      <c r="F133" s="47" t="str">
        <f aca="false">IF($Q133="","",IFERROR(INDEX(Equipamentos!$E$3:$E$52,MATCH($B133,Equipamentos!$A$3:$A$52,0)),""))</f>
        <v/>
      </c>
      <c r="G133" s="47" t="str">
        <f aca="false">IF($Q133="","",INDEX('Lançar Resultado'!$D$3:$D$2002,$Q133))</f>
        <v/>
      </c>
      <c r="H133" s="47" t="str">
        <f aca="false">IF($Q133="","",INDEX('Lançar Resultado'!$E$3:$E$2002,$Q133))</f>
        <v/>
      </c>
      <c r="I133" s="46" t="str">
        <f aca="false">IF($Q133="","",INDEX('Lançar Resultado'!$G$3:$G$2002,$Q133))</f>
        <v/>
      </c>
      <c r="J133" s="45" t="str">
        <f aca="false">IF($Q133="","",INDEX('Lançar Resultado'!$P$3:$P$2002,$Q133))</f>
        <v/>
      </c>
      <c r="K133" s="46" t="str">
        <f aca="false">IF($Q133="","",INDEX('Lançar Resultado'!$N$3:$N$2002,$Q133))</f>
        <v/>
      </c>
      <c r="L133" s="47" t="str">
        <f aca="false">IF($Q133="","",INDEX('Lançar Resultado'!$I$3:$I$2002,$Q133))</f>
        <v/>
      </c>
      <c r="M133" s="47" t="str">
        <f aca="false">IF($Q133="","",INDEX('Lançar Resultado'!$J$3:$J$2002,$Q133))</f>
        <v/>
      </c>
      <c r="N133" s="44" t="str">
        <f aca="false">IF($Q133="","",INDEX('Lançar Resultado'!$K$3:$K$2002,$Q133))</f>
        <v/>
      </c>
      <c r="O133" s="46" t="str">
        <f aca="false">IF($Q133="","",INDEX('Lançar Resultado'!$L$3:$L$2002,$Q133))</f>
        <v/>
      </c>
      <c r="P133" s="45" t="str">
        <f aca="false">IF($Q133="","",IF(OR($O133="Concluída",$N133=""),"",IF($N133&lt;INT(Parâmetros!$C$4),INT(Parâmetros!$C$4)-$N133,"")))</f>
        <v/>
      </c>
      <c r="Q133" s="45" t="str">
        <f aca="false">IFERROR(MATCH(131,'Lançar Resultado'!$Q$3:$Q$2002,0),"")</f>
        <v/>
      </c>
    </row>
    <row r="134" customFormat="false" ht="18" hidden="false" customHeight="true" outlineLevel="0" collapsed="false">
      <c r="A134" s="39" t="n">
        <v>132</v>
      </c>
      <c r="B134" s="47" t="str">
        <f aca="false">IF($Q134="","",INDEX('Lançar Resultado'!$A$3:$A$2002,$Q134))</f>
        <v/>
      </c>
      <c r="C134" s="44" t="str">
        <f aca="false">IF($Q134="","",INDEX('Lançar Resultado'!$B$3:$B$2002,$Q134))</f>
        <v/>
      </c>
      <c r="D134" s="46" t="str">
        <f aca="false">IF($Q134="","",IF(SUMPRODUCT((Inspeções!$B$3:$B$122=$B134)*(Inspeções!$A$3:$A$122=$C134)*(ROW(Inspeções!$B$3:$B$122)-3+1))=0,"",INDEX(Inspeções!$C$3:$C$122,SUMPRODUCT((Inspeções!$B$3:$B$122=$B134)*(Inspeções!$A$3:$A$122=$C134)*(ROW(Inspeções!$B$3:$B$122)-3+1)))))</f>
        <v/>
      </c>
      <c r="E134" s="47" t="str">
        <f aca="false">IF($Q134="","",INDEX('Lançar Resultado'!$C$3:$C$2002,$Q134))</f>
        <v/>
      </c>
      <c r="F134" s="47" t="str">
        <f aca="false">IF($Q134="","",IFERROR(INDEX(Equipamentos!$E$3:$E$52,MATCH($B134,Equipamentos!$A$3:$A$52,0)),""))</f>
        <v/>
      </c>
      <c r="G134" s="47" t="str">
        <f aca="false">IF($Q134="","",INDEX('Lançar Resultado'!$D$3:$D$2002,$Q134))</f>
        <v/>
      </c>
      <c r="H134" s="47" t="str">
        <f aca="false">IF($Q134="","",INDEX('Lançar Resultado'!$E$3:$E$2002,$Q134))</f>
        <v/>
      </c>
      <c r="I134" s="46" t="str">
        <f aca="false">IF($Q134="","",INDEX('Lançar Resultado'!$G$3:$G$2002,$Q134))</f>
        <v/>
      </c>
      <c r="J134" s="45" t="str">
        <f aca="false">IF($Q134="","",INDEX('Lançar Resultado'!$P$3:$P$2002,$Q134))</f>
        <v/>
      </c>
      <c r="K134" s="46" t="str">
        <f aca="false">IF($Q134="","",INDEX('Lançar Resultado'!$N$3:$N$2002,$Q134))</f>
        <v/>
      </c>
      <c r="L134" s="47" t="str">
        <f aca="false">IF($Q134="","",INDEX('Lançar Resultado'!$I$3:$I$2002,$Q134))</f>
        <v/>
      </c>
      <c r="M134" s="47" t="str">
        <f aca="false">IF($Q134="","",INDEX('Lançar Resultado'!$J$3:$J$2002,$Q134))</f>
        <v/>
      </c>
      <c r="N134" s="44" t="str">
        <f aca="false">IF($Q134="","",INDEX('Lançar Resultado'!$K$3:$K$2002,$Q134))</f>
        <v/>
      </c>
      <c r="O134" s="46" t="str">
        <f aca="false">IF($Q134="","",INDEX('Lançar Resultado'!$L$3:$L$2002,$Q134))</f>
        <v/>
      </c>
      <c r="P134" s="45" t="str">
        <f aca="false">IF($Q134="","",IF(OR($O134="Concluída",$N134=""),"",IF($N134&lt;INT(Parâmetros!$C$4),INT(Parâmetros!$C$4)-$N134,"")))</f>
        <v/>
      </c>
      <c r="Q134" s="45" t="str">
        <f aca="false">IFERROR(MATCH(132,'Lançar Resultado'!$Q$3:$Q$2002,0),"")</f>
        <v/>
      </c>
    </row>
    <row r="135" customFormat="false" ht="18" hidden="false" customHeight="true" outlineLevel="0" collapsed="false">
      <c r="A135" s="39" t="n">
        <v>133</v>
      </c>
      <c r="B135" s="47" t="str">
        <f aca="false">IF($Q135="","",INDEX('Lançar Resultado'!$A$3:$A$2002,$Q135))</f>
        <v/>
      </c>
      <c r="C135" s="44" t="str">
        <f aca="false">IF($Q135="","",INDEX('Lançar Resultado'!$B$3:$B$2002,$Q135))</f>
        <v/>
      </c>
      <c r="D135" s="46" t="str">
        <f aca="false">IF($Q135="","",IF(SUMPRODUCT((Inspeções!$B$3:$B$122=$B135)*(Inspeções!$A$3:$A$122=$C135)*(ROW(Inspeções!$B$3:$B$122)-3+1))=0,"",INDEX(Inspeções!$C$3:$C$122,SUMPRODUCT((Inspeções!$B$3:$B$122=$B135)*(Inspeções!$A$3:$A$122=$C135)*(ROW(Inspeções!$B$3:$B$122)-3+1)))))</f>
        <v/>
      </c>
      <c r="E135" s="47" t="str">
        <f aca="false">IF($Q135="","",INDEX('Lançar Resultado'!$C$3:$C$2002,$Q135))</f>
        <v/>
      </c>
      <c r="F135" s="47" t="str">
        <f aca="false">IF($Q135="","",IFERROR(INDEX(Equipamentos!$E$3:$E$52,MATCH($B135,Equipamentos!$A$3:$A$52,0)),""))</f>
        <v/>
      </c>
      <c r="G135" s="47" t="str">
        <f aca="false">IF($Q135="","",INDEX('Lançar Resultado'!$D$3:$D$2002,$Q135))</f>
        <v/>
      </c>
      <c r="H135" s="47" t="str">
        <f aca="false">IF($Q135="","",INDEX('Lançar Resultado'!$E$3:$E$2002,$Q135))</f>
        <v/>
      </c>
      <c r="I135" s="46" t="str">
        <f aca="false">IF($Q135="","",INDEX('Lançar Resultado'!$G$3:$G$2002,$Q135))</f>
        <v/>
      </c>
      <c r="J135" s="45" t="str">
        <f aca="false">IF($Q135="","",INDEX('Lançar Resultado'!$P$3:$P$2002,$Q135))</f>
        <v/>
      </c>
      <c r="K135" s="46" t="str">
        <f aca="false">IF($Q135="","",INDEX('Lançar Resultado'!$N$3:$N$2002,$Q135))</f>
        <v/>
      </c>
      <c r="L135" s="47" t="str">
        <f aca="false">IF($Q135="","",INDEX('Lançar Resultado'!$I$3:$I$2002,$Q135))</f>
        <v/>
      </c>
      <c r="M135" s="47" t="str">
        <f aca="false">IF($Q135="","",INDEX('Lançar Resultado'!$J$3:$J$2002,$Q135))</f>
        <v/>
      </c>
      <c r="N135" s="44" t="str">
        <f aca="false">IF($Q135="","",INDEX('Lançar Resultado'!$K$3:$K$2002,$Q135))</f>
        <v/>
      </c>
      <c r="O135" s="46" t="str">
        <f aca="false">IF($Q135="","",INDEX('Lançar Resultado'!$L$3:$L$2002,$Q135))</f>
        <v/>
      </c>
      <c r="P135" s="45" t="str">
        <f aca="false">IF($Q135="","",IF(OR($O135="Concluída",$N135=""),"",IF($N135&lt;INT(Parâmetros!$C$4),INT(Parâmetros!$C$4)-$N135,"")))</f>
        <v/>
      </c>
      <c r="Q135" s="45" t="str">
        <f aca="false">IFERROR(MATCH(133,'Lançar Resultado'!$Q$3:$Q$2002,0),"")</f>
        <v/>
      </c>
    </row>
    <row r="136" customFormat="false" ht="18" hidden="false" customHeight="true" outlineLevel="0" collapsed="false">
      <c r="A136" s="39" t="n">
        <v>134</v>
      </c>
      <c r="B136" s="47" t="str">
        <f aca="false">IF($Q136="","",INDEX('Lançar Resultado'!$A$3:$A$2002,$Q136))</f>
        <v/>
      </c>
      <c r="C136" s="44" t="str">
        <f aca="false">IF($Q136="","",INDEX('Lançar Resultado'!$B$3:$B$2002,$Q136))</f>
        <v/>
      </c>
      <c r="D136" s="46" t="str">
        <f aca="false">IF($Q136="","",IF(SUMPRODUCT((Inspeções!$B$3:$B$122=$B136)*(Inspeções!$A$3:$A$122=$C136)*(ROW(Inspeções!$B$3:$B$122)-3+1))=0,"",INDEX(Inspeções!$C$3:$C$122,SUMPRODUCT((Inspeções!$B$3:$B$122=$B136)*(Inspeções!$A$3:$A$122=$C136)*(ROW(Inspeções!$B$3:$B$122)-3+1)))))</f>
        <v/>
      </c>
      <c r="E136" s="47" t="str">
        <f aca="false">IF($Q136="","",INDEX('Lançar Resultado'!$C$3:$C$2002,$Q136))</f>
        <v/>
      </c>
      <c r="F136" s="47" t="str">
        <f aca="false">IF($Q136="","",IFERROR(INDEX(Equipamentos!$E$3:$E$52,MATCH($B136,Equipamentos!$A$3:$A$52,0)),""))</f>
        <v/>
      </c>
      <c r="G136" s="47" t="str">
        <f aca="false">IF($Q136="","",INDEX('Lançar Resultado'!$D$3:$D$2002,$Q136))</f>
        <v/>
      </c>
      <c r="H136" s="47" t="str">
        <f aca="false">IF($Q136="","",INDEX('Lançar Resultado'!$E$3:$E$2002,$Q136))</f>
        <v/>
      </c>
      <c r="I136" s="46" t="str">
        <f aca="false">IF($Q136="","",INDEX('Lançar Resultado'!$G$3:$G$2002,$Q136))</f>
        <v/>
      </c>
      <c r="J136" s="45" t="str">
        <f aca="false">IF($Q136="","",INDEX('Lançar Resultado'!$P$3:$P$2002,$Q136))</f>
        <v/>
      </c>
      <c r="K136" s="46" t="str">
        <f aca="false">IF($Q136="","",INDEX('Lançar Resultado'!$N$3:$N$2002,$Q136))</f>
        <v/>
      </c>
      <c r="L136" s="47" t="str">
        <f aca="false">IF($Q136="","",INDEX('Lançar Resultado'!$I$3:$I$2002,$Q136))</f>
        <v/>
      </c>
      <c r="M136" s="47" t="str">
        <f aca="false">IF($Q136="","",INDEX('Lançar Resultado'!$J$3:$J$2002,$Q136))</f>
        <v/>
      </c>
      <c r="N136" s="44" t="str">
        <f aca="false">IF($Q136="","",INDEX('Lançar Resultado'!$K$3:$K$2002,$Q136))</f>
        <v/>
      </c>
      <c r="O136" s="46" t="str">
        <f aca="false">IF($Q136="","",INDEX('Lançar Resultado'!$L$3:$L$2002,$Q136))</f>
        <v/>
      </c>
      <c r="P136" s="45" t="str">
        <f aca="false">IF($Q136="","",IF(OR($O136="Concluída",$N136=""),"",IF($N136&lt;INT(Parâmetros!$C$4),INT(Parâmetros!$C$4)-$N136,"")))</f>
        <v/>
      </c>
      <c r="Q136" s="45" t="str">
        <f aca="false">IFERROR(MATCH(134,'Lançar Resultado'!$Q$3:$Q$2002,0),"")</f>
        <v/>
      </c>
    </row>
    <row r="137" customFormat="false" ht="18" hidden="false" customHeight="true" outlineLevel="0" collapsed="false">
      <c r="A137" s="39" t="n">
        <v>135</v>
      </c>
      <c r="B137" s="47" t="str">
        <f aca="false">IF($Q137="","",INDEX('Lançar Resultado'!$A$3:$A$2002,$Q137))</f>
        <v/>
      </c>
      <c r="C137" s="44" t="str">
        <f aca="false">IF($Q137="","",INDEX('Lançar Resultado'!$B$3:$B$2002,$Q137))</f>
        <v/>
      </c>
      <c r="D137" s="46" t="str">
        <f aca="false">IF($Q137="","",IF(SUMPRODUCT((Inspeções!$B$3:$B$122=$B137)*(Inspeções!$A$3:$A$122=$C137)*(ROW(Inspeções!$B$3:$B$122)-3+1))=0,"",INDEX(Inspeções!$C$3:$C$122,SUMPRODUCT((Inspeções!$B$3:$B$122=$B137)*(Inspeções!$A$3:$A$122=$C137)*(ROW(Inspeções!$B$3:$B$122)-3+1)))))</f>
        <v/>
      </c>
      <c r="E137" s="47" t="str">
        <f aca="false">IF($Q137="","",INDEX('Lançar Resultado'!$C$3:$C$2002,$Q137))</f>
        <v/>
      </c>
      <c r="F137" s="47" t="str">
        <f aca="false">IF($Q137="","",IFERROR(INDEX(Equipamentos!$E$3:$E$52,MATCH($B137,Equipamentos!$A$3:$A$52,0)),""))</f>
        <v/>
      </c>
      <c r="G137" s="47" t="str">
        <f aca="false">IF($Q137="","",INDEX('Lançar Resultado'!$D$3:$D$2002,$Q137))</f>
        <v/>
      </c>
      <c r="H137" s="47" t="str">
        <f aca="false">IF($Q137="","",INDEX('Lançar Resultado'!$E$3:$E$2002,$Q137))</f>
        <v/>
      </c>
      <c r="I137" s="46" t="str">
        <f aca="false">IF($Q137="","",INDEX('Lançar Resultado'!$G$3:$G$2002,$Q137))</f>
        <v/>
      </c>
      <c r="J137" s="45" t="str">
        <f aca="false">IF($Q137="","",INDEX('Lançar Resultado'!$P$3:$P$2002,$Q137))</f>
        <v/>
      </c>
      <c r="K137" s="46" t="str">
        <f aca="false">IF($Q137="","",INDEX('Lançar Resultado'!$N$3:$N$2002,$Q137))</f>
        <v/>
      </c>
      <c r="L137" s="47" t="str">
        <f aca="false">IF($Q137="","",INDEX('Lançar Resultado'!$I$3:$I$2002,$Q137))</f>
        <v/>
      </c>
      <c r="M137" s="47" t="str">
        <f aca="false">IF($Q137="","",INDEX('Lançar Resultado'!$J$3:$J$2002,$Q137))</f>
        <v/>
      </c>
      <c r="N137" s="44" t="str">
        <f aca="false">IF($Q137="","",INDEX('Lançar Resultado'!$K$3:$K$2002,$Q137))</f>
        <v/>
      </c>
      <c r="O137" s="46" t="str">
        <f aca="false">IF($Q137="","",INDEX('Lançar Resultado'!$L$3:$L$2002,$Q137))</f>
        <v/>
      </c>
      <c r="P137" s="45" t="str">
        <f aca="false">IF($Q137="","",IF(OR($O137="Concluída",$N137=""),"",IF($N137&lt;INT(Parâmetros!$C$4),INT(Parâmetros!$C$4)-$N137,"")))</f>
        <v/>
      </c>
      <c r="Q137" s="45" t="str">
        <f aca="false">IFERROR(MATCH(135,'Lançar Resultado'!$Q$3:$Q$2002,0),"")</f>
        <v/>
      </c>
    </row>
    <row r="138" customFormat="false" ht="18" hidden="false" customHeight="true" outlineLevel="0" collapsed="false">
      <c r="A138" s="39" t="n">
        <v>136</v>
      </c>
      <c r="B138" s="47" t="str">
        <f aca="false">IF($Q138="","",INDEX('Lançar Resultado'!$A$3:$A$2002,$Q138))</f>
        <v/>
      </c>
      <c r="C138" s="44" t="str">
        <f aca="false">IF($Q138="","",INDEX('Lançar Resultado'!$B$3:$B$2002,$Q138))</f>
        <v/>
      </c>
      <c r="D138" s="46" t="str">
        <f aca="false">IF($Q138="","",IF(SUMPRODUCT((Inspeções!$B$3:$B$122=$B138)*(Inspeções!$A$3:$A$122=$C138)*(ROW(Inspeções!$B$3:$B$122)-3+1))=0,"",INDEX(Inspeções!$C$3:$C$122,SUMPRODUCT((Inspeções!$B$3:$B$122=$B138)*(Inspeções!$A$3:$A$122=$C138)*(ROW(Inspeções!$B$3:$B$122)-3+1)))))</f>
        <v/>
      </c>
      <c r="E138" s="47" t="str">
        <f aca="false">IF($Q138="","",INDEX('Lançar Resultado'!$C$3:$C$2002,$Q138))</f>
        <v/>
      </c>
      <c r="F138" s="47" t="str">
        <f aca="false">IF($Q138="","",IFERROR(INDEX(Equipamentos!$E$3:$E$52,MATCH($B138,Equipamentos!$A$3:$A$52,0)),""))</f>
        <v/>
      </c>
      <c r="G138" s="47" t="str">
        <f aca="false">IF($Q138="","",INDEX('Lançar Resultado'!$D$3:$D$2002,$Q138))</f>
        <v/>
      </c>
      <c r="H138" s="47" t="str">
        <f aca="false">IF($Q138="","",INDEX('Lançar Resultado'!$E$3:$E$2002,$Q138))</f>
        <v/>
      </c>
      <c r="I138" s="46" t="str">
        <f aca="false">IF($Q138="","",INDEX('Lançar Resultado'!$G$3:$G$2002,$Q138))</f>
        <v/>
      </c>
      <c r="J138" s="45" t="str">
        <f aca="false">IF($Q138="","",INDEX('Lançar Resultado'!$P$3:$P$2002,$Q138))</f>
        <v/>
      </c>
      <c r="K138" s="46" t="str">
        <f aca="false">IF($Q138="","",INDEX('Lançar Resultado'!$N$3:$N$2002,$Q138))</f>
        <v/>
      </c>
      <c r="L138" s="47" t="str">
        <f aca="false">IF($Q138="","",INDEX('Lançar Resultado'!$I$3:$I$2002,$Q138))</f>
        <v/>
      </c>
      <c r="M138" s="47" t="str">
        <f aca="false">IF($Q138="","",INDEX('Lançar Resultado'!$J$3:$J$2002,$Q138))</f>
        <v/>
      </c>
      <c r="N138" s="44" t="str">
        <f aca="false">IF($Q138="","",INDEX('Lançar Resultado'!$K$3:$K$2002,$Q138))</f>
        <v/>
      </c>
      <c r="O138" s="46" t="str">
        <f aca="false">IF($Q138="","",INDEX('Lançar Resultado'!$L$3:$L$2002,$Q138))</f>
        <v/>
      </c>
      <c r="P138" s="45" t="str">
        <f aca="false">IF($Q138="","",IF(OR($O138="Concluída",$N138=""),"",IF($N138&lt;INT(Parâmetros!$C$4),INT(Parâmetros!$C$4)-$N138,"")))</f>
        <v/>
      </c>
      <c r="Q138" s="45" t="str">
        <f aca="false">IFERROR(MATCH(136,'Lançar Resultado'!$Q$3:$Q$2002,0),"")</f>
        <v/>
      </c>
    </row>
    <row r="139" customFormat="false" ht="18" hidden="false" customHeight="true" outlineLevel="0" collapsed="false">
      <c r="A139" s="39" t="n">
        <v>137</v>
      </c>
      <c r="B139" s="47" t="str">
        <f aca="false">IF($Q139="","",INDEX('Lançar Resultado'!$A$3:$A$2002,$Q139))</f>
        <v/>
      </c>
      <c r="C139" s="44" t="str">
        <f aca="false">IF($Q139="","",INDEX('Lançar Resultado'!$B$3:$B$2002,$Q139))</f>
        <v/>
      </c>
      <c r="D139" s="46" t="str">
        <f aca="false">IF($Q139="","",IF(SUMPRODUCT((Inspeções!$B$3:$B$122=$B139)*(Inspeções!$A$3:$A$122=$C139)*(ROW(Inspeções!$B$3:$B$122)-3+1))=0,"",INDEX(Inspeções!$C$3:$C$122,SUMPRODUCT((Inspeções!$B$3:$B$122=$B139)*(Inspeções!$A$3:$A$122=$C139)*(ROW(Inspeções!$B$3:$B$122)-3+1)))))</f>
        <v/>
      </c>
      <c r="E139" s="47" t="str">
        <f aca="false">IF($Q139="","",INDEX('Lançar Resultado'!$C$3:$C$2002,$Q139))</f>
        <v/>
      </c>
      <c r="F139" s="47" t="str">
        <f aca="false">IF($Q139="","",IFERROR(INDEX(Equipamentos!$E$3:$E$52,MATCH($B139,Equipamentos!$A$3:$A$52,0)),""))</f>
        <v/>
      </c>
      <c r="G139" s="47" t="str">
        <f aca="false">IF($Q139="","",INDEX('Lançar Resultado'!$D$3:$D$2002,$Q139))</f>
        <v/>
      </c>
      <c r="H139" s="47" t="str">
        <f aca="false">IF($Q139="","",INDEX('Lançar Resultado'!$E$3:$E$2002,$Q139))</f>
        <v/>
      </c>
      <c r="I139" s="46" t="str">
        <f aca="false">IF($Q139="","",INDEX('Lançar Resultado'!$G$3:$G$2002,$Q139))</f>
        <v/>
      </c>
      <c r="J139" s="45" t="str">
        <f aca="false">IF($Q139="","",INDEX('Lançar Resultado'!$P$3:$P$2002,$Q139))</f>
        <v/>
      </c>
      <c r="K139" s="46" t="str">
        <f aca="false">IF($Q139="","",INDEX('Lançar Resultado'!$N$3:$N$2002,$Q139))</f>
        <v/>
      </c>
      <c r="L139" s="47" t="str">
        <f aca="false">IF($Q139="","",INDEX('Lançar Resultado'!$I$3:$I$2002,$Q139))</f>
        <v/>
      </c>
      <c r="M139" s="47" t="str">
        <f aca="false">IF($Q139="","",INDEX('Lançar Resultado'!$J$3:$J$2002,$Q139))</f>
        <v/>
      </c>
      <c r="N139" s="44" t="str">
        <f aca="false">IF($Q139="","",INDEX('Lançar Resultado'!$K$3:$K$2002,$Q139))</f>
        <v/>
      </c>
      <c r="O139" s="46" t="str">
        <f aca="false">IF($Q139="","",INDEX('Lançar Resultado'!$L$3:$L$2002,$Q139))</f>
        <v/>
      </c>
      <c r="P139" s="45" t="str">
        <f aca="false">IF($Q139="","",IF(OR($O139="Concluída",$N139=""),"",IF($N139&lt;INT(Parâmetros!$C$4),INT(Parâmetros!$C$4)-$N139,"")))</f>
        <v/>
      </c>
      <c r="Q139" s="45" t="str">
        <f aca="false">IFERROR(MATCH(137,'Lançar Resultado'!$Q$3:$Q$2002,0),"")</f>
        <v/>
      </c>
    </row>
    <row r="140" customFormat="false" ht="18" hidden="false" customHeight="true" outlineLevel="0" collapsed="false">
      <c r="A140" s="39" t="n">
        <v>138</v>
      </c>
      <c r="B140" s="47" t="str">
        <f aca="false">IF($Q140="","",INDEX('Lançar Resultado'!$A$3:$A$2002,$Q140))</f>
        <v/>
      </c>
      <c r="C140" s="44" t="str">
        <f aca="false">IF($Q140="","",INDEX('Lançar Resultado'!$B$3:$B$2002,$Q140))</f>
        <v/>
      </c>
      <c r="D140" s="46" t="str">
        <f aca="false">IF($Q140="","",IF(SUMPRODUCT((Inspeções!$B$3:$B$122=$B140)*(Inspeções!$A$3:$A$122=$C140)*(ROW(Inspeções!$B$3:$B$122)-3+1))=0,"",INDEX(Inspeções!$C$3:$C$122,SUMPRODUCT((Inspeções!$B$3:$B$122=$B140)*(Inspeções!$A$3:$A$122=$C140)*(ROW(Inspeções!$B$3:$B$122)-3+1)))))</f>
        <v/>
      </c>
      <c r="E140" s="47" t="str">
        <f aca="false">IF($Q140="","",INDEX('Lançar Resultado'!$C$3:$C$2002,$Q140))</f>
        <v/>
      </c>
      <c r="F140" s="47" t="str">
        <f aca="false">IF($Q140="","",IFERROR(INDEX(Equipamentos!$E$3:$E$52,MATCH($B140,Equipamentos!$A$3:$A$52,0)),""))</f>
        <v/>
      </c>
      <c r="G140" s="47" t="str">
        <f aca="false">IF($Q140="","",INDEX('Lançar Resultado'!$D$3:$D$2002,$Q140))</f>
        <v/>
      </c>
      <c r="H140" s="47" t="str">
        <f aca="false">IF($Q140="","",INDEX('Lançar Resultado'!$E$3:$E$2002,$Q140))</f>
        <v/>
      </c>
      <c r="I140" s="46" t="str">
        <f aca="false">IF($Q140="","",INDEX('Lançar Resultado'!$G$3:$G$2002,$Q140))</f>
        <v/>
      </c>
      <c r="J140" s="45" t="str">
        <f aca="false">IF($Q140="","",INDEX('Lançar Resultado'!$P$3:$P$2002,$Q140))</f>
        <v/>
      </c>
      <c r="K140" s="46" t="str">
        <f aca="false">IF($Q140="","",INDEX('Lançar Resultado'!$N$3:$N$2002,$Q140))</f>
        <v/>
      </c>
      <c r="L140" s="47" t="str">
        <f aca="false">IF($Q140="","",INDEX('Lançar Resultado'!$I$3:$I$2002,$Q140))</f>
        <v/>
      </c>
      <c r="M140" s="47" t="str">
        <f aca="false">IF($Q140="","",INDEX('Lançar Resultado'!$J$3:$J$2002,$Q140))</f>
        <v/>
      </c>
      <c r="N140" s="44" t="str">
        <f aca="false">IF($Q140="","",INDEX('Lançar Resultado'!$K$3:$K$2002,$Q140))</f>
        <v/>
      </c>
      <c r="O140" s="46" t="str">
        <f aca="false">IF($Q140="","",INDEX('Lançar Resultado'!$L$3:$L$2002,$Q140))</f>
        <v/>
      </c>
      <c r="P140" s="45" t="str">
        <f aca="false">IF($Q140="","",IF(OR($O140="Concluída",$N140=""),"",IF($N140&lt;INT(Parâmetros!$C$4),INT(Parâmetros!$C$4)-$N140,"")))</f>
        <v/>
      </c>
      <c r="Q140" s="45" t="str">
        <f aca="false">IFERROR(MATCH(138,'Lançar Resultado'!$Q$3:$Q$2002,0),"")</f>
        <v/>
      </c>
    </row>
    <row r="141" customFormat="false" ht="18" hidden="false" customHeight="true" outlineLevel="0" collapsed="false">
      <c r="A141" s="39" t="n">
        <v>139</v>
      </c>
      <c r="B141" s="47" t="str">
        <f aca="false">IF($Q141="","",INDEX('Lançar Resultado'!$A$3:$A$2002,$Q141))</f>
        <v/>
      </c>
      <c r="C141" s="44" t="str">
        <f aca="false">IF($Q141="","",INDEX('Lançar Resultado'!$B$3:$B$2002,$Q141))</f>
        <v/>
      </c>
      <c r="D141" s="46" t="str">
        <f aca="false">IF($Q141="","",IF(SUMPRODUCT((Inspeções!$B$3:$B$122=$B141)*(Inspeções!$A$3:$A$122=$C141)*(ROW(Inspeções!$B$3:$B$122)-3+1))=0,"",INDEX(Inspeções!$C$3:$C$122,SUMPRODUCT((Inspeções!$B$3:$B$122=$B141)*(Inspeções!$A$3:$A$122=$C141)*(ROW(Inspeções!$B$3:$B$122)-3+1)))))</f>
        <v/>
      </c>
      <c r="E141" s="47" t="str">
        <f aca="false">IF($Q141="","",INDEX('Lançar Resultado'!$C$3:$C$2002,$Q141))</f>
        <v/>
      </c>
      <c r="F141" s="47" t="str">
        <f aca="false">IF($Q141="","",IFERROR(INDEX(Equipamentos!$E$3:$E$52,MATCH($B141,Equipamentos!$A$3:$A$52,0)),""))</f>
        <v/>
      </c>
      <c r="G141" s="47" t="str">
        <f aca="false">IF($Q141="","",INDEX('Lançar Resultado'!$D$3:$D$2002,$Q141))</f>
        <v/>
      </c>
      <c r="H141" s="47" t="str">
        <f aca="false">IF($Q141="","",INDEX('Lançar Resultado'!$E$3:$E$2002,$Q141))</f>
        <v/>
      </c>
      <c r="I141" s="46" t="str">
        <f aca="false">IF($Q141="","",INDEX('Lançar Resultado'!$G$3:$G$2002,$Q141))</f>
        <v/>
      </c>
      <c r="J141" s="45" t="str">
        <f aca="false">IF($Q141="","",INDEX('Lançar Resultado'!$P$3:$P$2002,$Q141))</f>
        <v/>
      </c>
      <c r="K141" s="46" t="str">
        <f aca="false">IF($Q141="","",INDEX('Lançar Resultado'!$N$3:$N$2002,$Q141))</f>
        <v/>
      </c>
      <c r="L141" s="47" t="str">
        <f aca="false">IF($Q141="","",INDEX('Lançar Resultado'!$I$3:$I$2002,$Q141))</f>
        <v/>
      </c>
      <c r="M141" s="47" t="str">
        <f aca="false">IF($Q141="","",INDEX('Lançar Resultado'!$J$3:$J$2002,$Q141))</f>
        <v/>
      </c>
      <c r="N141" s="44" t="str">
        <f aca="false">IF($Q141="","",INDEX('Lançar Resultado'!$K$3:$K$2002,$Q141))</f>
        <v/>
      </c>
      <c r="O141" s="46" t="str">
        <f aca="false">IF($Q141="","",INDEX('Lançar Resultado'!$L$3:$L$2002,$Q141))</f>
        <v/>
      </c>
      <c r="P141" s="45" t="str">
        <f aca="false">IF($Q141="","",IF(OR($O141="Concluída",$N141=""),"",IF($N141&lt;INT(Parâmetros!$C$4),INT(Parâmetros!$C$4)-$N141,"")))</f>
        <v/>
      </c>
      <c r="Q141" s="45" t="str">
        <f aca="false">IFERROR(MATCH(139,'Lançar Resultado'!$Q$3:$Q$2002,0),"")</f>
        <v/>
      </c>
    </row>
    <row r="142" customFormat="false" ht="18" hidden="false" customHeight="true" outlineLevel="0" collapsed="false">
      <c r="A142" s="39" t="n">
        <v>140</v>
      </c>
      <c r="B142" s="47" t="str">
        <f aca="false">IF($Q142="","",INDEX('Lançar Resultado'!$A$3:$A$2002,$Q142))</f>
        <v/>
      </c>
      <c r="C142" s="44" t="str">
        <f aca="false">IF($Q142="","",INDEX('Lançar Resultado'!$B$3:$B$2002,$Q142))</f>
        <v/>
      </c>
      <c r="D142" s="46" t="str">
        <f aca="false">IF($Q142="","",IF(SUMPRODUCT((Inspeções!$B$3:$B$122=$B142)*(Inspeções!$A$3:$A$122=$C142)*(ROW(Inspeções!$B$3:$B$122)-3+1))=0,"",INDEX(Inspeções!$C$3:$C$122,SUMPRODUCT((Inspeções!$B$3:$B$122=$B142)*(Inspeções!$A$3:$A$122=$C142)*(ROW(Inspeções!$B$3:$B$122)-3+1)))))</f>
        <v/>
      </c>
      <c r="E142" s="47" t="str">
        <f aca="false">IF($Q142="","",INDEX('Lançar Resultado'!$C$3:$C$2002,$Q142))</f>
        <v/>
      </c>
      <c r="F142" s="47" t="str">
        <f aca="false">IF($Q142="","",IFERROR(INDEX(Equipamentos!$E$3:$E$52,MATCH($B142,Equipamentos!$A$3:$A$52,0)),""))</f>
        <v/>
      </c>
      <c r="G142" s="47" t="str">
        <f aca="false">IF($Q142="","",INDEX('Lançar Resultado'!$D$3:$D$2002,$Q142))</f>
        <v/>
      </c>
      <c r="H142" s="47" t="str">
        <f aca="false">IF($Q142="","",INDEX('Lançar Resultado'!$E$3:$E$2002,$Q142))</f>
        <v/>
      </c>
      <c r="I142" s="46" t="str">
        <f aca="false">IF($Q142="","",INDEX('Lançar Resultado'!$G$3:$G$2002,$Q142))</f>
        <v/>
      </c>
      <c r="J142" s="45" t="str">
        <f aca="false">IF($Q142="","",INDEX('Lançar Resultado'!$P$3:$P$2002,$Q142))</f>
        <v/>
      </c>
      <c r="K142" s="46" t="str">
        <f aca="false">IF($Q142="","",INDEX('Lançar Resultado'!$N$3:$N$2002,$Q142))</f>
        <v/>
      </c>
      <c r="L142" s="47" t="str">
        <f aca="false">IF($Q142="","",INDEX('Lançar Resultado'!$I$3:$I$2002,$Q142))</f>
        <v/>
      </c>
      <c r="M142" s="47" t="str">
        <f aca="false">IF($Q142="","",INDEX('Lançar Resultado'!$J$3:$J$2002,$Q142))</f>
        <v/>
      </c>
      <c r="N142" s="44" t="str">
        <f aca="false">IF($Q142="","",INDEX('Lançar Resultado'!$K$3:$K$2002,$Q142))</f>
        <v/>
      </c>
      <c r="O142" s="46" t="str">
        <f aca="false">IF($Q142="","",INDEX('Lançar Resultado'!$L$3:$L$2002,$Q142))</f>
        <v/>
      </c>
      <c r="P142" s="45" t="str">
        <f aca="false">IF($Q142="","",IF(OR($O142="Concluída",$N142=""),"",IF($N142&lt;INT(Parâmetros!$C$4),INT(Parâmetros!$C$4)-$N142,"")))</f>
        <v/>
      </c>
      <c r="Q142" s="45" t="str">
        <f aca="false">IFERROR(MATCH(140,'Lançar Resultado'!$Q$3:$Q$2002,0),"")</f>
        <v/>
      </c>
    </row>
    <row r="143" customFormat="false" ht="18" hidden="false" customHeight="true" outlineLevel="0" collapsed="false">
      <c r="A143" s="39" t="n">
        <v>141</v>
      </c>
      <c r="B143" s="47" t="str">
        <f aca="false">IF($Q143="","",INDEX('Lançar Resultado'!$A$3:$A$2002,$Q143))</f>
        <v/>
      </c>
      <c r="C143" s="44" t="str">
        <f aca="false">IF($Q143="","",INDEX('Lançar Resultado'!$B$3:$B$2002,$Q143))</f>
        <v/>
      </c>
      <c r="D143" s="46" t="str">
        <f aca="false">IF($Q143="","",IF(SUMPRODUCT((Inspeções!$B$3:$B$122=$B143)*(Inspeções!$A$3:$A$122=$C143)*(ROW(Inspeções!$B$3:$B$122)-3+1))=0,"",INDEX(Inspeções!$C$3:$C$122,SUMPRODUCT((Inspeções!$B$3:$B$122=$B143)*(Inspeções!$A$3:$A$122=$C143)*(ROW(Inspeções!$B$3:$B$122)-3+1)))))</f>
        <v/>
      </c>
      <c r="E143" s="47" t="str">
        <f aca="false">IF($Q143="","",INDEX('Lançar Resultado'!$C$3:$C$2002,$Q143))</f>
        <v/>
      </c>
      <c r="F143" s="47" t="str">
        <f aca="false">IF($Q143="","",IFERROR(INDEX(Equipamentos!$E$3:$E$52,MATCH($B143,Equipamentos!$A$3:$A$52,0)),""))</f>
        <v/>
      </c>
      <c r="G143" s="47" t="str">
        <f aca="false">IF($Q143="","",INDEX('Lançar Resultado'!$D$3:$D$2002,$Q143))</f>
        <v/>
      </c>
      <c r="H143" s="47" t="str">
        <f aca="false">IF($Q143="","",INDEX('Lançar Resultado'!$E$3:$E$2002,$Q143))</f>
        <v/>
      </c>
      <c r="I143" s="46" t="str">
        <f aca="false">IF($Q143="","",INDEX('Lançar Resultado'!$G$3:$G$2002,$Q143))</f>
        <v/>
      </c>
      <c r="J143" s="45" t="str">
        <f aca="false">IF($Q143="","",INDEX('Lançar Resultado'!$P$3:$P$2002,$Q143))</f>
        <v/>
      </c>
      <c r="K143" s="46" t="str">
        <f aca="false">IF($Q143="","",INDEX('Lançar Resultado'!$N$3:$N$2002,$Q143))</f>
        <v/>
      </c>
      <c r="L143" s="47" t="str">
        <f aca="false">IF($Q143="","",INDEX('Lançar Resultado'!$I$3:$I$2002,$Q143))</f>
        <v/>
      </c>
      <c r="M143" s="47" t="str">
        <f aca="false">IF($Q143="","",INDEX('Lançar Resultado'!$J$3:$J$2002,$Q143))</f>
        <v/>
      </c>
      <c r="N143" s="44" t="str">
        <f aca="false">IF($Q143="","",INDEX('Lançar Resultado'!$K$3:$K$2002,$Q143))</f>
        <v/>
      </c>
      <c r="O143" s="46" t="str">
        <f aca="false">IF($Q143="","",INDEX('Lançar Resultado'!$L$3:$L$2002,$Q143))</f>
        <v/>
      </c>
      <c r="P143" s="45" t="str">
        <f aca="false">IF($Q143="","",IF(OR($O143="Concluída",$N143=""),"",IF($N143&lt;INT(Parâmetros!$C$4),INT(Parâmetros!$C$4)-$N143,"")))</f>
        <v/>
      </c>
      <c r="Q143" s="45" t="str">
        <f aca="false">IFERROR(MATCH(141,'Lançar Resultado'!$Q$3:$Q$2002,0),"")</f>
        <v/>
      </c>
    </row>
    <row r="144" customFormat="false" ht="18" hidden="false" customHeight="true" outlineLevel="0" collapsed="false">
      <c r="A144" s="39" t="n">
        <v>142</v>
      </c>
      <c r="B144" s="47" t="str">
        <f aca="false">IF($Q144="","",INDEX('Lançar Resultado'!$A$3:$A$2002,$Q144))</f>
        <v/>
      </c>
      <c r="C144" s="44" t="str">
        <f aca="false">IF($Q144="","",INDEX('Lançar Resultado'!$B$3:$B$2002,$Q144))</f>
        <v/>
      </c>
      <c r="D144" s="46" t="str">
        <f aca="false">IF($Q144="","",IF(SUMPRODUCT((Inspeções!$B$3:$B$122=$B144)*(Inspeções!$A$3:$A$122=$C144)*(ROW(Inspeções!$B$3:$B$122)-3+1))=0,"",INDEX(Inspeções!$C$3:$C$122,SUMPRODUCT((Inspeções!$B$3:$B$122=$B144)*(Inspeções!$A$3:$A$122=$C144)*(ROW(Inspeções!$B$3:$B$122)-3+1)))))</f>
        <v/>
      </c>
      <c r="E144" s="47" t="str">
        <f aca="false">IF($Q144="","",INDEX('Lançar Resultado'!$C$3:$C$2002,$Q144))</f>
        <v/>
      </c>
      <c r="F144" s="47" t="str">
        <f aca="false">IF($Q144="","",IFERROR(INDEX(Equipamentos!$E$3:$E$52,MATCH($B144,Equipamentos!$A$3:$A$52,0)),""))</f>
        <v/>
      </c>
      <c r="G144" s="47" t="str">
        <f aca="false">IF($Q144="","",INDEX('Lançar Resultado'!$D$3:$D$2002,$Q144))</f>
        <v/>
      </c>
      <c r="H144" s="47" t="str">
        <f aca="false">IF($Q144="","",INDEX('Lançar Resultado'!$E$3:$E$2002,$Q144))</f>
        <v/>
      </c>
      <c r="I144" s="46" t="str">
        <f aca="false">IF($Q144="","",INDEX('Lançar Resultado'!$G$3:$G$2002,$Q144))</f>
        <v/>
      </c>
      <c r="J144" s="45" t="str">
        <f aca="false">IF($Q144="","",INDEX('Lançar Resultado'!$P$3:$P$2002,$Q144))</f>
        <v/>
      </c>
      <c r="K144" s="46" t="str">
        <f aca="false">IF($Q144="","",INDEX('Lançar Resultado'!$N$3:$N$2002,$Q144))</f>
        <v/>
      </c>
      <c r="L144" s="47" t="str">
        <f aca="false">IF($Q144="","",INDEX('Lançar Resultado'!$I$3:$I$2002,$Q144))</f>
        <v/>
      </c>
      <c r="M144" s="47" t="str">
        <f aca="false">IF($Q144="","",INDEX('Lançar Resultado'!$J$3:$J$2002,$Q144))</f>
        <v/>
      </c>
      <c r="N144" s="44" t="str">
        <f aca="false">IF($Q144="","",INDEX('Lançar Resultado'!$K$3:$K$2002,$Q144))</f>
        <v/>
      </c>
      <c r="O144" s="46" t="str">
        <f aca="false">IF($Q144="","",INDEX('Lançar Resultado'!$L$3:$L$2002,$Q144))</f>
        <v/>
      </c>
      <c r="P144" s="45" t="str">
        <f aca="false">IF($Q144="","",IF(OR($O144="Concluída",$N144=""),"",IF($N144&lt;INT(Parâmetros!$C$4),INT(Parâmetros!$C$4)-$N144,"")))</f>
        <v/>
      </c>
      <c r="Q144" s="45" t="str">
        <f aca="false">IFERROR(MATCH(142,'Lançar Resultado'!$Q$3:$Q$2002,0),"")</f>
        <v/>
      </c>
    </row>
    <row r="145" customFormat="false" ht="18" hidden="false" customHeight="true" outlineLevel="0" collapsed="false">
      <c r="A145" s="39" t="n">
        <v>143</v>
      </c>
      <c r="B145" s="47" t="str">
        <f aca="false">IF($Q145="","",INDEX('Lançar Resultado'!$A$3:$A$2002,$Q145))</f>
        <v/>
      </c>
      <c r="C145" s="44" t="str">
        <f aca="false">IF($Q145="","",INDEX('Lançar Resultado'!$B$3:$B$2002,$Q145))</f>
        <v/>
      </c>
      <c r="D145" s="46" t="str">
        <f aca="false">IF($Q145="","",IF(SUMPRODUCT((Inspeções!$B$3:$B$122=$B145)*(Inspeções!$A$3:$A$122=$C145)*(ROW(Inspeções!$B$3:$B$122)-3+1))=0,"",INDEX(Inspeções!$C$3:$C$122,SUMPRODUCT((Inspeções!$B$3:$B$122=$B145)*(Inspeções!$A$3:$A$122=$C145)*(ROW(Inspeções!$B$3:$B$122)-3+1)))))</f>
        <v/>
      </c>
      <c r="E145" s="47" t="str">
        <f aca="false">IF($Q145="","",INDEX('Lançar Resultado'!$C$3:$C$2002,$Q145))</f>
        <v/>
      </c>
      <c r="F145" s="47" t="str">
        <f aca="false">IF($Q145="","",IFERROR(INDEX(Equipamentos!$E$3:$E$52,MATCH($B145,Equipamentos!$A$3:$A$52,0)),""))</f>
        <v/>
      </c>
      <c r="G145" s="47" t="str">
        <f aca="false">IF($Q145="","",INDEX('Lançar Resultado'!$D$3:$D$2002,$Q145))</f>
        <v/>
      </c>
      <c r="H145" s="47" t="str">
        <f aca="false">IF($Q145="","",INDEX('Lançar Resultado'!$E$3:$E$2002,$Q145))</f>
        <v/>
      </c>
      <c r="I145" s="46" t="str">
        <f aca="false">IF($Q145="","",INDEX('Lançar Resultado'!$G$3:$G$2002,$Q145))</f>
        <v/>
      </c>
      <c r="J145" s="45" t="str">
        <f aca="false">IF($Q145="","",INDEX('Lançar Resultado'!$P$3:$P$2002,$Q145))</f>
        <v/>
      </c>
      <c r="K145" s="46" t="str">
        <f aca="false">IF($Q145="","",INDEX('Lançar Resultado'!$N$3:$N$2002,$Q145))</f>
        <v/>
      </c>
      <c r="L145" s="47" t="str">
        <f aca="false">IF($Q145="","",INDEX('Lançar Resultado'!$I$3:$I$2002,$Q145))</f>
        <v/>
      </c>
      <c r="M145" s="47" t="str">
        <f aca="false">IF($Q145="","",INDEX('Lançar Resultado'!$J$3:$J$2002,$Q145))</f>
        <v/>
      </c>
      <c r="N145" s="44" t="str">
        <f aca="false">IF($Q145="","",INDEX('Lançar Resultado'!$K$3:$K$2002,$Q145))</f>
        <v/>
      </c>
      <c r="O145" s="46" t="str">
        <f aca="false">IF($Q145="","",INDEX('Lançar Resultado'!$L$3:$L$2002,$Q145))</f>
        <v/>
      </c>
      <c r="P145" s="45" t="str">
        <f aca="false">IF($Q145="","",IF(OR($O145="Concluída",$N145=""),"",IF($N145&lt;INT(Parâmetros!$C$4),INT(Parâmetros!$C$4)-$N145,"")))</f>
        <v/>
      </c>
      <c r="Q145" s="45" t="str">
        <f aca="false">IFERROR(MATCH(143,'Lançar Resultado'!$Q$3:$Q$2002,0),"")</f>
        <v/>
      </c>
    </row>
    <row r="146" customFormat="false" ht="18" hidden="false" customHeight="true" outlineLevel="0" collapsed="false">
      <c r="A146" s="39" t="n">
        <v>144</v>
      </c>
      <c r="B146" s="47" t="str">
        <f aca="false">IF($Q146="","",INDEX('Lançar Resultado'!$A$3:$A$2002,$Q146))</f>
        <v/>
      </c>
      <c r="C146" s="44" t="str">
        <f aca="false">IF($Q146="","",INDEX('Lançar Resultado'!$B$3:$B$2002,$Q146))</f>
        <v/>
      </c>
      <c r="D146" s="46" t="str">
        <f aca="false">IF($Q146="","",IF(SUMPRODUCT((Inspeções!$B$3:$B$122=$B146)*(Inspeções!$A$3:$A$122=$C146)*(ROW(Inspeções!$B$3:$B$122)-3+1))=0,"",INDEX(Inspeções!$C$3:$C$122,SUMPRODUCT((Inspeções!$B$3:$B$122=$B146)*(Inspeções!$A$3:$A$122=$C146)*(ROW(Inspeções!$B$3:$B$122)-3+1)))))</f>
        <v/>
      </c>
      <c r="E146" s="47" t="str">
        <f aca="false">IF($Q146="","",INDEX('Lançar Resultado'!$C$3:$C$2002,$Q146))</f>
        <v/>
      </c>
      <c r="F146" s="47" t="str">
        <f aca="false">IF($Q146="","",IFERROR(INDEX(Equipamentos!$E$3:$E$52,MATCH($B146,Equipamentos!$A$3:$A$52,0)),""))</f>
        <v/>
      </c>
      <c r="G146" s="47" t="str">
        <f aca="false">IF($Q146="","",INDEX('Lançar Resultado'!$D$3:$D$2002,$Q146))</f>
        <v/>
      </c>
      <c r="H146" s="47" t="str">
        <f aca="false">IF($Q146="","",INDEX('Lançar Resultado'!$E$3:$E$2002,$Q146))</f>
        <v/>
      </c>
      <c r="I146" s="46" t="str">
        <f aca="false">IF($Q146="","",INDEX('Lançar Resultado'!$G$3:$G$2002,$Q146))</f>
        <v/>
      </c>
      <c r="J146" s="45" t="str">
        <f aca="false">IF($Q146="","",INDEX('Lançar Resultado'!$P$3:$P$2002,$Q146))</f>
        <v/>
      </c>
      <c r="K146" s="46" t="str">
        <f aca="false">IF($Q146="","",INDEX('Lançar Resultado'!$N$3:$N$2002,$Q146))</f>
        <v/>
      </c>
      <c r="L146" s="47" t="str">
        <f aca="false">IF($Q146="","",INDEX('Lançar Resultado'!$I$3:$I$2002,$Q146))</f>
        <v/>
      </c>
      <c r="M146" s="47" t="str">
        <f aca="false">IF($Q146="","",INDEX('Lançar Resultado'!$J$3:$J$2002,$Q146))</f>
        <v/>
      </c>
      <c r="N146" s="44" t="str">
        <f aca="false">IF($Q146="","",INDEX('Lançar Resultado'!$K$3:$K$2002,$Q146))</f>
        <v/>
      </c>
      <c r="O146" s="46" t="str">
        <f aca="false">IF($Q146="","",INDEX('Lançar Resultado'!$L$3:$L$2002,$Q146))</f>
        <v/>
      </c>
      <c r="P146" s="45" t="str">
        <f aca="false">IF($Q146="","",IF(OR($O146="Concluída",$N146=""),"",IF($N146&lt;INT(Parâmetros!$C$4),INT(Parâmetros!$C$4)-$N146,"")))</f>
        <v/>
      </c>
      <c r="Q146" s="45" t="str">
        <f aca="false">IFERROR(MATCH(144,'Lançar Resultado'!$Q$3:$Q$2002,0),"")</f>
        <v/>
      </c>
    </row>
    <row r="147" customFormat="false" ht="18" hidden="false" customHeight="true" outlineLevel="0" collapsed="false">
      <c r="A147" s="39" t="n">
        <v>145</v>
      </c>
      <c r="B147" s="47" t="str">
        <f aca="false">IF($Q147="","",INDEX('Lançar Resultado'!$A$3:$A$2002,$Q147))</f>
        <v/>
      </c>
      <c r="C147" s="44" t="str">
        <f aca="false">IF($Q147="","",INDEX('Lançar Resultado'!$B$3:$B$2002,$Q147))</f>
        <v/>
      </c>
      <c r="D147" s="46" t="str">
        <f aca="false">IF($Q147="","",IF(SUMPRODUCT((Inspeções!$B$3:$B$122=$B147)*(Inspeções!$A$3:$A$122=$C147)*(ROW(Inspeções!$B$3:$B$122)-3+1))=0,"",INDEX(Inspeções!$C$3:$C$122,SUMPRODUCT((Inspeções!$B$3:$B$122=$B147)*(Inspeções!$A$3:$A$122=$C147)*(ROW(Inspeções!$B$3:$B$122)-3+1)))))</f>
        <v/>
      </c>
      <c r="E147" s="47" t="str">
        <f aca="false">IF($Q147="","",INDEX('Lançar Resultado'!$C$3:$C$2002,$Q147))</f>
        <v/>
      </c>
      <c r="F147" s="47" t="str">
        <f aca="false">IF($Q147="","",IFERROR(INDEX(Equipamentos!$E$3:$E$52,MATCH($B147,Equipamentos!$A$3:$A$52,0)),""))</f>
        <v/>
      </c>
      <c r="G147" s="47" t="str">
        <f aca="false">IF($Q147="","",INDEX('Lançar Resultado'!$D$3:$D$2002,$Q147))</f>
        <v/>
      </c>
      <c r="H147" s="47" t="str">
        <f aca="false">IF($Q147="","",INDEX('Lançar Resultado'!$E$3:$E$2002,$Q147))</f>
        <v/>
      </c>
      <c r="I147" s="46" t="str">
        <f aca="false">IF($Q147="","",INDEX('Lançar Resultado'!$G$3:$G$2002,$Q147))</f>
        <v/>
      </c>
      <c r="J147" s="45" t="str">
        <f aca="false">IF($Q147="","",INDEX('Lançar Resultado'!$P$3:$P$2002,$Q147))</f>
        <v/>
      </c>
      <c r="K147" s="46" t="str">
        <f aca="false">IF($Q147="","",INDEX('Lançar Resultado'!$N$3:$N$2002,$Q147))</f>
        <v/>
      </c>
      <c r="L147" s="47" t="str">
        <f aca="false">IF($Q147="","",INDEX('Lançar Resultado'!$I$3:$I$2002,$Q147))</f>
        <v/>
      </c>
      <c r="M147" s="47" t="str">
        <f aca="false">IF($Q147="","",INDEX('Lançar Resultado'!$J$3:$J$2002,$Q147))</f>
        <v/>
      </c>
      <c r="N147" s="44" t="str">
        <f aca="false">IF($Q147="","",INDEX('Lançar Resultado'!$K$3:$K$2002,$Q147))</f>
        <v/>
      </c>
      <c r="O147" s="46" t="str">
        <f aca="false">IF($Q147="","",INDEX('Lançar Resultado'!$L$3:$L$2002,$Q147))</f>
        <v/>
      </c>
      <c r="P147" s="45" t="str">
        <f aca="false">IF($Q147="","",IF(OR($O147="Concluída",$N147=""),"",IF($N147&lt;INT(Parâmetros!$C$4),INT(Parâmetros!$C$4)-$N147,"")))</f>
        <v/>
      </c>
      <c r="Q147" s="45" t="str">
        <f aca="false">IFERROR(MATCH(145,'Lançar Resultado'!$Q$3:$Q$2002,0),"")</f>
        <v/>
      </c>
    </row>
    <row r="148" customFormat="false" ht="18" hidden="false" customHeight="true" outlineLevel="0" collapsed="false">
      <c r="A148" s="39" t="n">
        <v>146</v>
      </c>
      <c r="B148" s="47" t="str">
        <f aca="false">IF($Q148="","",INDEX('Lançar Resultado'!$A$3:$A$2002,$Q148))</f>
        <v/>
      </c>
      <c r="C148" s="44" t="str">
        <f aca="false">IF($Q148="","",INDEX('Lançar Resultado'!$B$3:$B$2002,$Q148))</f>
        <v/>
      </c>
      <c r="D148" s="46" t="str">
        <f aca="false">IF($Q148="","",IF(SUMPRODUCT((Inspeções!$B$3:$B$122=$B148)*(Inspeções!$A$3:$A$122=$C148)*(ROW(Inspeções!$B$3:$B$122)-3+1))=0,"",INDEX(Inspeções!$C$3:$C$122,SUMPRODUCT((Inspeções!$B$3:$B$122=$B148)*(Inspeções!$A$3:$A$122=$C148)*(ROW(Inspeções!$B$3:$B$122)-3+1)))))</f>
        <v/>
      </c>
      <c r="E148" s="47" t="str">
        <f aca="false">IF($Q148="","",INDEX('Lançar Resultado'!$C$3:$C$2002,$Q148))</f>
        <v/>
      </c>
      <c r="F148" s="47" t="str">
        <f aca="false">IF($Q148="","",IFERROR(INDEX(Equipamentos!$E$3:$E$52,MATCH($B148,Equipamentos!$A$3:$A$52,0)),""))</f>
        <v/>
      </c>
      <c r="G148" s="47" t="str">
        <f aca="false">IF($Q148="","",INDEX('Lançar Resultado'!$D$3:$D$2002,$Q148))</f>
        <v/>
      </c>
      <c r="H148" s="47" t="str">
        <f aca="false">IF($Q148="","",INDEX('Lançar Resultado'!$E$3:$E$2002,$Q148))</f>
        <v/>
      </c>
      <c r="I148" s="46" t="str">
        <f aca="false">IF($Q148="","",INDEX('Lançar Resultado'!$G$3:$G$2002,$Q148))</f>
        <v/>
      </c>
      <c r="J148" s="45" t="str">
        <f aca="false">IF($Q148="","",INDEX('Lançar Resultado'!$P$3:$P$2002,$Q148))</f>
        <v/>
      </c>
      <c r="K148" s="46" t="str">
        <f aca="false">IF($Q148="","",INDEX('Lançar Resultado'!$N$3:$N$2002,$Q148))</f>
        <v/>
      </c>
      <c r="L148" s="47" t="str">
        <f aca="false">IF($Q148="","",INDEX('Lançar Resultado'!$I$3:$I$2002,$Q148))</f>
        <v/>
      </c>
      <c r="M148" s="47" t="str">
        <f aca="false">IF($Q148="","",INDEX('Lançar Resultado'!$J$3:$J$2002,$Q148))</f>
        <v/>
      </c>
      <c r="N148" s="44" t="str">
        <f aca="false">IF($Q148="","",INDEX('Lançar Resultado'!$K$3:$K$2002,$Q148))</f>
        <v/>
      </c>
      <c r="O148" s="46" t="str">
        <f aca="false">IF($Q148="","",INDEX('Lançar Resultado'!$L$3:$L$2002,$Q148))</f>
        <v/>
      </c>
      <c r="P148" s="45" t="str">
        <f aca="false">IF($Q148="","",IF(OR($O148="Concluída",$N148=""),"",IF($N148&lt;INT(Parâmetros!$C$4),INT(Parâmetros!$C$4)-$N148,"")))</f>
        <v/>
      </c>
      <c r="Q148" s="45" t="str">
        <f aca="false">IFERROR(MATCH(146,'Lançar Resultado'!$Q$3:$Q$2002,0),"")</f>
        <v/>
      </c>
    </row>
    <row r="149" customFormat="false" ht="18" hidden="false" customHeight="true" outlineLevel="0" collapsed="false">
      <c r="A149" s="39" t="n">
        <v>147</v>
      </c>
      <c r="B149" s="47" t="str">
        <f aca="false">IF($Q149="","",INDEX('Lançar Resultado'!$A$3:$A$2002,$Q149))</f>
        <v/>
      </c>
      <c r="C149" s="44" t="str">
        <f aca="false">IF($Q149="","",INDEX('Lançar Resultado'!$B$3:$B$2002,$Q149))</f>
        <v/>
      </c>
      <c r="D149" s="46" t="str">
        <f aca="false">IF($Q149="","",IF(SUMPRODUCT((Inspeções!$B$3:$B$122=$B149)*(Inspeções!$A$3:$A$122=$C149)*(ROW(Inspeções!$B$3:$B$122)-3+1))=0,"",INDEX(Inspeções!$C$3:$C$122,SUMPRODUCT((Inspeções!$B$3:$B$122=$B149)*(Inspeções!$A$3:$A$122=$C149)*(ROW(Inspeções!$B$3:$B$122)-3+1)))))</f>
        <v/>
      </c>
      <c r="E149" s="47" t="str">
        <f aca="false">IF($Q149="","",INDEX('Lançar Resultado'!$C$3:$C$2002,$Q149))</f>
        <v/>
      </c>
      <c r="F149" s="47" t="str">
        <f aca="false">IF($Q149="","",IFERROR(INDEX(Equipamentos!$E$3:$E$52,MATCH($B149,Equipamentos!$A$3:$A$52,0)),""))</f>
        <v/>
      </c>
      <c r="G149" s="47" t="str">
        <f aca="false">IF($Q149="","",INDEX('Lançar Resultado'!$D$3:$D$2002,$Q149))</f>
        <v/>
      </c>
      <c r="H149" s="47" t="str">
        <f aca="false">IF($Q149="","",INDEX('Lançar Resultado'!$E$3:$E$2002,$Q149))</f>
        <v/>
      </c>
      <c r="I149" s="46" t="str">
        <f aca="false">IF($Q149="","",INDEX('Lançar Resultado'!$G$3:$G$2002,$Q149))</f>
        <v/>
      </c>
      <c r="J149" s="45" t="str">
        <f aca="false">IF($Q149="","",INDEX('Lançar Resultado'!$P$3:$P$2002,$Q149))</f>
        <v/>
      </c>
      <c r="K149" s="46" t="str">
        <f aca="false">IF($Q149="","",INDEX('Lançar Resultado'!$N$3:$N$2002,$Q149))</f>
        <v/>
      </c>
      <c r="L149" s="47" t="str">
        <f aca="false">IF($Q149="","",INDEX('Lançar Resultado'!$I$3:$I$2002,$Q149))</f>
        <v/>
      </c>
      <c r="M149" s="47" t="str">
        <f aca="false">IF($Q149="","",INDEX('Lançar Resultado'!$J$3:$J$2002,$Q149))</f>
        <v/>
      </c>
      <c r="N149" s="44" t="str">
        <f aca="false">IF($Q149="","",INDEX('Lançar Resultado'!$K$3:$K$2002,$Q149))</f>
        <v/>
      </c>
      <c r="O149" s="46" t="str">
        <f aca="false">IF($Q149="","",INDEX('Lançar Resultado'!$L$3:$L$2002,$Q149))</f>
        <v/>
      </c>
      <c r="P149" s="45" t="str">
        <f aca="false">IF($Q149="","",IF(OR($O149="Concluída",$N149=""),"",IF($N149&lt;INT(Parâmetros!$C$4),INT(Parâmetros!$C$4)-$N149,"")))</f>
        <v/>
      </c>
      <c r="Q149" s="45" t="str">
        <f aca="false">IFERROR(MATCH(147,'Lançar Resultado'!$Q$3:$Q$2002,0),"")</f>
        <v/>
      </c>
    </row>
    <row r="150" customFormat="false" ht="18" hidden="false" customHeight="true" outlineLevel="0" collapsed="false">
      <c r="A150" s="39" t="n">
        <v>148</v>
      </c>
      <c r="B150" s="47" t="str">
        <f aca="false">IF($Q150="","",INDEX('Lançar Resultado'!$A$3:$A$2002,$Q150))</f>
        <v/>
      </c>
      <c r="C150" s="44" t="str">
        <f aca="false">IF($Q150="","",INDEX('Lançar Resultado'!$B$3:$B$2002,$Q150))</f>
        <v/>
      </c>
      <c r="D150" s="46" t="str">
        <f aca="false">IF($Q150="","",IF(SUMPRODUCT((Inspeções!$B$3:$B$122=$B150)*(Inspeções!$A$3:$A$122=$C150)*(ROW(Inspeções!$B$3:$B$122)-3+1))=0,"",INDEX(Inspeções!$C$3:$C$122,SUMPRODUCT((Inspeções!$B$3:$B$122=$B150)*(Inspeções!$A$3:$A$122=$C150)*(ROW(Inspeções!$B$3:$B$122)-3+1)))))</f>
        <v/>
      </c>
      <c r="E150" s="47" t="str">
        <f aca="false">IF($Q150="","",INDEX('Lançar Resultado'!$C$3:$C$2002,$Q150))</f>
        <v/>
      </c>
      <c r="F150" s="47" t="str">
        <f aca="false">IF($Q150="","",IFERROR(INDEX(Equipamentos!$E$3:$E$52,MATCH($B150,Equipamentos!$A$3:$A$52,0)),""))</f>
        <v/>
      </c>
      <c r="G150" s="47" t="str">
        <f aca="false">IF($Q150="","",INDEX('Lançar Resultado'!$D$3:$D$2002,$Q150))</f>
        <v/>
      </c>
      <c r="H150" s="47" t="str">
        <f aca="false">IF($Q150="","",INDEX('Lançar Resultado'!$E$3:$E$2002,$Q150))</f>
        <v/>
      </c>
      <c r="I150" s="46" t="str">
        <f aca="false">IF($Q150="","",INDEX('Lançar Resultado'!$G$3:$G$2002,$Q150))</f>
        <v/>
      </c>
      <c r="J150" s="45" t="str">
        <f aca="false">IF($Q150="","",INDEX('Lançar Resultado'!$P$3:$P$2002,$Q150))</f>
        <v/>
      </c>
      <c r="K150" s="46" t="str">
        <f aca="false">IF($Q150="","",INDEX('Lançar Resultado'!$N$3:$N$2002,$Q150))</f>
        <v/>
      </c>
      <c r="L150" s="47" t="str">
        <f aca="false">IF($Q150="","",INDEX('Lançar Resultado'!$I$3:$I$2002,$Q150))</f>
        <v/>
      </c>
      <c r="M150" s="47" t="str">
        <f aca="false">IF($Q150="","",INDEX('Lançar Resultado'!$J$3:$J$2002,$Q150))</f>
        <v/>
      </c>
      <c r="N150" s="44" t="str">
        <f aca="false">IF($Q150="","",INDEX('Lançar Resultado'!$K$3:$K$2002,$Q150))</f>
        <v/>
      </c>
      <c r="O150" s="46" t="str">
        <f aca="false">IF($Q150="","",INDEX('Lançar Resultado'!$L$3:$L$2002,$Q150))</f>
        <v/>
      </c>
      <c r="P150" s="45" t="str">
        <f aca="false">IF($Q150="","",IF(OR($O150="Concluída",$N150=""),"",IF($N150&lt;INT(Parâmetros!$C$4),INT(Parâmetros!$C$4)-$N150,"")))</f>
        <v/>
      </c>
      <c r="Q150" s="45" t="str">
        <f aca="false">IFERROR(MATCH(148,'Lançar Resultado'!$Q$3:$Q$2002,0),"")</f>
        <v/>
      </c>
    </row>
    <row r="151" customFormat="false" ht="18" hidden="false" customHeight="true" outlineLevel="0" collapsed="false">
      <c r="A151" s="39" t="n">
        <v>149</v>
      </c>
      <c r="B151" s="47" t="str">
        <f aca="false">IF($Q151="","",INDEX('Lançar Resultado'!$A$3:$A$2002,$Q151))</f>
        <v/>
      </c>
      <c r="C151" s="44" t="str">
        <f aca="false">IF($Q151="","",INDEX('Lançar Resultado'!$B$3:$B$2002,$Q151))</f>
        <v/>
      </c>
      <c r="D151" s="46" t="str">
        <f aca="false">IF($Q151="","",IF(SUMPRODUCT((Inspeções!$B$3:$B$122=$B151)*(Inspeções!$A$3:$A$122=$C151)*(ROW(Inspeções!$B$3:$B$122)-3+1))=0,"",INDEX(Inspeções!$C$3:$C$122,SUMPRODUCT((Inspeções!$B$3:$B$122=$B151)*(Inspeções!$A$3:$A$122=$C151)*(ROW(Inspeções!$B$3:$B$122)-3+1)))))</f>
        <v/>
      </c>
      <c r="E151" s="47" t="str">
        <f aca="false">IF($Q151="","",INDEX('Lançar Resultado'!$C$3:$C$2002,$Q151))</f>
        <v/>
      </c>
      <c r="F151" s="47" t="str">
        <f aca="false">IF($Q151="","",IFERROR(INDEX(Equipamentos!$E$3:$E$52,MATCH($B151,Equipamentos!$A$3:$A$52,0)),""))</f>
        <v/>
      </c>
      <c r="G151" s="47" t="str">
        <f aca="false">IF($Q151="","",INDEX('Lançar Resultado'!$D$3:$D$2002,$Q151))</f>
        <v/>
      </c>
      <c r="H151" s="47" t="str">
        <f aca="false">IF($Q151="","",INDEX('Lançar Resultado'!$E$3:$E$2002,$Q151))</f>
        <v/>
      </c>
      <c r="I151" s="46" t="str">
        <f aca="false">IF($Q151="","",INDEX('Lançar Resultado'!$G$3:$G$2002,$Q151))</f>
        <v/>
      </c>
      <c r="J151" s="45" t="str">
        <f aca="false">IF($Q151="","",INDEX('Lançar Resultado'!$P$3:$P$2002,$Q151))</f>
        <v/>
      </c>
      <c r="K151" s="46" t="str">
        <f aca="false">IF($Q151="","",INDEX('Lançar Resultado'!$N$3:$N$2002,$Q151))</f>
        <v/>
      </c>
      <c r="L151" s="47" t="str">
        <f aca="false">IF($Q151="","",INDEX('Lançar Resultado'!$I$3:$I$2002,$Q151))</f>
        <v/>
      </c>
      <c r="M151" s="47" t="str">
        <f aca="false">IF($Q151="","",INDEX('Lançar Resultado'!$J$3:$J$2002,$Q151))</f>
        <v/>
      </c>
      <c r="N151" s="44" t="str">
        <f aca="false">IF($Q151="","",INDEX('Lançar Resultado'!$K$3:$K$2002,$Q151))</f>
        <v/>
      </c>
      <c r="O151" s="46" t="str">
        <f aca="false">IF($Q151="","",INDEX('Lançar Resultado'!$L$3:$L$2002,$Q151))</f>
        <v/>
      </c>
      <c r="P151" s="45" t="str">
        <f aca="false">IF($Q151="","",IF(OR($O151="Concluída",$N151=""),"",IF($N151&lt;INT(Parâmetros!$C$4),INT(Parâmetros!$C$4)-$N151,"")))</f>
        <v/>
      </c>
      <c r="Q151" s="45" t="str">
        <f aca="false">IFERROR(MATCH(149,'Lançar Resultado'!$Q$3:$Q$2002,0),"")</f>
        <v/>
      </c>
    </row>
    <row r="152" customFormat="false" ht="18" hidden="false" customHeight="true" outlineLevel="0" collapsed="false">
      <c r="A152" s="39" t="n">
        <v>150</v>
      </c>
      <c r="B152" s="47" t="str">
        <f aca="false">IF($Q152="","",INDEX('Lançar Resultado'!$A$3:$A$2002,$Q152))</f>
        <v/>
      </c>
      <c r="C152" s="44" t="str">
        <f aca="false">IF($Q152="","",INDEX('Lançar Resultado'!$B$3:$B$2002,$Q152))</f>
        <v/>
      </c>
      <c r="D152" s="46" t="str">
        <f aca="false">IF($Q152="","",IF(SUMPRODUCT((Inspeções!$B$3:$B$122=$B152)*(Inspeções!$A$3:$A$122=$C152)*(ROW(Inspeções!$B$3:$B$122)-3+1))=0,"",INDEX(Inspeções!$C$3:$C$122,SUMPRODUCT((Inspeções!$B$3:$B$122=$B152)*(Inspeções!$A$3:$A$122=$C152)*(ROW(Inspeções!$B$3:$B$122)-3+1)))))</f>
        <v/>
      </c>
      <c r="E152" s="47" t="str">
        <f aca="false">IF($Q152="","",INDEX('Lançar Resultado'!$C$3:$C$2002,$Q152))</f>
        <v/>
      </c>
      <c r="F152" s="47" t="str">
        <f aca="false">IF($Q152="","",IFERROR(INDEX(Equipamentos!$E$3:$E$52,MATCH($B152,Equipamentos!$A$3:$A$52,0)),""))</f>
        <v/>
      </c>
      <c r="G152" s="47" t="str">
        <f aca="false">IF($Q152="","",INDEX('Lançar Resultado'!$D$3:$D$2002,$Q152))</f>
        <v/>
      </c>
      <c r="H152" s="47" t="str">
        <f aca="false">IF($Q152="","",INDEX('Lançar Resultado'!$E$3:$E$2002,$Q152))</f>
        <v/>
      </c>
      <c r="I152" s="46" t="str">
        <f aca="false">IF($Q152="","",INDEX('Lançar Resultado'!$G$3:$G$2002,$Q152))</f>
        <v/>
      </c>
      <c r="J152" s="45" t="str">
        <f aca="false">IF($Q152="","",INDEX('Lançar Resultado'!$P$3:$P$2002,$Q152))</f>
        <v/>
      </c>
      <c r="K152" s="46" t="str">
        <f aca="false">IF($Q152="","",INDEX('Lançar Resultado'!$N$3:$N$2002,$Q152))</f>
        <v/>
      </c>
      <c r="L152" s="47" t="str">
        <f aca="false">IF($Q152="","",INDEX('Lançar Resultado'!$I$3:$I$2002,$Q152))</f>
        <v/>
      </c>
      <c r="M152" s="47" t="str">
        <f aca="false">IF($Q152="","",INDEX('Lançar Resultado'!$J$3:$J$2002,$Q152))</f>
        <v/>
      </c>
      <c r="N152" s="44" t="str">
        <f aca="false">IF($Q152="","",INDEX('Lançar Resultado'!$K$3:$K$2002,$Q152))</f>
        <v/>
      </c>
      <c r="O152" s="46" t="str">
        <f aca="false">IF($Q152="","",INDEX('Lançar Resultado'!$L$3:$L$2002,$Q152))</f>
        <v/>
      </c>
      <c r="P152" s="45" t="str">
        <f aca="false">IF($Q152="","",IF(OR($O152="Concluída",$N152=""),"",IF($N152&lt;INT(Parâmetros!$C$4),INT(Parâmetros!$C$4)-$N152,"")))</f>
        <v/>
      </c>
      <c r="Q152" s="45" t="str">
        <f aca="false">IFERROR(MATCH(150,'Lançar Resultado'!$Q$3:$Q$2002,0),"")</f>
        <v/>
      </c>
    </row>
    <row r="153" customFormat="false" ht="18" hidden="false" customHeight="true" outlineLevel="0" collapsed="false">
      <c r="A153" s="39" t="n">
        <v>151</v>
      </c>
      <c r="B153" s="47" t="str">
        <f aca="false">IF($Q153="","",INDEX('Lançar Resultado'!$A$3:$A$2002,$Q153))</f>
        <v/>
      </c>
      <c r="C153" s="44" t="str">
        <f aca="false">IF($Q153="","",INDEX('Lançar Resultado'!$B$3:$B$2002,$Q153))</f>
        <v/>
      </c>
      <c r="D153" s="46" t="str">
        <f aca="false">IF($Q153="","",IF(SUMPRODUCT((Inspeções!$B$3:$B$122=$B153)*(Inspeções!$A$3:$A$122=$C153)*(ROW(Inspeções!$B$3:$B$122)-3+1))=0,"",INDEX(Inspeções!$C$3:$C$122,SUMPRODUCT((Inspeções!$B$3:$B$122=$B153)*(Inspeções!$A$3:$A$122=$C153)*(ROW(Inspeções!$B$3:$B$122)-3+1)))))</f>
        <v/>
      </c>
      <c r="E153" s="47" t="str">
        <f aca="false">IF($Q153="","",INDEX('Lançar Resultado'!$C$3:$C$2002,$Q153))</f>
        <v/>
      </c>
      <c r="F153" s="47" t="str">
        <f aca="false">IF($Q153="","",IFERROR(INDEX(Equipamentos!$E$3:$E$52,MATCH($B153,Equipamentos!$A$3:$A$52,0)),""))</f>
        <v/>
      </c>
      <c r="G153" s="47" t="str">
        <f aca="false">IF($Q153="","",INDEX('Lançar Resultado'!$D$3:$D$2002,$Q153))</f>
        <v/>
      </c>
      <c r="H153" s="47" t="str">
        <f aca="false">IF($Q153="","",INDEX('Lançar Resultado'!$E$3:$E$2002,$Q153))</f>
        <v/>
      </c>
      <c r="I153" s="46" t="str">
        <f aca="false">IF($Q153="","",INDEX('Lançar Resultado'!$G$3:$G$2002,$Q153))</f>
        <v/>
      </c>
      <c r="J153" s="45" t="str">
        <f aca="false">IF($Q153="","",INDEX('Lançar Resultado'!$P$3:$P$2002,$Q153))</f>
        <v/>
      </c>
      <c r="K153" s="46" t="str">
        <f aca="false">IF($Q153="","",INDEX('Lançar Resultado'!$N$3:$N$2002,$Q153))</f>
        <v/>
      </c>
      <c r="L153" s="47" t="str">
        <f aca="false">IF($Q153="","",INDEX('Lançar Resultado'!$I$3:$I$2002,$Q153))</f>
        <v/>
      </c>
      <c r="M153" s="47" t="str">
        <f aca="false">IF($Q153="","",INDEX('Lançar Resultado'!$J$3:$J$2002,$Q153))</f>
        <v/>
      </c>
      <c r="N153" s="44" t="str">
        <f aca="false">IF($Q153="","",INDEX('Lançar Resultado'!$K$3:$K$2002,$Q153))</f>
        <v/>
      </c>
      <c r="O153" s="46" t="str">
        <f aca="false">IF($Q153="","",INDEX('Lançar Resultado'!$L$3:$L$2002,$Q153))</f>
        <v/>
      </c>
      <c r="P153" s="45" t="str">
        <f aca="false">IF($Q153="","",IF(OR($O153="Concluída",$N153=""),"",IF($N153&lt;INT(Parâmetros!$C$4),INT(Parâmetros!$C$4)-$N153,"")))</f>
        <v/>
      </c>
      <c r="Q153" s="45" t="str">
        <f aca="false">IFERROR(MATCH(151,'Lançar Resultado'!$Q$3:$Q$2002,0),"")</f>
        <v/>
      </c>
    </row>
    <row r="154" customFormat="false" ht="18" hidden="false" customHeight="true" outlineLevel="0" collapsed="false">
      <c r="A154" s="39" t="n">
        <v>152</v>
      </c>
      <c r="B154" s="47" t="str">
        <f aca="false">IF($Q154="","",INDEX('Lançar Resultado'!$A$3:$A$2002,$Q154))</f>
        <v/>
      </c>
      <c r="C154" s="44" t="str">
        <f aca="false">IF($Q154="","",INDEX('Lançar Resultado'!$B$3:$B$2002,$Q154))</f>
        <v/>
      </c>
      <c r="D154" s="46" t="str">
        <f aca="false">IF($Q154="","",IF(SUMPRODUCT((Inspeções!$B$3:$B$122=$B154)*(Inspeções!$A$3:$A$122=$C154)*(ROW(Inspeções!$B$3:$B$122)-3+1))=0,"",INDEX(Inspeções!$C$3:$C$122,SUMPRODUCT((Inspeções!$B$3:$B$122=$B154)*(Inspeções!$A$3:$A$122=$C154)*(ROW(Inspeções!$B$3:$B$122)-3+1)))))</f>
        <v/>
      </c>
      <c r="E154" s="47" t="str">
        <f aca="false">IF($Q154="","",INDEX('Lançar Resultado'!$C$3:$C$2002,$Q154))</f>
        <v/>
      </c>
      <c r="F154" s="47" t="str">
        <f aca="false">IF($Q154="","",IFERROR(INDEX(Equipamentos!$E$3:$E$52,MATCH($B154,Equipamentos!$A$3:$A$52,0)),""))</f>
        <v/>
      </c>
      <c r="G154" s="47" t="str">
        <f aca="false">IF($Q154="","",INDEX('Lançar Resultado'!$D$3:$D$2002,$Q154))</f>
        <v/>
      </c>
      <c r="H154" s="47" t="str">
        <f aca="false">IF($Q154="","",INDEX('Lançar Resultado'!$E$3:$E$2002,$Q154))</f>
        <v/>
      </c>
      <c r="I154" s="46" t="str">
        <f aca="false">IF($Q154="","",INDEX('Lançar Resultado'!$G$3:$G$2002,$Q154))</f>
        <v/>
      </c>
      <c r="J154" s="45" t="str">
        <f aca="false">IF($Q154="","",INDEX('Lançar Resultado'!$P$3:$P$2002,$Q154))</f>
        <v/>
      </c>
      <c r="K154" s="46" t="str">
        <f aca="false">IF($Q154="","",INDEX('Lançar Resultado'!$N$3:$N$2002,$Q154))</f>
        <v/>
      </c>
      <c r="L154" s="47" t="str">
        <f aca="false">IF($Q154="","",INDEX('Lançar Resultado'!$I$3:$I$2002,$Q154))</f>
        <v/>
      </c>
      <c r="M154" s="47" t="str">
        <f aca="false">IF($Q154="","",INDEX('Lançar Resultado'!$J$3:$J$2002,$Q154))</f>
        <v/>
      </c>
      <c r="N154" s="44" t="str">
        <f aca="false">IF($Q154="","",INDEX('Lançar Resultado'!$K$3:$K$2002,$Q154))</f>
        <v/>
      </c>
      <c r="O154" s="46" t="str">
        <f aca="false">IF($Q154="","",INDEX('Lançar Resultado'!$L$3:$L$2002,$Q154))</f>
        <v/>
      </c>
      <c r="P154" s="45" t="str">
        <f aca="false">IF($Q154="","",IF(OR($O154="Concluída",$N154=""),"",IF($N154&lt;INT(Parâmetros!$C$4),INT(Parâmetros!$C$4)-$N154,"")))</f>
        <v/>
      </c>
      <c r="Q154" s="45" t="str">
        <f aca="false">IFERROR(MATCH(152,'Lançar Resultado'!$Q$3:$Q$2002,0),"")</f>
        <v/>
      </c>
    </row>
    <row r="155" customFormat="false" ht="18" hidden="false" customHeight="true" outlineLevel="0" collapsed="false">
      <c r="A155" s="39" t="n">
        <v>153</v>
      </c>
      <c r="B155" s="47" t="str">
        <f aca="false">IF($Q155="","",INDEX('Lançar Resultado'!$A$3:$A$2002,$Q155))</f>
        <v/>
      </c>
      <c r="C155" s="44" t="str">
        <f aca="false">IF($Q155="","",INDEX('Lançar Resultado'!$B$3:$B$2002,$Q155))</f>
        <v/>
      </c>
      <c r="D155" s="46" t="str">
        <f aca="false">IF($Q155="","",IF(SUMPRODUCT((Inspeções!$B$3:$B$122=$B155)*(Inspeções!$A$3:$A$122=$C155)*(ROW(Inspeções!$B$3:$B$122)-3+1))=0,"",INDEX(Inspeções!$C$3:$C$122,SUMPRODUCT((Inspeções!$B$3:$B$122=$B155)*(Inspeções!$A$3:$A$122=$C155)*(ROW(Inspeções!$B$3:$B$122)-3+1)))))</f>
        <v/>
      </c>
      <c r="E155" s="47" t="str">
        <f aca="false">IF($Q155="","",INDEX('Lançar Resultado'!$C$3:$C$2002,$Q155))</f>
        <v/>
      </c>
      <c r="F155" s="47" t="str">
        <f aca="false">IF($Q155="","",IFERROR(INDEX(Equipamentos!$E$3:$E$52,MATCH($B155,Equipamentos!$A$3:$A$52,0)),""))</f>
        <v/>
      </c>
      <c r="G155" s="47" t="str">
        <f aca="false">IF($Q155="","",INDEX('Lançar Resultado'!$D$3:$D$2002,$Q155))</f>
        <v/>
      </c>
      <c r="H155" s="47" t="str">
        <f aca="false">IF($Q155="","",INDEX('Lançar Resultado'!$E$3:$E$2002,$Q155))</f>
        <v/>
      </c>
      <c r="I155" s="46" t="str">
        <f aca="false">IF($Q155="","",INDEX('Lançar Resultado'!$G$3:$G$2002,$Q155))</f>
        <v/>
      </c>
      <c r="J155" s="45" t="str">
        <f aca="false">IF($Q155="","",INDEX('Lançar Resultado'!$P$3:$P$2002,$Q155))</f>
        <v/>
      </c>
      <c r="K155" s="46" t="str">
        <f aca="false">IF($Q155="","",INDEX('Lançar Resultado'!$N$3:$N$2002,$Q155))</f>
        <v/>
      </c>
      <c r="L155" s="47" t="str">
        <f aca="false">IF($Q155="","",INDEX('Lançar Resultado'!$I$3:$I$2002,$Q155))</f>
        <v/>
      </c>
      <c r="M155" s="47" t="str">
        <f aca="false">IF($Q155="","",INDEX('Lançar Resultado'!$J$3:$J$2002,$Q155))</f>
        <v/>
      </c>
      <c r="N155" s="44" t="str">
        <f aca="false">IF($Q155="","",INDEX('Lançar Resultado'!$K$3:$K$2002,$Q155))</f>
        <v/>
      </c>
      <c r="O155" s="46" t="str">
        <f aca="false">IF($Q155="","",INDEX('Lançar Resultado'!$L$3:$L$2002,$Q155))</f>
        <v/>
      </c>
      <c r="P155" s="45" t="str">
        <f aca="false">IF($Q155="","",IF(OR($O155="Concluída",$N155=""),"",IF($N155&lt;INT(Parâmetros!$C$4),INT(Parâmetros!$C$4)-$N155,"")))</f>
        <v/>
      </c>
      <c r="Q155" s="45" t="str">
        <f aca="false">IFERROR(MATCH(153,'Lançar Resultado'!$Q$3:$Q$2002,0),"")</f>
        <v/>
      </c>
    </row>
    <row r="156" customFormat="false" ht="18" hidden="false" customHeight="true" outlineLevel="0" collapsed="false">
      <c r="A156" s="39" t="n">
        <v>154</v>
      </c>
      <c r="B156" s="47" t="str">
        <f aca="false">IF($Q156="","",INDEX('Lançar Resultado'!$A$3:$A$2002,$Q156))</f>
        <v/>
      </c>
      <c r="C156" s="44" t="str">
        <f aca="false">IF($Q156="","",INDEX('Lançar Resultado'!$B$3:$B$2002,$Q156))</f>
        <v/>
      </c>
      <c r="D156" s="46" t="str">
        <f aca="false">IF($Q156="","",IF(SUMPRODUCT((Inspeções!$B$3:$B$122=$B156)*(Inspeções!$A$3:$A$122=$C156)*(ROW(Inspeções!$B$3:$B$122)-3+1))=0,"",INDEX(Inspeções!$C$3:$C$122,SUMPRODUCT((Inspeções!$B$3:$B$122=$B156)*(Inspeções!$A$3:$A$122=$C156)*(ROW(Inspeções!$B$3:$B$122)-3+1)))))</f>
        <v/>
      </c>
      <c r="E156" s="47" t="str">
        <f aca="false">IF($Q156="","",INDEX('Lançar Resultado'!$C$3:$C$2002,$Q156))</f>
        <v/>
      </c>
      <c r="F156" s="47" t="str">
        <f aca="false">IF($Q156="","",IFERROR(INDEX(Equipamentos!$E$3:$E$52,MATCH($B156,Equipamentos!$A$3:$A$52,0)),""))</f>
        <v/>
      </c>
      <c r="G156" s="47" t="str">
        <f aca="false">IF($Q156="","",INDEX('Lançar Resultado'!$D$3:$D$2002,$Q156))</f>
        <v/>
      </c>
      <c r="H156" s="47" t="str">
        <f aca="false">IF($Q156="","",INDEX('Lançar Resultado'!$E$3:$E$2002,$Q156))</f>
        <v/>
      </c>
      <c r="I156" s="46" t="str">
        <f aca="false">IF($Q156="","",INDEX('Lançar Resultado'!$G$3:$G$2002,$Q156))</f>
        <v/>
      </c>
      <c r="J156" s="45" t="str">
        <f aca="false">IF($Q156="","",INDEX('Lançar Resultado'!$P$3:$P$2002,$Q156))</f>
        <v/>
      </c>
      <c r="K156" s="46" t="str">
        <f aca="false">IF($Q156="","",INDEX('Lançar Resultado'!$N$3:$N$2002,$Q156))</f>
        <v/>
      </c>
      <c r="L156" s="47" t="str">
        <f aca="false">IF($Q156="","",INDEX('Lançar Resultado'!$I$3:$I$2002,$Q156))</f>
        <v/>
      </c>
      <c r="M156" s="47" t="str">
        <f aca="false">IF($Q156="","",INDEX('Lançar Resultado'!$J$3:$J$2002,$Q156))</f>
        <v/>
      </c>
      <c r="N156" s="44" t="str">
        <f aca="false">IF($Q156="","",INDEX('Lançar Resultado'!$K$3:$K$2002,$Q156))</f>
        <v/>
      </c>
      <c r="O156" s="46" t="str">
        <f aca="false">IF($Q156="","",INDEX('Lançar Resultado'!$L$3:$L$2002,$Q156))</f>
        <v/>
      </c>
      <c r="P156" s="45" t="str">
        <f aca="false">IF($Q156="","",IF(OR($O156="Concluída",$N156=""),"",IF($N156&lt;INT(Parâmetros!$C$4),INT(Parâmetros!$C$4)-$N156,"")))</f>
        <v/>
      </c>
      <c r="Q156" s="45" t="str">
        <f aca="false">IFERROR(MATCH(154,'Lançar Resultado'!$Q$3:$Q$2002,0),"")</f>
        <v/>
      </c>
    </row>
    <row r="157" customFormat="false" ht="18" hidden="false" customHeight="true" outlineLevel="0" collapsed="false">
      <c r="A157" s="39" t="n">
        <v>155</v>
      </c>
      <c r="B157" s="47" t="str">
        <f aca="false">IF($Q157="","",INDEX('Lançar Resultado'!$A$3:$A$2002,$Q157))</f>
        <v/>
      </c>
      <c r="C157" s="44" t="str">
        <f aca="false">IF($Q157="","",INDEX('Lançar Resultado'!$B$3:$B$2002,$Q157))</f>
        <v/>
      </c>
      <c r="D157" s="46" t="str">
        <f aca="false">IF($Q157="","",IF(SUMPRODUCT((Inspeções!$B$3:$B$122=$B157)*(Inspeções!$A$3:$A$122=$C157)*(ROW(Inspeções!$B$3:$B$122)-3+1))=0,"",INDEX(Inspeções!$C$3:$C$122,SUMPRODUCT((Inspeções!$B$3:$B$122=$B157)*(Inspeções!$A$3:$A$122=$C157)*(ROW(Inspeções!$B$3:$B$122)-3+1)))))</f>
        <v/>
      </c>
      <c r="E157" s="47" t="str">
        <f aca="false">IF($Q157="","",INDEX('Lançar Resultado'!$C$3:$C$2002,$Q157))</f>
        <v/>
      </c>
      <c r="F157" s="47" t="str">
        <f aca="false">IF($Q157="","",IFERROR(INDEX(Equipamentos!$E$3:$E$52,MATCH($B157,Equipamentos!$A$3:$A$52,0)),""))</f>
        <v/>
      </c>
      <c r="G157" s="47" t="str">
        <f aca="false">IF($Q157="","",INDEX('Lançar Resultado'!$D$3:$D$2002,$Q157))</f>
        <v/>
      </c>
      <c r="H157" s="47" t="str">
        <f aca="false">IF($Q157="","",INDEX('Lançar Resultado'!$E$3:$E$2002,$Q157))</f>
        <v/>
      </c>
      <c r="I157" s="46" t="str">
        <f aca="false">IF($Q157="","",INDEX('Lançar Resultado'!$G$3:$G$2002,$Q157))</f>
        <v/>
      </c>
      <c r="J157" s="45" t="str">
        <f aca="false">IF($Q157="","",INDEX('Lançar Resultado'!$P$3:$P$2002,$Q157))</f>
        <v/>
      </c>
      <c r="K157" s="46" t="str">
        <f aca="false">IF($Q157="","",INDEX('Lançar Resultado'!$N$3:$N$2002,$Q157))</f>
        <v/>
      </c>
      <c r="L157" s="47" t="str">
        <f aca="false">IF($Q157="","",INDEX('Lançar Resultado'!$I$3:$I$2002,$Q157))</f>
        <v/>
      </c>
      <c r="M157" s="47" t="str">
        <f aca="false">IF($Q157="","",INDEX('Lançar Resultado'!$J$3:$J$2002,$Q157))</f>
        <v/>
      </c>
      <c r="N157" s="44" t="str">
        <f aca="false">IF($Q157="","",INDEX('Lançar Resultado'!$K$3:$K$2002,$Q157))</f>
        <v/>
      </c>
      <c r="O157" s="46" t="str">
        <f aca="false">IF($Q157="","",INDEX('Lançar Resultado'!$L$3:$L$2002,$Q157))</f>
        <v/>
      </c>
      <c r="P157" s="45" t="str">
        <f aca="false">IF($Q157="","",IF(OR($O157="Concluída",$N157=""),"",IF($N157&lt;INT(Parâmetros!$C$4),INT(Parâmetros!$C$4)-$N157,"")))</f>
        <v/>
      </c>
      <c r="Q157" s="45" t="str">
        <f aca="false">IFERROR(MATCH(155,'Lançar Resultado'!$Q$3:$Q$2002,0),"")</f>
        <v/>
      </c>
    </row>
    <row r="158" customFormat="false" ht="18" hidden="false" customHeight="true" outlineLevel="0" collapsed="false">
      <c r="A158" s="39" t="n">
        <v>156</v>
      </c>
      <c r="B158" s="47" t="str">
        <f aca="false">IF($Q158="","",INDEX('Lançar Resultado'!$A$3:$A$2002,$Q158))</f>
        <v/>
      </c>
      <c r="C158" s="44" t="str">
        <f aca="false">IF($Q158="","",INDEX('Lançar Resultado'!$B$3:$B$2002,$Q158))</f>
        <v/>
      </c>
      <c r="D158" s="46" t="str">
        <f aca="false">IF($Q158="","",IF(SUMPRODUCT((Inspeções!$B$3:$B$122=$B158)*(Inspeções!$A$3:$A$122=$C158)*(ROW(Inspeções!$B$3:$B$122)-3+1))=0,"",INDEX(Inspeções!$C$3:$C$122,SUMPRODUCT((Inspeções!$B$3:$B$122=$B158)*(Inspeções!$A$3:$A$122=$C158)*(ROW(Inspeções!$B$3:$B$122)-3+1)))))</f>
        <v/>
      </c>
      <c r="E158" s="47" t="str">
        <f aca="false">IF($Q158="","",INDEX('Lançar Resultado'!$C$3:$C$2002,$Q158))</f>
        <v/>
      </c>
      <c r="F158" s="47" t="str">
        <f aca="false">IF($Q158="","",IFERROR(INDEX(Equipamentos!$E$3:$E$52,MATCH($B158,Equipamentos!$A$3:$A$52,0)),""))</f>
        <v/>
      </c>
      <c r="G158" s="47" t="str">
        <f aca="false">IF($Q158="","",INDEX('Lançar Resultado'!$D$3:$D$2002,$Q158))</f>
        <v/>
      </c>
      <c r="H158" s="47" t="str">
        <f aca="false">IF($Q158="","",INDEX('Lançar Resultado'!$E$3:$E$2002,$Q158))</f>
        <v/>
      </c>
      <c r="I158" s="46" t="str">
        <f aca="false">IF($Q158="","",INDEX('Lançar Resultado'!$G$3:$G$2002,$Q158))</f>
        <v/>
      </c>
      <c r="J158" s="45" t="str">
        <f aca="false">IF($Q158="","",INDEX('Lançar Resultado'!$P$3:$P$2002,$Q158))</f>
        <v/>
      </c>
      <c r="K158" s="46" t="str">
        <f aca="false">IF($Q158="","",INDEX('Lançar Resultado'!$N$3:$N$2002,$Q158))</f>
        <v/>
      </c>
      <c r="L158" s="47" t="str">
        <f aca="false">IF($Q158="","",INDEX('Lançar Resultado'!$I$3:$I$2002,$Q158))</f>
        <v/>
      </c>
      <c r="M158" s="47" t="str">
        <f aca="false">IF($Q158="","",INDEX('Lançar Resultado'!$J$3:$J$2002,$Q158))</f>
        <v/>
      </c>
      <c r="N158" s="44" t="str">
        <f aca="false">IF($Q158="","",INDEX('Lançar Resultado'!$K$3:$K$2002,$Q158))</f>
        <v/>
      </c>
      <c r="O158" s="46" t="str">
        <f aca="false">IF($Q158="","",INDEX('Lançar Resultado'!$L$3:$L$2002,$Q158))</f>
        <v/>
      </c>
      <c r="P158" s="45" t="str">
        <f aca="false">IF($Q158="","",IF(OR($O158="Concluída",$N158=""),"",IF($N158&lt;INT(Parâmetros!$C$4),INT(Parâmetros!$C$4)-$N158,"")))</f>
        <v/>
      </c>
      <c r="Q158" s="45" t="str">
        <f aca="false">IFERROR(MATCH(156,'Lançar Resultado'!$Q$3:$Q$2002,0),"")</f>
        <v/>
      </c>
    </row>
    <row r="159" customFormat="false" ht="18" hidden="false" customHeight="true" outlineLevel="0" collapsed="false">
      <c r="A159" s="39" t="n">
        <v>157</v>
      </c>
      <c r="B159" s="47" t="str">
        <f aca="false">IF($Q159="","",INDEX('Lançar Resultado'!$A$3:$A$2002,$Q159))</f>
        <v/>
      </c>
      <c r="C159" s="44" t="str">
        <f aca="false">IF($Q159="","",INDEX('Lançar Resultado'!$B$3:$B$2002,$Q159))</f>
        <v/>
      </c>
      <c r="D159" s="46" t="str">
        <f aca="false">IF($Q159="","",IF(SUMPRODUCT((Inspeções!$B$3:$B$122=$B159)*(Inspeções!$A$3:$A$122=$C159)*(ROW(Inspeções!$B$3:$B$122)-3+1))=0,"",INDEX(Inspeções!$C$3:$C$122,SUMPRODUCT((Inspeções!$B$3:$B$122=$B159)*(Inspeções!$A$3:$A$122=$C159)*(ROW(Inspeções!$B$3:$B$122)-3+1)))))</f>
        <v/>
      </c>
      <c r="E159" s="47" t="str">
        <f aca="false">IF($Q159="","",INDEX('Lançar Resultado'!$C$3:$C$2002,$Q159))</f>
        <v/>
      </c>
      <c r="F159" s="47" t="str">
        <f aca="false">IF($Q159="","",IFERROR(INDEX(Equipamentos!$E$3:$E$52,MATCH($B159,Equipamentos!$A$3:$A$52,0)),""))</f>
        <v/>
      </c>
      <c r="G159" s="47" t="str">
        <f aca="false">IF($Q159="","",INDEX('Lançar Resultado'!$D$3:$D$2002,$Q159))</f>
        <v/>
      </c>
      <c r="H159" s="47" t="str">
        <f aca="false">IF($Q159="","",INDEX('Lançar Resultado'!$E$3:$E$2002,$Q159))</f>
        <v/>
      </c>
      <c r="I159" s="46" t="str">
        <f aca="false">IF($Q159="","",INDEX('Lançar Resultado'!$G$3:$G$2002,$Q159))</f>
        <v/>
      </c>
      <c r="J159" s="45" t="str">
        <f aca="false">IF($Q159="","",INDEX('Lançar Resultado'!$P$3:$P$2002,$Q159))</f>
        <v/>
      </c>
      <c r="K159" s="46" t="str">
        <f aca="false">IF($Q159="","",INDEX('Lançar Resultado'!$N$3:$N$2002,$Q159))</f>
        <v/>
      </c>
      <c r="L159" s="47" t="str">
        <f aca="false">IF($Q159="","",INDEX('Lançar Resultado'!$I$3:$I$2002,$Q159))</f>
        <v/>
      </c>
      <c r="M159" s="47" t="str">
        <f aca="false">IF($Q159="","",INDEX('Lançar Resultado'!$J$3:$J$2002,$Q159))</f>
        <v/>
      </c>
      <c r="N159" s="44" t="str">
        <f aca="false">IF($Q159="","",INDEX('Lançar Resultado'!$K$3:$K$2002,$Q159))</f>
        <v/>
      </c>
      <c r="O159" s="46" t="str">
        <f aca="false">IF($Q159="","",INDEX('Lançar Resultado'!$L$3:$L$2002,$Q159))</f>
        <v/>
      </c>
      <c r="P159" s="45" t="str">
        <f aca="false">IF($Q159="","",IF(OR($O159="Concluída",$N159=""),"",IF($N159&lt;INT(Parâmetros!$C$4),INT(Parâmetros!$C$4)-$N159,"")))</f>
        <v/>
      </c>
      <c r="Q159" s="45" t="str">
        <f aca="false">IFERROR(MATCH(157,'Lançar Resultado'!$Q$3:$Q$2002,0),"")</f>
        <v/>
      </c>
    </row>
    <row r="160" customFormat="false" ht="18" hidden="false" customHeight="true" outlineLevel="0" collapsed="false">
      <c r="A160" s="39" t="n">
        <v>158</v>
      </c>
      <c r="B160" s="47" t="str">
        <f aca="false">IF($Q160="","",INDEX('Lançar Resultado'!$A$3:$A$2002,$Q160))</f>
        <v/>
      </c>
      <c r="C160" s="44" t="str">
        <f aca="false">IF($Q160="","",INDEX('Lançar Resultado'!$B$3:$B$2002,$Q160))</f>
        <v/>
      </c>
      <c r="D160" s="46" t="str">
        <f aca="false">IF($Q160="","",IF(SUMPRODUCT((Inspeções!$B$3:$B$122=$B160)*(Inspeções!$A$3:$A$122=$C160)*(ROW(Inspeções!$B$3:$B$122)-3+1))=0,"",INDEX(Inspeções!$C$3:$C$122,SUMPRODUCT((Inspeções!$B$3:$B$122=$B160)*(Inspeções!$A$3:$A$122=$C160)*(ROW(Inspeções!$B$3:$B$122)-3+1)))))</f>
        <v/>
      </c>
      <c r="E160" s="47" t="str">
        <f aca="false">IF($Q160="","",INDEX('Lançar Resultado'!$C$3:$C$2002,$Q160))</f>
        <v/>
      </c>
      <c r="F160" s="47" t="str">
        <f aca="false">IF($Q160="","",IFERROR(INDEX(Equipamentos!$E$3:$E$52,MATCH($B160,Equipamentos!$A$3:$A$52,0)),""))</f>
        <v/>
      </c>
      <c r="G160" s="47" t="str">
        <f aca="false">IF($Q160="","",INDEX('Lançar Resultado'!$D$3:$D$2002,$Q160))</f>
        <v/>
      </c>
      <c r="H160" s="47" t="str">
        <f aca="false">IF($Q160="","",INDEX('Lançar Resultado'!$E$3:$E$2002,$Q160))</f>
        <v/>
      </c>
      <c r="I160" s="46" t="str">
        <f aca="false">IF($Q160="","",INDEX('Lançar Resultado'!$G$3:$G$2002,$Q160))</f>
        <v/>
      </c>
      <c r="J160" s="45" t="str">
        <f aca="false">IF($Q160="","",INDEX('Lançar Resultado'!$P$3:$P$2002,$Q160))</f>
        <v/>
      </c>
      <c r="K160" s="46" t="str">
        <f aca="false">IF($Q160="","",INDEX('Lançar Resultado'!$N$3:$N$2002,$Q160))</f>
        <v/>
      </c>
      <c r="L160" s="47" t="str">
        <f aca="false">IF($Q160="","",INDEX('Lançar Resultado'!$I$3:$I$2002,$Q160))</f>
        <v/>
      </c>
      <c r="M160" s="47" t="str">
        <f aca="false">IF($Q160="","",INDEX('Lançar Resultado'!$J$3:$J$2002,$Q160))</f>
        <v/>
      </c>
      <c r="N160" s="44" t="str">
        <f aca="false">IF($Q160="","",INDEX('Lançar Resultado'!$K$3:$K$2002,$Q160))</f>
        <v/>
      </c>
      <c r="O160" s="46" t="str">
        <f aca="false">IF($Q160="","",INDEX('Lançar Resultado'!$L$3:$L$2002,$Q160))</f>
        <v/>
      </c>
      <c r="P160" s="45" t="str">
        <f aca="false">IF($Q160="","",IF(OR($O160="Concluída",$N160=""),"",IF($N160&lt;INT(Parâmetros!$C$4),INT(Parâmetros!$C$4)-$N160,"")))</f>
        <v/>
      </c>
      <c r="Q160" s="45" t="str">
        <f aca="false">IFERROR(MATCH(158,'Lançar Resultado'!$Q$3:$Q$2002,0),"")</f>
        <v/>
      </c>
    </row>
    <row r="161" customFormat="false" ht="18" hidden="false" customHeight="true" outlineLevel="0" collapsed="false">
      <c r="A161" s="39" t="n">
        <v>159</v>
      </c>
      <c r="B161" s="47" t="str">
        <f aca="false">IF($Q161="","",INDEX('Lançar Resultado'!$A$3:$A$2002,$Q161))</f>
        <v/>
      </c>
      <c r="C161" s="44" t="str">
        <f aca="false">IF($Q161="","",INDEX('Lançar Resultado'!$B$3:$B$2002,$Q161))</f>
        <v/>
      </c>
      <c r="D161" s="46" t="str">
        <f aca="false">IF($Q161="","",IF(SUMPRODUCT((Inspeções!$B$3:$B$122=$B161)*(Inspeções!$A$3:$A$122=$C161)*(ROW(Inspeções!$B$3:$B$122)-3+1))=0,"",INDEX(Inspeções!$C$3:$C$122,SUMPRODUCT((Inspeções!$B$3:$B$122=$B161)*(Inspeções!$A$3:$A$122=$C161)*(ROW(Inspeções!$B$3:$B$122)-3+1)))))</f>
        <v/>
      </c>
      <c r="E161" s="47" t="str">
        <f aca="false">IF($Q161="","",INDEX('Lançar Resultado'!$C$3:$C$2002,$Q161))</f>
        <v/>
      </c>
      <c r="F161" s="47" t="str">
        <f aca="false">IF($Q161="","",IFERROR(INDEX(Equipamentos!$E$3:$E$52,MATCH($B161,Equipamentos!$A$3:$A$52,0)),""))</f>
        <v/>
      </c>
      <c r="G161" s="47" t="str">
        <f aca="false">IF($Q161="","",INDEX('Lançar Resultado'!$D$3:$D$2002,$Q161))</f>
        <v/>
      </c>
      <c r="H161" s="47" t="str">
        <f aca="false">IF($Q161="","",INDEX('Lançar Resultado'!$E$3:$E$2002,$Q161))</f>
        <v/>
      </c>
      <c r="I161" s="46" t="str">
        <f aca="false">IF($Q161="","",INDEX('Lançar Resultado'!$G$3:$G$2002,$Q161))</f>
        <v/>
      </c>
      <c r="J161" s="45" t="str">
        <f aca="false">IF($Q161="","",INDEX('Lançar Resultado'!$P$3:$P$2002,$Q161))</f>
        <v/>
      </c>
      <c r="K161" s="46" t="str">
        <f aca="false">IF($Q161="","",INDEX('Lançar Resultado'!$N$3:$N$2002,$Q161))</f>
        <v/>
      </c>
      <c r="L161" s="47" t="str">
        <f aca="false">IF($Q161="","",INDEX('Lançar Resultado'!$I$3:$I$2002,$Q161))</f>
        <v/>
      </c>
      <c r="M161" s="47" t="str">
        <f aca="false">IF($Q161="","",INDEX('Lançar Resultado'!$J$3:$J$2002,$Q161))</f>
        <v/>
      </c>
      <c r="N161" s="44" t="str">
        <f aca="false">IF($Q161="","",INDEX('Lançar Resultado'!$K$3:$K$2002,$Q161))</f>
        <v/>
      </c>
      <c r="O161" s="46" t="str">
        <f aca="false">IF($Q161="","",INDEX('Lançar Resultado'!$L$3:$L$2002,$Q161))</f>
        <v/>
      </c>
      <c r="P161" s="45" t="str">
        <f aca="false">IF($Q161="","",IF(OR($O161="Concluída",$N161=""),"",IF($N161&lt;INT(Parâmetros!$C$4),INT(Parâmetros!$C$4)-$N161,"")))</f>
        <v/>
      </c>
      <c r="Q161" s="45" t="str">
        <f aca="false">IFERROR(MATCH(159,'Lançar Resultado'!$Q$3:$Q$2002,0),"")</f>
        <v/>
      </c>
    </row>
    <row r="162" customFormat="false" ht="18" hidden="false" customHeight="true" outlineLevel="0" collapsed="false">
      <c r="A162" s="39" t="n">
        <v>160</v>
      </c>
      <c r="B162" s="47" t="str">
        <f aca="false">IF($Q162="","",INDEX('Lançar Resultado'!$A$3:$A$2002,$Q162))</f>
        <v/>
      </c>
      <c r="C162" s="44" t="str">
        <f aca="false">IF($Q162="","",INDEX('Lançar Resultado'!$B$3:$B$2002,$Q162))</f>
        <v/>
      </c>
      <c r="D162" s="46" t="str">
        <f aca="false">IF($Q162="","",IF(SUMPRODUCT((Inspeções!$B$3:$B$122=$B162)*(Inspeções!$A$3:$A$122=$C162)*(ROW(Inspeções!$B$3:$B$122)-3+1))=0,"",INDEX(Inspeções!$C$3:$C$122,SUMPRODUCT((Inspeções!$B$3:$B$122=$B162)*(Inspeções!$A$3:$A$122=$C162)*(ROW(Inspeções!$B$3:$B$122)-3+1)))))</f>
        <v/>
      </c>
      <c r="E162" s="47" t="str">
        <f aca="false">IF($Q162="","",INDEX('Lançar Resultado'!$C$3:$C$2002,$Q162))</f>
        <v/>
      </c>
      <c r="F162" s="47" t="str">
        <f aca="false">IF($Q162="","",IFERROR(INDEX(Equipamentos!$E$3:$E$52,MATCH($B162,Equipamentos!$A$3:$A$52,0)),""))</f>
        <v/>
      </c>
      <c r="G162" s="47" t="str">
        <f aca="false">IF($Q162="","",INDEX('Lançar Resultado'!$D$3:$D$2002,$Q162))</f>
        <v/>
      </c>
      <c r="H162" s="47" t="str">
        <f aca="false">IF($Q162="","",INDEX('Lançar Resultado'!$E$3:$E$2002,$Q162))</f>
        <v/>
      </c>
      <c r="I162" s="46" t="str">
        <f aca="false">IF($Q162="","",INDEX('Lançar Resultado'!$G$3:$G$2002,$Q162))</f>
        <v/>
      </c>
      <c r="J162" s="45" t="str">
        <f aca="false">IF($Q162="","",INDEX('Lançar Resultado'!$P$3:$P$2002,$Q162))</f>
        <v/>
      </c>
      <c r="K162" s="46" t="str">
        <f aca="false">IF($Q162="","",INDEX('Lançar Resultado'!$N$3:$N$2002,$Q162))</f>
        <v/>
      </c>
      <c r="L162" s="47" t="str">
        <f aca="false">IF($Q162="","",INDEX('Lançar Resultado'!$I$3:$I$2002,$Q162))</f>
        <v/>
      </c>
      <c r="M162" s="47" t="str">
        <f aca="false">IF($Q162="","",INDEX('Lançar Resultado'!$J$3:$J$2002,$Q162))</f>
        <v/>
      </c>
      <c r="N162" s="44" t="str">
        <f aca="false">IF($Q162="","",INDEX('Lançar Resultado'!$K$3:$K$2002,$Q162))</f>
        <v/>
      </c>
      <c r="O162" s="46" t="str">
        <f aca="false">IF($Q162="","",INDEX('Lançar Resultado'!$L$3:$L$2002,$Q162))</f>
        <v/>
      </c>
      <c r="P162" s="45" t="str">
        <f aca="false">IF($Q162="","",IF(OR($O162="Concluída",$N162=""),"",IF($N162&lt;INT(Parâmetros!$C$4),INT(Parâmetros!$C$4)-$N162,"")))</f>
        <v/>
      </c>
      <c r="Q162" s="45" t="str">
        <f aca="false">IFERROR(MATCH(160,'Lançar Resultado'!$Q$3:$Q$2002,0),"")</f>
        <v/>
      </c>
    </row>
    <row r="163" customFormat="false" ht="18" hidden="false" customHeight="true" outlineLevel="0" collapsed="false">
      <c r="A163" s="39" t="n">
        <v>161</v>
      </c>
      <c r="B163" s="47" t="str">
        <f aca="false">IF($Q163="","",INDEX('Lançar Resultado'!$A$3:$A$2002,$Q163))</f>
        <v/>
      </c>
      <c r="C163" s="44" t="str">
        <f aca="false">IF($Q163="","",INDEX('Lançar Resultado'!$B$3:$B$2002,$Q163))</f>
        <v/>
      </c>
      <c r="D163" s="46" t="str">
        <f aca="false">IF($Q163="","",IF(SUMPRODUCT((Inspeções!$B$3:$B$122=$B163)*(Inspeções!$A$3:$A$122=$C163)*(ROW(Inspeções!$B$3:$B$122)-3+1))=0,"",INDEX(Inspeções!$C$3:$C$122,SUMPRODUCT((Inspeções!$B$3:$B$122=$B163)*(Inspeções!$A$3:$A$122=$C163)*(ROW(Inspeções!$B$3:$B$122)-3+1)))))</f>
        <v/>
      </c>
      <c r="E163" s="47" t="str">
        <f aca="false">IF($Q163="","",INDEX('Lançar Resultado'!$C$3:$C$2002,$Q163))</f>
        <v/>
      </c>
      <c r="F163" s="47" t="str">
        <f aca="false">IF($Q163="","",IFERROR(INDEX(Equipamentos!$E$3:$E$52,MATCH($B163,Equipamentos!$A$3:$A$52,0)),""))</f>
        <v/>
      </c>
      <c r="G163" s="47" t="str">
        <f aca="false">IF($Q163="","",INDEX('Lançar Resultado'!$D$3:$D$2002,$Q163))</f>
        <v/>
      </c>
      <c r="H163" s="47" t="str">
        <f aca="false">IF($Q163="","",INDEX('Lançar Resultado'!$E$3:$E$2002,$Q163))</f>
        <v/>
      </c>
      <c r="I163" s="46" t="str">
        <f aca="false">IF($Q163="","",INDEX('Lançar Resultado'!$G$3:$G$2002,$Q163))</f>
        <v/>
      </c>
      <c r="J163" s="45" t="str">
        <f aca="false">IF($Q163="","",INDEX('Lançar Resultado'!$P$3:$P$2002,$Q163))</f>
        <v/>
      </c>
      <c r="K163" s="46" t="str">
        <f aca="false">IF($Q163="","",INDEX('Lançar Resultado'!$N$3:$N$2002,$Q163))</f>
        <v/>
      </c>
      <c r="L163" s="47" t="str">
        <f aca="false">IF($Q163="","",INDEX('Lançar Resultado'!$I$3:$I$2002,$Q163))</f>
        <v/>
      </c>
      <c r="M163" s="47" t="str">
        <f aca="false">IF($Q163="","",INDEX('Lançar Resultado'!$J$3:$J$2002,$Q163))</f>
        <v/>
      </c>
      <c r="N163" s="44" t="str">
        <f aca="false">IF($Q163="","",INDEX('Lançar Resultado'!$K$3:$K$2002,$Q163))</f>
        <v/>
      </c>
      <c r="O163" s="46" t="str">
        <f aca="false">IF($Q163="","",INDEX('Lançar Resultado'!$L$3:$L$2002,$Q163))</f>
        <v/>
      </c>
      <c r="P163" s="45" t="str">
        <f aca="false">IF($Q163="","",IF(OR($O163="Concluída",$N163=""),"",IF($N163&lt;INT(Parâmetros!$C$4),INT(Parâmetros!$C$4)-$N163,"")))</f>
        <v/>
      </c>
      <c r="Q163" s="45" t="str">
        <f aca="false">IFERROR(MATCH(161,'Lançar Resultado'!$Q$3:$Q$2002,0),"")</f>
        <v/>
      </c>
    </row>
    <row r="164" customFormat="false" ht="18" hidden="false" customHeight="true" outlineLevel="0" collapsed="false">
      <c r="A164" s="39" t="n">
        <v>162</v>
      </c>
      <c r="B164" s="47" t="str">
        <f aca="false">IF($Q164="","",INDEX('Lançar Resultado'!$A$3:$A$2002,$Q164))</f>
        <v/>
      </c>
      <c r="C164" s="44" t="str">
        <f aca="false">IF($Q164="","",INDEX('Lançar Resultado'!$B$3:$B$2002,$Q164))</f>
        <v/>
      </c>
      <c r="D164" s="46" t="str">
        <f aca="false">IF($Q164="","",IF(SUMPRODUCT((Inspeções!$B$3:$B$122=$B164)*(Inspeções!$A$3:$A$122=$C164)*(ROW(Inspeções!$B$3:$B$122)-3+1))=0,"",INDEX(Inspeções!$C$3:$C$122,SUMPRODUCT((Inspeções!$B$3:$B$122=$B164)*(Inspeções!$A$3:$A$122=$C164)*(ROW(Inspeções!$B$3:$B$122)-3+1)))))</f>
        <v/>
      </c>
      <c r="E164" s="47" t="str">
        <f aca="false">IF($Q164="","",INDEX('Lançar Resultado'!$C$3:$C$2002,$Q164))</f>
        <v/>
      </c>
      <c r="F164" s="47" t="str">
        <f aca="false">IF($Q164="","",IFERROR(INDEX(Equipamentos!$E$3:$E$52,MATCH($B164,Equipamentos!$A$3:$A$52,0)),""))</f>
        <v/>
      </c>
      <c r="G164" s="47" t="str">
        <f aca="false">IF($Q164="","",INDEX('Lançar Resultado'!$D$3:$D$2002,$Q164))</f>
        <v/>
      </c>
      <c r="H164" s="47" t="str">
        <f aca="false">IF($Q164="","",INDEX('Lançar Resultado'!$E$3:$E$2002,$Q164))</f>
        <v/>
      </c>
      <c r="I164" s="46" t="str">
        <f aca="false">IF($Q164="","",INDEX('Lançar Resultado'!$G$3:$G$2002,$Q164))</f>
        <v/>
      </c>
      <c r="J164" s="45" t="str">
        <f aca="false">IF($Q164="","",INDEX('Lançar Resultado'!$P$3:$P$2002,$Q164))</f>
        <v/>
      </c>
      <c r="K164" s="46" t="str">
        <f aca="false">IF($Q164="","",INDEX('Lançar Resultado'!$N$3:$N$2002,$Q164))</f>
        <v/>
      </c>
      <c r="L164" s="47" t="str">
        <f aca="false">IF($Q164="","",INDEX('Lançar Resultado'!$I$3:$I$2002,$Q164))</f>
        <v/>
      </c>
      <c r="M164" s="47" t="str">
        <f aca="false">IF($Q164="","",INDEX('Lançar Resultado'!$J$3:$J$2002,$Q164))</f>
        <v/>
      </c>
      <c r="N164" s="44" t="str">
        <f aca="false">IF($Q164="","",INDEX('Lançar Resultado'!$K$3:$K$2002,$Q164))</f>
        <v/>
      </c>
      <c r="O164" s="46" t="str">
        <f aca="false">IF($Q164="","",INDEX('Lançar Resultado'!$L$3:$L$2002,$Q164))</f>
        <v/>
      </c>
      <c r="P164" s="45" t="str">
        <f aca="false">IF($Q164="","",IF(OR($O164="Concluída",$N164=""),"",IF($N164&lt;INT(Parâmetros!$C$4),INT(Parâmetros!$C$4)-$N164,"")))</f>
        <v/>
      </c>
      <c r="Q164" s="45" t="str">
        <f aca="false">IFERROR(MATCH(162,'Lançar Resultado'!$Q$3:$Q$2002,0),"")</f>
        <v/>
      </c>
    </row>
    <row r="165" customFormat="false" ht="18" hidden="false" customHeight="true" outlineLevel="0" collapsed="false">
      <c r="A165" s="39" t="n">
        <v>163</v>
      </c>
      <c r="B165" s="47" t="str">
        <f aca="false">IF($Q165="","",INDEX('Lançar Resultado'!$A$3:$A$2002,$Q165))</f>
        <v/>
      </c>
      <c r="C165" s="44" t="str">
        <f aca="false">IF($Q165="","",INDEX('Lançar Resultado'!$B$3:$B$2002,$Q165))</f>
        <v/>
      </c>
      <c r="D165" s="46" t="str">
        <f aca="false">IF($Q165="","",IF(SUMPRODUCT((Inspeções!$B$3:$B$122=$B165)*(Inspeções!$A$3:$A$122=$C165)*(ROW(Inspeções!$B$3:$B$122)-3+1))=0,"",INDEX(Inspeções!$C$3:$C$122,SUMPRODUCT((Inspeções!$B$3:$B$122=$B165)*(Inspeções!$A$3:$A$122=$C165)*(ROW(Inspeções!$B$3:$B$122)-3+1)))))</f>
        <v/>
      </c>
      <c r="E165" s="47" t="str">
        <f aca="false">IF($Q165="","",INDEX('Lançar Resultado'!$C$3:$C$2002,$Q165))</f>
        <v/>
      </c>
      <c r="F165" s="47" t="str">
        <f aca="false">IF($Q165="","",IFERROR(INDEX(Equipamentos!$E$3:$E$52,MATCH($B165,Equipamentos!$A$3:$A$52,0)),""))</f>
        <v/>
      </c>
      <c r="G165" s="47" t="str">
        <f aca="false">IF($Q165="","",INDEX('Lançar Resultado'!$D$3:$D$2002,$Q165))</f>
        <v/>
      </c>
      <c r="H165" s="47" t="str">
        <f aca="false">IF($Q165="","",INDEX('Lançar Resultado'!$E$3:$E$2002,$Q165))</f>
        <v/>
      </c>
      <c r="I165" s="46" t="str">
        <f aca="false">IF($Q165="","",INDEX('Lançar Resultado'!$G$3:$G$2002,$Q165))</f>
        <v/>
      </c>
      <c r="J165" s="45" t="str">
        <f aca="false">IF($Q165="","",INDEX('Lançar Resultado'!$P$3:$P$2002,$Q165))</f>
        <v/>
      </c>
      <c r="K165" s="46" t="str">
        <f aca="false">IF($Q165="","",INDEX('Lançar Resultado'!$N$3:$N$2002,$Q165))</f>
        <v/>
      </c>
      <c r="L165" s="47" t="str">
        <f aca="false">IF($Q165="","",INDEX('Lançar Resultado'!$I$3:$I$2002,$Q165))</f>
        <v/>
      </c>
      <c r="M165" s="47" t="str">
        <f aca="false">IF($Q165="","",INDEX('Lançar Resultado'!$J$3:$J$2002,$Q165))</f>
        <v/>
      </c>
      <c r="N165" s="44" t="str">
        <f aca="false">IF($Q165="","",INDEX('Lançar Resultado'!$K$3:$K$2002,$Q165))</f>
        <v/>
      </c>
      <c r="O165" s="46" t="str">
        <f aca="false">IF($Q165="","",INDEX('Lançar Resultado'!$L$3:$L$2002,$Q165))</f>
        <v/>
      </c>
      <c r="P165" s="45" t="str">
        <f aca="false">IF($Q165="","",IF(OR($O165="Concluída",$N165=""),"",IF($N165&lt;INT(Parâmetros!$C$4),INT(Parâmetros!$C$4)-$N165,"")))</f>
        <v/>
      </c>
      <c r="Q165" s="45" t="str">
        <f aca="false">IFERROR(MATCH(163,'Lançar Resultado'!$Q$3:$Q$2002,0),"")</f>
        <v/>
      </c>
    </row>
    <row r="166" customFormat="false" ht="18" hidden="false" customHeight="true" outlineLevel="0" collapsed="false">
      <c r="A166" s="39" t="n">
        <v>164</v>
      </c>
      <c r="B166" s="47" t="str">
        <f aca="false">IF($Q166="","",INDEX('Lançar Resultado'!$A$3:$A$2002,$Q166))</f>
        <v/>
      </c>
      <c r="C166" s="44" t="str">
        <f aca="false">IF($Q166="","",INDEX('Lançar Resultado'!$B$3:$B$2002,$Q166))</f>
        <v/>
      </c>
      <c r="D166" s="46" t="str">
        <f aca="false">IF($Q166="","",IF(SUMPRODUCT((Inspeções!$B$3:$B$122=$B166)*(Inspeções!$A$3:$A$122=$C166)*(ROW(Inspeções!$B$3:$B$122)-3+1))=0,"",INDEX(Inspeções!$C$3:$C$122,SUMPRODUCT((Inspeções!$B$3:$B$122=$B166)*(Inspeções!$A$3:$A$122=$C166)*(ROW(Inspeções!$B$3:$B$122)-3+1)))))</f>
        <v/>
      </c>
      <c r="E166" s="47" t="str">
        <f aca="false">IF($Q166="","",INDEX('Lançar Resultado'!$C$3:$C$2002,$Q166))</f>
        <v/>
      </c>
      <c r="F166" s="47" t="str">
        <f aca="false">IF($Q166="","",IFERROR(INDEX(Equipamentos!$E$3:$E$52,MATCH($B166,Equipamentos!$A$3:$A$52,0)),""))</f>
        <v/>
      </c>
      <c r="G166" s="47" t="str">
        <f aca="false">IF($Q166="","",INDEX('Lançar Resultado'!$D$3:$D$2002,$Q166))</f>
        <v/>
      </c>
      <c r="H166" s="47" t="str">
        <f aca="false">IF($Q166="","",INDEX('Lançar Resultado'!$E$3:$E$2002,$Q166))</f>
        <v/>
      </c>
      <c r="I166" s="46" t="str">
        <f aca="false">IF($Q166="","",INDEX('Lançar Resultado'!$G$3:$G$2002,$Q166))</f>
        <v/>
      </c>
      <c r="J166" s="45" t="str">
        <f aca="false">IF($Q166="","",INDEX('Lançar Resultado'!$P$3:$P$2002,$Q166))</f>
        <v/>
      </c>
      <c r="K166" s="46" t="str">
        <f aca="false">IF($Q166="","",INDEX('Lançar Resultado'!$N$3:$N$2002,$Q166))</f>
        <v/>
      </c>
      <c r="L166" s="47" t="str">
        <f aca="false">IF($Q166="","",INDEX('Lançar Resultado'!$I$3:$I$2002,$Q166))</f>
        <v/>
      </c>
      <c r="M166" s="47" t="str">
        <f aca="false">IF($Q166="","",INDEX('Lançar Resultado'!$J$3:$J$2002,$Q166))</f>
        <v/>
      </c>
      <c r="N166" s="44" t="str">
        <f aca="false">IF($Q166="","",INDEX('Lançar Resultado'!$K$3:$K$2002,$Q166))</f>
        <v/>
      </c>
      <c r="O166" s="46" t="str">
        <f aca="false">IF($Q166="","",INDEX('Lançar Resultado'!$L$3:$L$2002,$Q166))</f>
        <v/>
      </c>
      <c r="P166" s="45" t="str">
        <f aca="false">IF($Q166="","",IF(OR($O166="Concluída",$N166=""),"",IF($N166&lt;INT(Parâmetros!$C$4),INT(Parâmetros!$C$4)-$N166,"")))</f>
        <v/>
      </c>
      <c r="Q166" s="45" t="str">
        <f aca="false">IFERROR(MATCH(164,'Lançar Resultado'!$Q$3:$Q$2002,0),"")</f>
        <v/>
      </c>
    </row>
    <row r="167" customFormat="false" ht="18" hidden="false" customHeight="true" outlineLevel="0" collapsed="false">
      <c r="A167" s="39" t="n">
        <v>165</v>
      </c>
      <c r="B167" s="47" t="str">
        <f aca="false">IF($Q167="","",INDEX('Lançar Resultado'!$A$3:$A$2002,$Q167))</f>
        <v/>
      </c>
      <c r="C167" s="44" t="str">
        <f aca="false">IF($Q167="","",INDEX('Lançar Resultado'!$B$3:$B$2002,$Q167))</f>
        <v/>
      </c>
      <c r="D167" s="46" t="str">
        <f aca="false">IF($Q167="","",IF(SUMPRODUCT((Inspeções!$B$3:$B$122=$B167)*(Inspeções!$A$3:$A$122=$C167)*(ROW(Inspeções!$B$3:$B$122)-3+1))=0,"",INDEX(Inspeções!$C$3:$C$122,SUMPRODUCT((Inspeções!$B$3:$B$122=$B167)*(Inspeções!$A$3:$A$122=$C167)*(ROW(Inspeções!$B$3:$B$122)-3+1)))))</f>
        <v/>
      </c>
      <c r="E167" s="47" t="str">
        <f aca="false">IF($Q167="","",INDEX('Lançar Resultado'!$C$3:$C$2002,$Q167))</f>
        <v/>
      </c>
      <c r="F167" s="47" t="str">
        <f aca="false">IF($Q167="","",IFERROR(INDEX(Equipamentos!$E$3:$E$52,MATCH($B167,Equipamentos!$A$3:$A$52,0)),""))</f>
        <v/>
      </c>
      <c r="G167" s="47" t="str">
        <f aca="false">IF($Q167="","",INDEX('Lançar Resultado'!$D$3:$D$2002,$Q167))</f>
        <v/>
      </c>
      <c r="H167" s="47" t="str">
        <f aca="false">IF($Q167="","",INDEX('Lançar Resultado'!$E$3:$E$2002,$Q167))</f>
        <v/>
      </c>
      <c r="I167" s="46" t="str">
        <f aca="false">IF($Q167="","",INDEX('Lançar Resultado'!$G$3:$G$2002,$Q167))</f>
        <v/>
      </c>
      <c r="J167" s="45" t="str">
        <f aca="false">IF($Q167="","",INDEX('Lançar Resultado'!$P$3:$P$2002,$Q167))</f>
        <v/>
      </c>
      <c r="K167" s="46" t="str">
        <f aca="false">IF($Q167="","",INDEX('Lançar Resultado'!$N$3:$N$2002,$Q167))</f>
        <v/>
      </c>
      <c r="L167" s="47" t="str">
        <f aca="false">IF($Q167="","",INDEX('Lançar Resultado'!$I$3:$I$2002,$Q167))</f>
        <v/>
      </c>
      <c r="M167" s="47" t="str">
        <f aca="false">IF($Q167="","",INDEX('Lançar Resultado'!$J$3:$J$2002,$Q167))</f>
        <v/>
      </c>
      <c r="N167" s="44" t="str">
        <f aca="false">IF($Q167="","",INDEX('Lançar Resultado'!$K$3:$K$2002,$Q167))</f>
        <v/>
      </c>
      <c r="O167" s="46" t="str">
        <f aca="false">IF($Q167="","",INDEX('Lançar Resultado'!$L$3:$L$2002,$Q167))</f>
        <v/>
      </c>
      <c r="P167" s="45" t="str">
        <f aca="false">IF($Q167="","",IF(OR($O167="Concluída",$N167=""),"",IF($N167&lt;INT(Parâmetros!$C$4),INT(Parâmetros!$C$4)-$N167,"")))</f>
        <v/>
      </c>
      <c r="Q167" s="45" t="str">
        <f aca="false">IFERROR(MATCH(165,'Lançar Resultado'!$Q$3:$Q$2002,0),"")</f>
        <v/>
      </c>
    </row>
    <row r="168" customFormat="false" ht="18" hidden="false" customHeight="true" outlineLevel="0" collapsed="false">
      <c r="A168" s="39" t="n">
        <v>166</v>
      </c>
      <c r="B168" s="47" t="str">
        <f aca="false">IF($Q168="","",INDEX('Lançar Resultado'!$A$3:$A$2002,$Q168))</f>
        <v/>
      </c>
      <c r="C168" s="44" t="str">
        <f aca="false">IF($Q168="","",INDEX('Lançar Resultado'!$B$3:$B$2002,$Q168))</f>
        <v/>
      </c>
      <c r="D168" s="46" t="str">
        <f aca="false">IF($Q168="","",IF(SUMPRODUCT((Inspeções!$B$3:$B$122=$B168)*(Inspeções!$A$3:$A$122=$C168)*(ROW(Inspeções!$B$3:$B$122)-3+1))=0,"",INDEX(Inspeções!$C$3:$C$122,SUMPRODUCT((Inspeções!$B$3:$B$122=$B168)*(Inspeções!$A$3:$A$122=$C168)*(ROW(Inspeções!$B$3:$B$122)-3+1)))))</f>
        <v/>
      </c>
      <c r="E168" s="47" t="str">
        <f aca="false">IF($Q168="","",INDEX('Lançar Resultado'!$C$3:$C$2002,$Q168))</f>
        <v/>
      </c>
      <c r="F168" s="47" t="str">
        <f aca="false">IF($Q168="","",IFERROR(INDEX(Equipamentos!$E$3:$E$52,MATCH($B168,Equipamentos!$A$3:$A$52,0)),""))</f>
        <v/>
      </c>
      <c r="G168" s="47" t="str">
        <f aca="false">IF($Q168="","",INDEX('Lançar Resultado'!$D$3:$D$2002,$Q168))</f>
        <v/>
      </c>
      <c r="H168" s="47" t="str">
        <f aca="false">IF($Q168="","",INDEX('Lançar Resultado'!$E$3:$E$2002,$Q168))</f>
        <v/>
      </c>
      <c r="I168" s="46" t="str">
        <f aca="false">IF($Q168="","",INDEX('Lançar Resultado'!$G$3:$G$2002,$Q168))</f>
        <v/>
      </c>
      <c r="J168" s="45" t="str">
        <f aca="false">IF($Q168="","",INDEX('Lançar Resultado'!$P$3:$P$2002,$Q168))</f>
        <v/>
      </c>
      <c r="K168" s="46" t="str">
        <f aca="false">IF($Q168="","",INDEX('Lançar Resultado'!$N$3:$N$2002,$Q168))</f>
        <v/>
      </c>
      <c r="L168" s="47" t="str">
        <f aca="false">IF($Q168="","",INDEX('Lançar Resultado'!$I$3:$I$2002,$Q168))</f>
        <v/>
      </c>
      <c r="M168" s="47" t="str">
        <f aca="false">IF($Q168="","",INDEX('Lançar Resultado'!$J$3:$J$2002,$Q168))</f>
        <v/>
      </c>
      <c r="N168" s="44" t="str">
        <f aca="false">IF($Q168="","",INDEX('Lançar Resultado'!$K$3:$K$2002,$Q168))</f>
        <v/>
      </c>
      <c r="O168" s="46" t="str">
        <f aca="false">IF($Q168="","",INDEX('Lançar Resultado'!$L$3:$L$2002,$Q168))</f>
        <v/>
      </c>
      <c r="P168" s="45" t="str">
        <f aca="false">IF($Q168="","",IF(OR($O168="Concluída",$N168=""),"",IF($N168&lt;INT(Parâmetros!$C$4),INT(Parâmetros!$C$4)-$N168,"")))</f>
        <v/>
      </c>
      <c r="Q168" s="45" t="str">
        <f aca="false">IFERROR(MATCH(166,'Lançar Resultado'!$Q$3:$Q$2002,0),"")</f>
        <v/>
      </c>
    </row>
    <row r="169" customFormat="false" ht="18" hidden="false" customHeight="true" outlineLevel="0" collapsed="false">
      <c r="A169" s="39" t="n">
        <v>167</v>
      </c>
      <c r="B169" s="47" t="str">
        <f aca="false">IF($Q169="","",INDEX('Lançar Resultado'!$A$3:$A$2002,$Q169))</f>
        <v/>
      </c>
      <c r="C169" s="44" t="str">
        <f aca="false">IF($Q169="","",INDEX('Lançar Resultado'!$B$3:$B$2002,$Q169))</f>
        <v/>
      </c>
      <c r="D169" s="46" t="str">
        <f aca="false">IF($Q169="","",IF(SUMPRODUCT((Inspeções!$B$3:$B$122=$B169)*(Inspeções!$A$3:$A$122=$C169)*(ROW(Inspeções!$B$3:$B$122)-3+1))=0,"",INDEX(Inspeções!$C$3:$C$122,SUMPRODUCT((Inspeções!$B$3:$B$122=$B169)*(Inspeções!$A$3:$A$122=$C169)*(ROW(Inspeções!$B$3:$B$122)-3+1)))))</f>
        <v/>
      </c>
      <c r="E169" s="47" t="str">
        <f aca="false">IF($Q169="","",INDEX('Lançar Resultado'!$C$3:$C$2002,$Q169))</f>
        <v/>
      </c>
      <c r="F169" s="47" t="str">
        <f aca="false">IF($Q169="","",IFERROR(INDEX(Equipamentos!$E$3:$E$52,MATCH($B169,Equipamentos!$A$3:$A$52,0)),""))</f>
        <v/>
      </c>
      <c r="G169" s="47" t="str">
        <f aca="false">IF($Q169="","",INDEX('Lançar Resultado'!$D$3:$D$2002,$Q169))</f>
        <v/>
      </c>
      <c r="H169" s="47" t="str">
        <f aca="false">IF($Q169="","",INDEX('Lançar Resultado'!$E$3:$E$2002,$Q169))</f>
        <v/>
      </c>
      <c r="I169" s="46" t="str">
        <f aca="false">IF($Q169="","",INDEX('Lançar Resultado'!$G$3:$G$2002,$Q169))</f>
        <v/>
      </c>
      <c r="J169" s="45" t="str">
        <f aca="false">IF($Q169="","",INDEX('Lançar Resultado'!$P$3:$P$2002,$Q169))</f>
        <v/>
      </c>
      <c r="K169" s="46" t="str">
        <f aca="false">IF($Q169="","",INDEX('Lançar Resultado'!$N$3:$N$2002,$Q169))</f>
        <v/>
      </c>
      <c r="L169" s="47" t="str">
        <f aca="false">IF($Q169="","",INDEX('Lançar Resultado'!$I$3:$I$2002,$Q169))</f>
        <v/>
      </c>
      <c r="M169" s="47" t="str">
        <f aca="false">IF($Q169="","",INDEX('Lançar Resultado'!$J$3:$J$2002,$Q169))</f>
        <v/>
      </c>
      <c r="N169" s="44" t="str">
        <f aca="false">IF($Q169="","",INDEX('Lançar Resultado'!$K$3:$K$2002,$Q169))</f>
        <v/>
      </c>
      <c r="O169" s="46" t="str">
        <f aca="false">IF($Q169="","",INDEX('Lançar Resultado'!$L$3:$L$2002,$Q169))</f>
        <v/>
      </c>
      <c r="P169" s="45" t="str">
        <f aca="false">IF($Q169="","",IF(OR($O169="Concluída",$N169=""),"",IF($N169&lt;INT(Parâmetros!$C$4),INT(Parâmetros!$C$4)-$N169,"")))</f>
        <v/>
      </c>
      <c r="Q169" s="45" t="str">
        <f aca="false">IFERROR(MATCH(167,'Lançar Resultado'!$Q$3:$Q$2002,0),"")</f>
        <v/>
      </c>
    </row>
    <row r="170" customFormat="false" ht="18" hidden="false" customHeight="true" outlineLevel="0" collapsed="false">
      <c r="A170" s="39" t="n">
        <v>168</v>
      </c>
      <c r="B170" s="47" t="str">
        <f aca="false">IF($Q170="","",INDEX('Lançar Resultado'!$A$3:$A$2002,$Q170))</f>
        <v/>
      </c>
      <c r="C170" s="44" t="str">
        <f aca="false">IF($Q170="","",INDEX('Lançar Resultado'!$B$3:$B$2002,$Q170))</f>
        <v/>
      </c>
      <c r="D170" s="46" t="str">
        <f aca="false">IF($Q170="","",IF(SUMPRODUCT((Inspeções!$B$3:$B$122=$B170)*(Inspeções!$A$3:$A$122=$C170)*(ROW(Inspeções!$B$3:$B$122)-3+1))=0,"",INDEX(Inspeções!$C$3:$C$122,SUMPRODUCT((Inspeções!$B$3:$B$122=$B170)*(Inspeções!$A$3:$A$122=$C170)*(ROW(Inspeções!$B$3:$B$122)-3+1)))))</f>
        <v/>
      </c>
      <c r="E170" s="47" t="str">
        <f aca="false">IF($Q170="","",INDEX('Lançar Resultado'!$C$3:$C$2002,$Q170))</f>
        <v/>
      </c>
      <c r="F170" s="47" t="str">
        <f aca="false">IF($Q170="","",IFERROR(INDEX(Equipamentos!$E$3:$E$52,MATCH($B170,Equipamentos!$A$3:$A$52,0)),""))</f>
        <v/>
      </c>
      <c r="G170" s="47" t="str">
        <f aca="false">IF($Q170="","",INDEX('Lançar Resultado'!$D$3:$D$2002,$Q170))</f>
        <v/>
      </c>
      <c r="H170" s="47" t="str">
        <f aca="false">IF($Q170="","",INDEX('Lançar Resultado'!$E$3:$E$2002,$Q170))</f>
        <v/>
      </c>
      <c r="I170" s="46" t="str">
        <f aca="false">IF($Q170="","",INDEX('Lançar Resultado'!$G$3:$G$2002,$Q170))</f>
        <v/>
      </c>
      <c r="J170" s="45" t="str">
        <f aca="false">IF($Q170="","",INDEX('Lançar Resultado'!$P$3:$P$2002,$Q170))</f>
        <v/>
      </c>
      <c r="K170" s="46" t="str">
        <f aca="false">IF($Q170="","",INDEX('Lançar Resultado'!$N$3:$N$2002,$Q170))</f>
        <v/>
      </c>
      <c r="L170" s="47" t="str">
        <f aca="false">IF($Q170="","",INDEX('Lançar Resultado'!$I$3:$I$2002,$Q170))</f>
        <v/>
      </c>
      <c r="M170" s="47" t="str">
        <f aca="false">IF($Q170="","",INDEX('Lançar Resultado'!$J$3:$J$2002,$Q170))</f>
        <v/>
      </c>
      <c r="N170" s="44" t="str">
        <f aca="false">IF($Q170="","",INDEX('Lançar Resultado'!$K$3:$K$2002,$Q170))</f>
        <v/>
      </c>
      <c r="O170" s="46" t="str">
        <f aca="false">IF($Q170="","",INDEX('Lançar Resultado'!$L$3:$L$2002,$Q170))</f>
        <v/>
      </c>
      <c r="P170" s="45" t="str">
        <f aca="false">IF($Q170="","",IF(OR($O170="Concluída",$N170=""),"",IF($N170&lt;INT(Parâmetros!$C$4),INT(Parâmetros!$C$4)-$N170,"")))</f>
        <v/>
      </c>
      <c r="Q170" s="45" t="str">
        <f aca="false">IFERROR(MATCH(168,'Lançar Resultado'!$Q$3:$Q$2002,0),"")</f>
        <v/>
      </c>
    </row>
    <row r="171" customFormat="false" ht="18" hidden="false" customHeight="true" outlineLevel="0" collapsed="false">
      <c r="A171" s="39" t="n">
        <v>169</v>
      </c>
      <c r="B171" s="47" t="str">
        <f aca="false">IF($Q171="","",INDEX('Lançar Resultado'!$A$3:$A$2002,$Q171))</f>
        <v/>
      </c>
      <c r="C171" s="44" t="str">
        <f aca="false">IF($Q171="","",INDEX('Lançar Resultado'!$B$3:$B$2002,$Q171))</f>
        <v/>
      </c>
      <c r="D171" s="46" t="str">
        <f aca="false">IF($Q171="","",IF(SUMPRODUCT((Inspeções!$B$3:$B$122=$B171)*(Inspeções!$A$3:$A$122=$C171)*(ROW(Inspeções!$B$3:$B$122)-3+1))=0,"",INDEX(Inspeções!$C$3:$C$122,SUMPRODUCT((Inspeções!$B$3:$B$122=$B171)*(Inspeções!$A$3:$A$122=$C171)*(ROW(Inspeções!$B$3:$B$122)-3+1)))))</f>
        <v/>
      </c>
      <c r="E171" s="47" t="str">
        <f aca="false">IF($Q171="","",INDEX('Lançar Resultado'!$C$3:$C$2002,$Q171))</f>
        <v/>
      </c>
      <c r="F171" s="47" t="str">
        <f aca="false">IF($Q171="","",IFERROR(INDEX(Equipamentos!$E$3:$E$52,MATCH($B171,Equipamentos!$A$3:$A$52,0)),""))</f>
        <v/>
      </c>
      <c r="G171" s="47" t="str">
        <f aca="false">IF($Q171="","",INDEX('Lançar Resultado'!$D$3:$D$2002,$Q171))</f>
        <v/>
      </c>
      <c r="H171" s="47" t="str">
        <f aca="false">IF($Q171="","",INDEX('Lançar Resultado'!$E$3:$E$2002,$Q171))</f>
        <v/>
      </c>
      <c r="I171" s="46" t="str">
        <f aca="false">IF($Q171="","",INDEX('Lançar Resultado'!$G$3:$G$2002,$Q171))</f>
        <v/>
      </c>
      <c r="J171" s="45" t="str">
        <f aca="false">IF($Q171="","",INDEX('Lançar Resultado'!$P$3:$P$2002,$Q171))</f>
        <v/>
      </c>
      <c r="K171" s="46" t="str">
        <f aca="false">IF($Q171="","",INDEX('Lançar Resultado'!$N$3:$N$2002,$Q171))</f>
        <v/>
      </c>
      <c r="L171" s="47" t="str">
        <f aca="false">IF($Q171="","",INDEX('Lançar Resultado'!$I$3:$I$2002,$Q171))</f>
        <v/>
      </c>
      <c r="M171" s="47" t="str">
        <f aca="false">IF($Q171="","",INDEX('Lançar Resultado'!$J$3:$J$2002,$Q171))</f>
        <v/>
      </c>
      <c r="N171" s="44" t="str">
        <f aca="false">IF($Q171="","",INDEX('Lançar Resultado'!$K$3:$K$2002,$Q171))</f>
        <v/>
      </c>
      <c r="O171" s="46" t="str">
        <f aca="false">IF($Q171="","",INDEX('Lançar Resultado'!$L$3:$L$2002,$Q171))</f>
        <v/>
      </c>
      <c r="P171" s="45" t="str">
        <f aca="false">IF($Q171="","",IF(OR($O171="Concluída",$N171=""),"",IF($N171&lt;INT(Parâmetros!$C$4),INT(Parâmetros!$C$4)-$N171,"")))</f>
        <v/>
      </c>
      <c r="Q171" s="45" t="str">
        <f aca="false">IFERROR(MATCH(169,'Lançar Resultado'!$Q$3:$Q$2002,0),"")</f>
        <v/>
      </c>
    </row>
    <row r="172" customFormat="false" ht="18" hidden="false" customHeight="true" outlineLevel="0" collapsed="false">
      <c r="A172" s="39" t="n">
        <v>170</v>
      </c>
      <c r="B172" s="47" t="str">
        <f aca="false">IF($Q172="","",INDEX('Lançar Resultado'!$A$3:$A$2002,$Q172))</f>
        <v/>
      </c>
      <c r="C172" s="44" t="str">
        <f aca="false">IF($Q172="","",INDEX('Lançar Resultado'!$B$3:$B$2002,$Q172))</f>
        <v/>
      </c>
      <c r="D172" s="46" t="str">
        <f aca="false">IF($Q172="","",IF(SUMPRODUCT((Inspeções!$B$3:$B$122=$B172)*(Inspeções!$A$3:$A$122=$C172)*(ROW(Inspeções!$B$3:$B$122)-3+1))=0,"",INDEX(Inspeções!$C$3:$C$122,SUMPRODUCT((Inspeções!$B$3:$B$122=$B172)*(Inspeções!$A$3:$A$122=$C172)*(ROW(Inspeções!$B$3:$B$122)-3+1)))))</f>
        <v/>
      </c>
      <c r="E172" s="47" t="str">
        <f aca="false">IF($Q172="","",INDEX('Lançar Resultado'!$C$3:$C$2002,$Q172))</f>
        <v/>
      </c>
      <c r="F172" s="47" t="str">
        <f aca="false">IF($Q172="","",IFERROR(INDEX(Equipamentos!$E$3:$E$52,MATCH($B172,Equipamentos!$A$3:$A$52,0)),""))</f>
        <v/>
      </c>
      <c r="G172" s="47" t="str">
        <f aca="false">IF($Q172="","",INDEX('Lançar Resultado'!$D$3:$D$2002,$Q172))</f>
        <v/>
      </c>
      <c r="H172" s="47" t="str">
        <f aca="false">IF($Q172="","",INDEX('Lançar Resultado'!$E$3:$E$2002,$Q172))</f>
        <v/>
      </c>
      <c r="I172" s="46" t="str">
        <f aca="false">IF($Q172="","",INDEX('Lançar Resultado'!$G$3:$G$2002,$Q172))</f>
        <v/>
      </c>
      <c r="J172" s="45" t="str">
        <f aca="false">IF($Q172="","",INDEX('Lançar Resultado'!$P$3:$P$2002,$Q172))</f>
        <v/>
      </c>
      <c r="K172" s="46" t="str">
        <f aca="false">IF($Q172="","",INDEX('Lançar Resultado'!$N$3:$N$2002,$Q172))</f>
        <v/>
      </c>
      <c r="L172" s="47" t="str">
        <f aca="false">IF($Q172="","",INDEX('Lançar Resultado'!$I$3:$I$2002,$Q172))</f>
        <v/>
      </c>
      <c r="M172" s="47" t="str">
        <f aca="false">IF($Q172="","",INDEX('Lançar Resultado'!$J$3:$J$2002,$Q172))</f>
        <v/>
      </c>
      <c r="N172" s="44" t="str">
        <f aca="false">IF($Q172="","",INDEX('Lançar Resultado'!$K$3:$K$2002,$Q172))</f>
        <v/>
      </c>
      <c r="O172" s="46" t="str">
        <f aca="false">IF($Q172="","",INDEX('Lançar Resultado'!$L$3:$L$2002,$Q172))</f>
        <v/>
      </c>
      <c r="P172" s="45" t="str">
        <f aca="false">IF($Q172="","",IF(OR($O172="Concluída",$N172=""),"",IF($N172&lt;INT(Parâmetros!$C$4),INT(Parâmetros!$C$4)-$N172,"")))</f>
        <v/>
      </c>
      <c r="Q172" s="45" t="str">
        <f aca="false">IFERROR(MATCH(170,'Lançar Resultado'!$Q$3:$Q$2002,0),"")</f>
        <v/>
      </c>
    </row>
    <row r="173" customFormat="false" ht="18" hidden="false" customHeight="true" outlineLevel="0" collapsed="false">
      <c r="A173" s="39" t="n">
        <v>171</v>
      </c>
      <c r="B173" s="47" t="str">
        <f aca="false">IF($Q173="","",INDEX('Lançar Resultado'!$A$3:$A$2002,$Q173))</f>
        <v/>
      </c>
      <c r="C173" s="44" t="str">
        <f aca="false">IF($Q173="","",INDEX('Lançar Resultado'!$B$3:$B$2002,$Q173))</f>
        <v/>
      </c>
      <c r="D173" s="46" t="str">
        <f aca="false">IF($Q173="","",IF(SUMPRODUCT((Inspeções!$B$3:$B$122=$B173)*(Inspeções!$A$3:$A$122=$C173)*(ROW(Inspeções!$B$3:$B$122)-3+1))=0,"",INDEX(Inspeções!$C$3:$C$122,SUMPRODUCT((Inspeções!$B$3:$B$122=$B173)*(Inspeções!$A$3:$A$122=$C173)*(ROW(Inspeções!$B$3:$B$122)-3+1)))))</f>
        <v/>
      </c>
      <c r="E173" s="47" t="str">
        <f aca="false">IF($Q173="","",INDEX('Lançar Resultado'!$C$3:$C$2002,$Q173))</f>
        <v/>
      </c>
      <c r="F173" s="47" t="str">
        <f aca="false">IF($Q173="","",IFERROR(INDEX(Equipamentos!$E$3:$E$52,MATCH($B173,Equipamentos!$A$3:$A$52,0)),""))</f>
        <v/>
      </c>
      <c r="G173" s="47" t="str">
        <f aca="false">IF($Q173="","",INDEX('Lançar Resultado'!$D$3:$D$2002,$Q173))</f>
        <v/>
      </c>
      <c r="H173" s="47" t="str">
        <f aca="false">IF($Q173="","",INDEX('Lançar Resultado'!$E$3:$E$2002,$Q173))</f>
        <v/>
      </c>
      <c r="I173" s="46" t="str">
        <f aca="false">IF($Q173="","",INDEX('Lançar Resultado'!$G$3:$G$2002,$Q173))</f>
        <v/>
      </c>
      <c r="J173" s="45" t="str">
        <f aca="false">IF($Q173="","",INDEX('Lançar Resultado'!$P$3:$P$2002,$Q173))</f>
        <v/>
      </c>
      <c r="K173" s="46" t="str">
        <f aca="false">IF($Q173="","",INDEX('Lançar Resultado'!$N$3:$N$2002,$Q173))</f>
        <v/>
      </c>
      <c r="L173" s="47" t="str">
        <f aca="false">IF($Q173="","",INDEX('Lançar Resultado'!$I$3:$I$2002,$Q173))</f>
        <v/>
      </c>
      <c r="M173" s="47" t="str">
        <f aca="false">IF($Q173="","",INDEX('Lançar Resultado'!$J$3:$J$2002,$Q173))</f>
        <v/>
      </c>
      <c r="N173" s="44" t="str">
        <f aca="false">IF($Q173="","",INDEX('Lançar Resultado'!$K$3:$K$2002,$Q173))</f>
        <v/>
      </c>
      <c r="O173" s="46" t="str">
        <f aca="false">IF($Q173="","",INDEX('Lançar Resultado'!$L$3:$L$2002,$Q173))</f>
        <v/>
      </c>
      <c r="P173" s="45" t="str">
        <f aca="false">IF($Q173="","",IF(OR($O173="Concluída",$N173=""),"",IF($N173&lt;INT(Parâmetros!$C$4),INT(Parâmetros!$C$4)-$N173,"")))</f>
        <v/>
      </c>
      <c r="Q173" s="45" t="str">
        <f aca="false">IFERROR(MATCH(171,'Lançar Resultado'!$Q$3:$Q$2002,0),"")</f>
        <v/>
      </c>
    </row>
    <row r="174" customFormat="false" ht="18" hidden="false" customHeight="true" outlineLevel="0" collapsed="false">
      <c r="A174" s="39" t="n">
        <v>172</v>
      </c>
      <c r="B174" s="47" t="str">
        <f aca="false">IF($Q174="","",INDEX('Lançar Resultado'!$A$3:$A$2002,$Q174))</f>
        <v/>
      </c>
      <c r="C174" s="44" t="str">
        <f aca="false">IF($Q174="","",INDEX('Lançar Resultado'!$B$3:$B$2002,$Q174))</f>
        <v/>
      </c>
      <c r="D174" s="46" t="str">
        <f aca="false">IF($Q174="","",IF(SUMPRODUCT((Inspeções!$B$3:$B$122=$B174)*(Inspeções!$A$3:$A$122=$C174)*(ROW(Inspeções!$B$3:$B$122)-3+1))=0,"",INDEX(Inspeções!$C$3:$C$122,SUMPRODUCT((Inspeções!$B$3:$B$122=$B174)*(Inspeções!$A$3:$A$122=$C174)*(ROW(Inspeções!$B$3:$B$122)-3+1)))))</f>
        <v/>
      </c>
      <c r="E174" s="47" t="str">
        <f aca="false">IF($Q174="","",INDEX('Lançar Resultado'!$C$3:$C$2002,$Q174))</f>
        <v/>
      </c>
      <c r="F174" s="47" t="str">
        <f aca="false">IF($Q174="","",IFERROR(INDEX(Equipamentos!$E$3:$E$52,MATCH($B174,Equipamentos!$A$3:$A$52,0)),""))</f>
        <v/>
      </c>
      <c r="G174" s="47" t="str">
        <f aca="false">IF($Q174="","",INDEX('Lançar Resultado'!$D$3:$D$2002,$Q174))</f>
        <v/>
      </c>
      <c r="H174" s="47" t="str">
        <f aca="false">IF($Q174="","",INDEX('Lançar Resultado'!$E$3:$E$2002,$Q174))</f>
        <v/>
      </c>
      <c r="I174" s="46" t="str">
        <f aca="false">IF($Q174="","",INDEX('Lançar Resultado'!$G$3:$G$2002,$Q174))</f>
        <v/>
      </c>
      <c r="J174" s="45" t="str">
        <f aca="false">IF($Q174="","",INDEX('Lançar Resultado'!$P$3:$P$2002,$Q174))</f>
        <v/>
      </c>
      <c r="K174" s="46" t="str">
        <f aca="false">IF($Q174="","",INDEX('Lançar Resultado'!$N$3:$N$2002,$Q174))</f>
        <v/>
      </c>
      <c r="L174" s="47" t="str">
        <f aca="false">IF($Q174="","",INDEX('Lançar Resultado'!$I$3:$I$2002,$Q174))</f>
        <v/>
      </c>
      <c r="M174" s="47" t="str">
        <f aca="false">IF($Q174="","",INDEX('Lançar Resultado'!$J$3:$J$2002,$Q174))</f>
        <v/>
      </c>
      <c r="N174" s="44" t="str">
        <f aca="false">IF($Q174="","",INDEX('Lançar Resultado'!$K$3:$K$2002,$Q174))</f>
        <v/>
      </c>
      <c r="O174" s="46" t="str">
        <f aca="false">IF($Q174="","",INDEX('Lançar Resultado'!$L$3:$L$2002,$Q174))</f>
        <v/>
      </c>
      <c r="P174" s="45" t="str">
        <f aca="false">IF($Q174="","",IF(OR($O174="Concluída",$N174=""),"",IF($N174&lt;INT(Parâmetros!$C$4),INT(Parâmetros!$C$4)-$N174,"")))</f>
        <v/>
      </c>
      <c r="Q174" s="45" t="str">
        <f aca="false">IFERROR(MATCH(172,'Lançar Resultado'!$Q$3:$Q$2002,0),"")</f>
        <v/>
      </c>
    </row>
    <row r="175" customFormat="false" ht="18" hidden="false" customHeight="true" outlineLevel="0" collapsed="false">
      <c r="A175" s="39" t="n">
        <v>173</v>
      </c>
      <c r="B175" s="47" t="str">
        <f aca="false">IF($Q175="","",INDEX('Lançar Resultado'!$A$3:$A$2002,$Q175))</f>
        <v/>
      </c>
      <c r="C175" s="44" t="str">
        <f aca="false">IF($Q175="","",INDEX('Lançar Resultado'!$B$3:$B$2002,$Q175))</f>
        <v/>
      </c>
      <c r="D175" s="46" t="str">
        <f aca="false">IF($Q175="","",IF(SUMPRODUCT((Inspeções!$B$3:$B$122=$B175)*(Inspeções!$A$3:$A$122=$C175)*(ROW(Inspeções!$B$3:$B$122)-3+1))=0,"",INDEX(Inspeções!$C$3:$C$122,SUMPRODUCT((Inspeções!$B$3:$B$122=$B175)*(Inspeções!$A$3:$A$122=$C175)*(ROW(Inspeções!$B$3:$B$122)-3+1)))))</f>
        <v/>
      </c>
      <c r="E175" s="47" t="str">
        <f aca="false">IF($Q175="","",INDEX('Lançar Resultado'!$C$3:$C$2002,$Q175))</f>
        <v/>
      </c>
      <c r="F175" s="47" t="str">
        <f aca="false">IF($Q175="","",IFERROR(INDEX(Equipamentos!$E$3:$E$52,MATCH($B175,Equipamentos!$A$3:$A$52,0)),""))</f>
        <v/>
      </c>
      <c r="G175" s="47" t="str">
        <f aca="false">IF($Q175="","",INDEX('Lançar Resultado'!$D$3:$D$2002,$Q175))</f>
        <v/>
      </c>
      <c r="H175" s="47" t="str">
        <f aca="false">IF($Q175="","",INDEX('Lançar Resultado'!$E$3:$E$2002,$Q175))</f>
        <v/>
      </c>
      <c r="I175" s="46" t="str">
        <f aca="false">IF($Q175="","",INDEX('Lançar Resultado'!$G$3:$G$2002,$Q175))</f>
        <v/>
      </c>
      <c r="J175" s="45" t="str">
        <f aca="false">IF($Q175="","",INDEX('Lançar Resultado'!$P$3:$P$2002,$Q175))</f>
        <v/>
      </c>
      <c r="K175" s="46" t="str">
        <f aca="false">IF($Q175="","",INDEX('Lançar Resultado'!$N$3:$N$2002,$Q175))</f>
        <v/>
      </c>
      <c r="L175" s="47" t="str">
        <f aca="false">IF($Q175="","",INDEX('Lançar Resultado'!$I$3:$I$2002,$Q175))</f>
        <v/>
      </c>
      <c r="M175" s="47" t="str">
        <f aca="false">IF($Q175="","",INDEX('Lançar Resultado'!$J$3:$J$2002,$Q175))</f>
        <v/>
      </c>
      <c r="N175" s="44" t="str">
        <f aca="false">IF($Q175="","",INDEX('Lançar Resultado'!$K$3:$K$2002,$Q175))</f>
        <v/>
      </c>
      <c r="O175" s="46" t="str">
        <f aca="false">IF($Q175="","",INDEX('Lançar Resultado'!$L$3:$L$2002,$Q175))</f>
        <v/>
      </c>
      <c r="P175" s="45" t="str">
        <f aca="false">IF($Q175="","",IF(OR($O175="Concluída",$N175=""),"",IF($N175&lt;INT(Parâmetros!$C$4),INT(Parâmetros!$C$4)-$N175,"")))</f>
        <v/>
      </c>
      <c r="Q175" s="45" t="str">
        <f aca="false">IFERROR(MATCH(173,'Lançar Resultado'!$Q$3:$Q$2002,0),"")</f>
        <v/>
      </c>
    </row>
    <row r="176" customFormat="false" ht="18" hidden="false" customHeight="true" outlineLevel="0" collapsed="false">
      <c r="A176" s="39" t="n">
        <v>174</v>
      </c>
      <c r="B176" s="47" t="str">
        <f aca="false">IF($Q176="","",INDEX('Lançar Resultado'!$A$3:$A$2002,$Q176))</f>
        <v/>
      </c>
      <c r="C176" s="44" t="str">
        <f aca="false">IF($Q176="","",INDEX('Lançar Resultado'!$B$3:$B$2002,$Q176))</f>
        <v/>
      </c>
      <c r="D176" s="46" t="str">
        <f aca="false">IF($Q176="","",IF(SUMPRODUCT((Inspeções!$B$3:$B$122=$B176)*(Inspeções!$A$3:$A$122=$C176)*(ROW(Inspeções!$B$3:$B$122)-3+1))=0,"",INDEX(Inspeções!$C$3:$C$122,SUMPRODUCT((Inspeções!$B$3:$B$122=$B176)*(Inspeções!$A$3:$A$122=$C176)*(ROW(Inspeções!$B$3:$B$122)-3+1)))))</f>
        <v/>
      </c>
      <c r="E176" s="47" t="str">
        <f aca="false">IF($Q176="","",INDEX('Lançar Resultado'!$C$3:$C$2002,$Q176))</f>
        <v/>
      </c>
      <c r="F176" s="47" t="str">
        <f aca="false">IF($Q176="","",IFERROR(INDEX(Equipamentos!$E$3:$E$52,MATCH($B176,Equipamentos!$A$3:$A$52,0)),""))</f>
        <v/>
      </c>
      <c r="G176" s="47" t="str">
        <f aca="false">IF($Q176="","",INDEX('Lançar Resultado'!$D$3:$D$2002,$Q176))</f>
        <v/>
      </c>
      <c r="H176" s="47" t="str">
        <f aca="false">IF($Q176="","",INDEX('Lançar Resultado'!$E$3:$E$2002,$Q176))</f>
        <v/>
      </c>
      <c r="I176" s="46" t="str">
        <f aca="false">IF($Q176="","",INDEX('Lançar Resultado'!$G$3:$G$2002,$Q176))</f>
        <v/>
      </c>
      <c r="J176" s="45" t="str">
        <f aca="false">IF($Q176="","",INDEX('Lançar Resultado'!$P$3:$P$2002,$Q176))</f>
        <v/>
      </c>
      <c r="K176" s="46" t="str">
        <f aca="false">IF($Q176="","",INDEX('Lançar Resultado'!$N$3:$N$2002,$Q176))</f>
        <v/>
      </c>
      <c r="L176" s="47" t="str">
        <f aca="false">IF($Q176="","",INDEX('Lançar Resultado'!$I$3:$I$2002,$Q176))</f>
        <v/>
      </c>
      <c r="M176" s="47" t="str">
        <f aca="false">IF($Q176="","",INDEX('Lançar Resultado'!$J$3:$J$2002,$Q176))</f>
        <v/>
      </c>
      <c r="N176" s="44" t="str">
        <f aca="false">IF($Q176="","",INDEX('Lançar Resultado'!$K$3:$K$2002,$Q176))</f>
        <v/>
      </c>
      <c r="O176" s="46" t="str">
        <f aca="false">IF($Q176="","",INDEX('Lançar Resultado'!$L$3:$L$2002,$Q176))</f>
        <v/>
      </c>
      <c r="P176" s="45" t="str">
        <f aca="false">IF($Q176="","",IF(OR($O176="Concluída",$N176=""),"",IF($N176&lt;INT(Parâmetros!$C$4),INT(Parâmetros!$C$4)-$N176,"")))</f>
        <v/>
      </c>
      <c r="Q176" s="45" t="str">
        <f aca="false">IFERROR(MATCH(174,'Lançar Resultado'!$Q$3:$Q$2002,0),"")</f>
        <v/>
      </c>
    </row>
    <row r="177" customFormat="false" ht="18" hidden="false" customHeight="true" outlineLevel="0" collapsed="false">
      <c r="A177" s="39" t="n">
        <v>175</v>
      </c>
      <c r="B177" s="47" t="str">
        <f aca="false">IF($Q177="","",INDEX('Lançar Resultado'!$A$3:$A$2002,$Q177))</f>
        <v/>
      </c>
      <c r="C177" s="44" t="str">
        <f aca="false">IF($Q177="","",INDEX('Lançar Resultado'!$B$3:$B$2002,$Q177))</f>
        <v/>
      </c>
      <c r="D177" s="46" t="str">
        <f aca="false">IF($Q177="","",IF(SUMPRODUCT((Inspeções!$B$3:$B$122=$B177)*(Inspeções!$A$3:$A$122=$C177)*(ROW(Inspeções!$B$3:$B$122)-3+1))=0,"",INDEX(Inspeções!$C$3:$C$122,SUMPRODUCT((Inspeções!$B$3:$B$122=$B177)*(Inspeções!$A$3:$A$122=$C177)*(ROW(Inspeções!$B$3:$B$122)-3+1)))))</f>
        <v/>
      </c>
      <c r="E177" s="47" t="str">
        <f aca="false">IF($Q177="","",INDEX('Lançar Resultado'!$C$3:$C$2002,$Q177))</f>
        <v/>
      </c>
      <c r="F177" s="47" t="str">
        <f aca="false">IF($Q177="","",IFERROR(INDEX(Equipamentos!$E$3:$E$52,MATCH($B177,Equipamentos!$A$3:$A$52,0)),""))</f>
        <v/>
      </c>
      <c r="G177" s="47" t="str">
        <f aca="false">IF($Q177="","",INDEX('Lançar Resultado'!$D$3:$D$2002,$Q177))</f>
        <v/>
      </c>
      <c r="H177" s="47" t="str">
        <f aca="false">IF($Q177="","",INDEX('Lançar Resultado'!$E$3:$E$2002,$Q177))</f>
        <v/>
      </c>
      <c r="I177" s="46" t="str">
        <f aca="false">IF($Q177="","",INDEX('Lançar Resultado'!$G$3:$G$2002,$Q177))</f>
        <v/>
      </c>
      <c r="J177" s="45" t="str">
        <f aca="false">IF($Q177="","",INDEX('Lançar Resultado'!$P$3:$P$2002,$Q177))</f>
        <v/>
      </c>
      <c r="K177" s="46" t="str">
        <f aca="false">IF($Q177="","",INDEX('Lançar Resultado'!$N$3:$N$2002,$Q177))</f>
        <v/>
      </c>
      <c r="L177" s="47" t="str">
        <f aca="false">IF($Q177="","",INDEX('Lançar Resultado'!$I$3:$I$2002,$Q177))</f>
        <v/>
      </c>
      <c r="M177" s="47" t="str">
        <f aca="false">IF($Q177="","",INDEX('Lançar Resultado'!$J$3:$J$2002,$Q177))</f>
        <v/>
      </c>
      <c r="N177" s="44" t="str">
        <f aca="false">IF($Q177="","",INDEX('Lançar Resultado'!$K$3:$K$2002,$Q177))</f>
        <v/>
      </c>
      <c r="O177" s="46" t="str">
        <f aca="false">IF($Q177="","",INDEX('Lançar Resultado'!$L$3:$L$2002,$Q177))</f>
        <v/>
      </c>
      <c r="P177" s="45" t="str">
        <f aca="false">IF($Q177="","",IF(OR($O177="Concluída",$N177=""),"",IF($N177&lt;INT(Parâmetros!$C$4),INT(Parâmetros!$C$4)-$N177,"")))</f>
        <v/>
      </c>
      <c r="Q177" s="45" t="str">
        <f aca="false">IFERROR(MATCH(175,'Lançar Resultado'!$Q$3:$Q$2002,0),"")</f>
        <v/>
      </c>
    </row>
    <row r="178" customFormat="false" ht="18" hidden="false" customHeight="true" outlineLevel="0" collapsed="false">
      <c r="A178" s="39" t="n">
        <v>176</v>
      </c>
      <c r="B178" s="47" t="str">
        <f aca="false">IF($Q178="","",INDEX('Lançar Resultado'!$A$3:$A$2002,$Q178))</f>
        <v/>
      </c>
      <c r="C178" s="44" t="str">
        <f aca="false">IF($Q178="","",INDEX('Lançar Resultado'!$B$3:$B$2002,$Q178))</f>
        <v/>
      </c>
      <c r="D178" s="46" t="str">
        <f aca="false">IF($Q178="","",IF(SUMPRODUCT((Inspeções!$B$3:$B$122=$B178)*(Inspeções!$A$3:$A$122=$C178)*(ROW(Inspeções!$B$3:$B$122)-3+1))=0,"",INDEX(Inspeções!$C$3:$C$122,SUMPRODUCT((Inspeções!$B$3:$B$122=$B178)*(Inspeções!$A$3:$A$122=$C178)*(ROW(Inspeções!$B$3:$B$122)-3+1)))))</f>
        <v/>
      </c>
      <c r="E178" s="47" t="str">
        <f aca="false">IF($Q178="","",INDEX('Lançar Resultado'!$C$3:$C$2002,$Q178))</f>
        <v/>
      </c>
      <c r="F178" s="47" t="str">
        <f aca="false">IF($Q178="","",IFERROR(INDEX(Equipamentos!$E$3:$E$52,MATCH($B178,Equipamentos!$A$3:$A$52,0)),""))</f>
        <v/>
      </c>
      <c r="G178" s="47" t="str">
        <f aca="false">IF($Q178="","",INDEX('Lançar Resultado'!$D$3:$D$2002,$Q178))</f>
        <v/>
      </c>
      <c r="H178" s="47" t="str">
        <f aca="false">IF($Q178="","",INDEX('Lançar Resultado'!$E$3:$E$2002,$Q178))</f>
        <v/>
      </c>
      <c r="I178" s="46" t="str">
        <f aca="false">IF($Q178="","",INDEX('Lançar Resultado'!$G$3:$G$2002,$Q178))</f>
        <v/>
      </c>
      <c r="J178" s="45" t="str">
        <f aca="false">IF($Q178="","",INDEX('Lançar Resultado'!$P$3:$P$2002,$Q178))</f>
        <v/>
      </c>
      <c r="K178" s="46" t="str">
        <f aca="false">IF($Q178="","",INDEX('Lançar Resultado'!$N$3:$N$2002,$Q178))</f>
        <v/>
      </c>
      <c r="L178" s="47" t="str">
        <f aca="false">IF($Q178="","",INDEX('Lançar Resultado'!$I$3:$I$2002,$Q178))</f>
        <v/>
      </c>
      <c r="M178" s="47" t="str">
        <f aca="false">IF($Q178="","",INDEX('Lançar Resultado'!$J$3:$J$2002,$Q178))</f>
        <v/>
      </c>
      <c r="N178" s="44" t="str">
        <f aca="false">IF($Q178="","",INDEX('Lançar Resultado'!$K$3:$K$2002,$Q178))</f>
        <v/>
      </c>
      <c r="O178" s="46" t="str">
        <f aca="false">IF($Q178="","",INDEX('Lançar Resultado'!$L$3:$L$2002,$Q178))</f>
        <v/>
      </c>
      <c r="P178" s="45" t="str">
        <f aca="false">IF($Q178="","",IF(OR($O178="Concluída",$N178=""),"",IF($N178&lt;INT(Parâmetros!$C$4),INT(Parâmetros!$C$4)-$N178,"")))</f>
        <v/>
      </c>
      <c r="Q178" s="45" t="str">
        <f aca="false">IFERROR(MATCH(176,'Lançar Resultado'!$Q$3:$Q$2002,0),"")</f>
        <v/>
      </c>
    </row>
    <row r="179" customFormat="false" ht="18" hidden="false" customHeight="true" outlineLevel="0" collapsed="false">
      <c r="A179" s="39" t="n">
        <v>177</v>
      </c>
      <c r="B179" s="47" t="str">
        <f aca="false">IF($Q179="","",INDEX('Lançar Resultado'!$A$3:$A$2002,$Q179))</f>
        <v/>
      </c>
      <c r="C179" s="44" t="str">
        <f aca="false">IF($Q179="","",INDEX('Lançar Resultado'!$B$3:$B$2002,$Q179))</f>
        <v/>
      </c>
      <c r="D179" s="46" t="str">
        <f aca="false">IF($Q179="","",IF(SUMPRODUCT((Inspeções!$B$3:$B$122=$B179)*(Inspeções!$A$3:$A$122=$C179)*(ROW(Inspeções!$B$3:$B$122)-3+1))=0,"",INDEX(Inspeções!$C$3:$C$122,SUMPRODUCT((Inspeções!$B$3:$B$122=$B179)*(Inspeções!$A$3:$A$122=$C179)*(ROW(Inspeções!$B$3:$B$122)-3+1)))))</f>
        <v/>
      </c>
      <c r="E179" s="47" t="str">
        <f aca="false">IF($Q179="","",INDEX('Lançar Resultado'!$C$3:$C$2002,$Q179))</f>
        <v/>
      </c>
      <c r="F179" s="47" t="str">
        <f aca="false">IF($Q179="","",IFERROR(INDEX(Equipamentos!$E$3:$E$52,MATCH($B179,Equipamentos!$A$3:$A$52,0)),""))</f>
        <v/>
      </c>
      <c r="G179" s="47" t="str">
        <f aca="false">IF($Q179="","",INDEX('Lançar Resultado'!$D$3:$D$2002,$Q179))</f>
        <v/>
      </c>
      <c r="H179" s="47" t="str">
        <f aca="false">IF($Q179="","",INDEX('Lançar Resultado'!$E$3:$E$2002,$Q179))</f>
        <v/>
      </c>
      <c r="I179" s="46" t="str">
        <f aca="false">IF($Q179="","",INDEX('Lançar Resultado'!$G$3:$G$2002,$Q179))</f>
        <v/>
      </c>
      <c r="J179" s="45" t="str">
        <f aca="false">IF($Q179="","",INDEX('Lançar Resultado'!$P$3:$P$2002,$Q179))</f>
        <v/>
      </c>
      <c r="K179" s="46" t="str">
        <f aca="false">IF($Q179="","",INDEX('Lançar Resultado'!$N$3:$N$2002,$Q179))</f>
        <v/>
      </c>
      <c r="L179" s="47" t="str">
        <f aca="false">IF($Q179="","",INDEX('Lançar Resultado'!$I$3:$I$2002,$Q179))</f>
        <v/>
      </c>
      <c r="M179" s="47" t="str">
        <f aca="false">IF($Q179="","",INDEX('Lançar Resultado'!$J$3:$J$2002,$Q179))</f>
        <v/>
      </c>
      <c r="N179" s="44" t="str">
        <f aca="false">IF($Q179="","",INDEX('Lançar Resultado'!$K$3:$K$2002,$Q179))</f>
        <v/>
      </c>
      <c r="O179" s="46" t="str">
        <f aca="false">IF($Q179="","",INDEX('Lançar Resultado'!$L$3:$L$2002,$Q179))</f>
        <v/>
      </c>
      <c r="P179" s="45" t="str">
        <f aca="false">IF($Q179="","",IF(OR($O179="Concluída",$N179=""),"",IF($N179&lt;INT(Parâmetros!$C$4),INT(Parâmetros!$C$4)-$N179,"")))</f>
        <v/>
      </c>
      <c r="Q179" s="45" t="str">
        <f aca="false">IFERROR(MATCH(177,'Lançar Resultado'!$Q$3:$Q$2002,0),"")</f>
        <v/>
      </c>
    </row>
    <row r="180" customFormat="false" ht="18" hidden="false" customHeight="true" outlineLevel="0" collapsed="false">
      <c r="A180" s="39" t="n">
        <v>178</v>
      </c>
      <c r="B180" s="47" t="str">
        <f aca="false">IF($Q180="","",INDEX('Lançar Resultado'!$A$3:$A$2002,$Q180))</f>
        <v/>
      </c>
      <c r="C180" s="44" t="str">
        <f aca="false">IF($Q180="","",INDEX('Lançar Resultado'!$B$3:$B$2002,$Q180))</f>
        <v/>
      </c>
      <c r="D180" s="46" t="str">
        <f aca="false">IF($Q180="","",IF(SUMPRODUCT((Inspeções!$B$3:$B$122=$B180)*(Inspeções!$A$3:$A$122=$C180)*(ROW(Inspeções!$B$3:$B$122)-3+1))=0,"",INDEX(Inspeções!$C$3:$C$122,SUMPRODUCT((Inspeções!$B$3:$B$122=$B180)*(Inspeções!$A$3:$A$122=$C180)*(ROW(Inspeções!$B$3:$B$122)-3+1)))))</f>
        <v/>
      </c>
      <c r="E180" s="47" t="str">
        <f aca="false">IF($Q180="","",INDEX('Lançar Resultado'!$C$3:$C$2002,$Q180))</f>
        <v/>
      </c>
      <c r="F180" s="47" t="str">
        <f aca="false">IF($Q180="","",IFERROR(INDEX(Equipamentos!$E$3:$E$52,MATCH($B180,Equipamentos!$A$3:$A$52,0)),""))</f>
        <v/>
      </c>
      <c r="G180" s="47" t="str">
        <f aca="false">IF($Q180="","",INDEX('Lançar Resultado'!$D$3:$D$2002,$Q180))</f>
        <v/>
      </c>
      <c r="H180" s="47" t="str">
        <f aca="false">IF($Q180="","",INDEX('Lançar Resultado'!$E$3:$E$2002,$Q180))</f>
        <v/>
      </c>
      <c r="I180" s="46" t="str">
        <f aca="false">IF($Q180="","",INDEX('Lançar Resultado'!$G$3:$G$2002,$Q180))</f>
        <v/>
      </c>
      <c r="J180" s="45" t="str">
        <f aca="false">IF($Q180="","",INDEX('Lançar Resultado'!$P$3:$P$2002,$Q180))</f>
        <v/>
      </c>
      <c r="K180" s="46" t="str">
        <f aca="false">IF($Q180="","",INDEX('Lançar Resultado'!$N$3:$N$2002,$Q180))</f>
        <v/>
      </c>
      <c r="L180" s="47" t="str">
        <f aca="false">IF($Q180="","",INDEX('Lançar Resultado'!$I$3:$I$2002,$Q180))</f>
        <v/>
      </c>
      <c r="M180" s="47" t="str">
        <f aca="false">IF($Q180="","",INDEX('Lançar Resultado'!$J$3:$J$2002,$Q180))</f>
        <v/>
      </c>
      <c r="N180" s="44" t="str">
        <f aca="false">IF($Q180="","",INDEX('Lançar Resultado'!$K$3:$K$2002,$Q180))</f>
        <v/>
      </c>
      <c r="O180" s="46" t="str">
        <f aca="false">IF($Q180="","",INDEX('Lançar Resultado'!$L$3:$L$2002,$Q180))</f>
        <v/>
      </c>
      <c r="P180" s="45" t="str">
        <f aca="false">IF($Q180="","",IF(OR($O180="Concluída",$N180=""),"",IF($N180&lt;INT(Parâmetros!$C$4),INT(Parâmetros!$C$4)-$N180,"")))</f>
        <v/>
      </c>
      <c r="Q180" s="45" t="str">
        <f aca="false">IFERROR(MATCH(178,'Lançar Resultado'!$Q$3:$Q$2002,0),"")</f>
        <v/>
      </c>
    </row>
    <row r="181" customFormat="false" ht="18" hidden="false" customHeight="true" outlineLevel="0" collapsed="false">
      <c r="A181" s="39" t="n">
        <v>179</v>
      </c>
      <c r="B181" s="47" t="str">
        <f aca="false">IF($Q181="","",INDEX('Lançar Resultado'!$A$3:$A$2002,$Q181))</f>
        <v/>
      </c>
      <c r="C181" s="44" t="str">
        <f aca="false">IF($Q181="","",INDEX('Lançar Resultado'!$B$3:$B$2002,$Q181))</f>
        <v/>
      </c>
      <c r="D181" s="46" t="str">
        <f aca="false">IF($Q181="","",IF(SUMPRODUCT((Inspeções!$B$3:$B$122=$B181)*(Inspeções!$A$3:$A$122=$C181)*(ROW(Inspeções!$B$3:$B$122)-3+1))=0,"",INDEX(Inspeções!$C$3:$C$122,SUMPRODUCT((Inspeções!$B$3:$B$122=$B181)*(Inspeções!$A$3:$A$122=$C181)*(ROW(Inspeções!$B$3:$B$122)-3+1)))))</f>
        <v/>
      </c>
      <c r="E181" s="47" t="str">
        <f aca="false">IF($Q181="","",INDEX('Lançar Resultado'!$C$3:$C$2002,$Q181))</f>
        <v/>
      </c>
      <c r="F181" s="47" t="str">
        <f aca="false">IF($Q181="","",IFERROR(INDEX(Equipamentos!$E$3:$E$52,MATCH($B181,Equipamentos!$A$3:$A$52,0)),""))</f>
        <v/>
      </c>
      <c r="G181" s="47" t="str">
        <f aca="false">IF($Q181="","",INDEX('Lançar Resultado'!$D$3:$D$2002,$Q181))</f>
        <v/>
      </c>
      <c r="H181" s="47" t="str">
        <f aca="false">IF($Q181="","",INDEX('Lançar Resultado'!$E$3:$E$2002,$Q181))</f>
        <v/>
      </c>
      <c r="I181" s="46" t="str">
        <f aca="false">IF($Q181="","",INDEX('Lançar Resultado'!$G$3:$G$2002,$Q181))</f>
        <v/>
      </c>
      <c r="J181" s="45" t="str">
        <f aca="false">IF($Q181="","",INDEX('Lançar Resultado'!$P$3:$P$2002,$Q181))</f>
        <v/>
      </c>
      <c r="K181" s="46" t="str">
        <f aca="false">IF($Q181="","",INDEX('Lançar Resultado'!$N$3:$N$2002,$Q181))</f>
        <v/>
      </c>
      <c r="L181" s="47" t="str">
        <f aca="false">IF($Q181="","",INDEX('Lançar Resultado'!$I$3:$I$2002,$Q181))</f>
        <v/>
      </c>
      <c r="M181" s="47" t="str">
        <f aca="false">IF($Q181="","",INDEX('Lançar Resultado'!$J$3:$J$2002,$Q181))</f>
        <v/>
      </c>
      <c r="N181" s="44" t="str">
        <f aca="false">IF($Q181="","",INDEX('Lançar Resultado'!$K$3:$K$2002,$Q181))</f>
        <v/>
      </c>
      <c r="O181" s="46" t="str">
        <f aca="false">IF($Q181="","",INDEX('Lançar Resultado'!$L$3:$L$2002,$Q181))</f>
        <v/>
      </c>
      <c r="P181" s="45" t="str">
        <f aca="false">IF($Q181="","",IF(OR($O181="Concluída",$N181=""),"",IF($N181&lt;INT(Parâmetros!$C$4),INT(Parâmetros!$C$4)-$N181,"")))</f>
        <v/>
      </c>
      <c r="Q181" s="45" t="str">
        <f aca="false">IFERROR(MATCH(179,'Lançar Resultado'!$Q$3:$Q$2002,0),"")</f>
        <v/>
      </c>
    </row>
    <row r="182" customFormat="false" ht="18" hidden="false" customHeight="true" outlineLevel="0" collapsed="false">
      <c r="A182" s="39" t="n">
        <v>180</v>
      </c>
      <c r="B182" s="47" t="str">
        <f aca="false">IF($Q182="","",INDEX('Lançar Resultado'!$A$3:$A$2002,$Q182))</f>
        <v/>
      </c>
      <c r="C182" s="44" t="str">
        <f aca="false">IF($Q182="","",INDEX('Lançar Resultado'!$B$3:$B$2002,$Q182))</f>
        <v/>
      </c>
      <c r="D182" s="46" t="str">
        <f aca="false">IF($Q182="","",IF(SUMPRODUCT((Inspeções!$B$3:$B$122=$B182)*(Inspeções!$A$3:$A$122=$C182)*(ROW(Inspeções!$B$3:$B$122)-3+1))=0,"",INDEX(Inspeções!$C$3:$C$122,SUMPRODUCT((Inspeções!$B$3:$B$122=$B182)*(Inspeções!$A$3:$A$122=$C182)*(ROW(Inspeções!$B$3:$B$122)-3+1)))))</f>
        <v/>
      </c>
      <c r="E182" s="47" t="str">
        <f aca="false">IF($Q182="","",INDEX('Lançar Resultado'!$C$3:$C$2002,$Q182))</f>
        <v/>
      </c>
      <c r="F182" s="47" t="str">
        <f aca="false">IF($Q182="","",IFERROR(INDEX(Equipamentos!$E$3:$E$52,MATCH($B182,Equipamentos!$A$3:$A$52,0)),""))</f>
        <v/>
      </c>
      <c r="G182" s="47" t="str">
        <f aca="false">IF($Q182="","",INDEX('Lançar Resultado'!$D$3:$D$2002,$Q182))</f>
        <v/>
      </c>
      <c r="H182" s="47" t="str">
        <f aca="false">IF($Q182="","",INDEX('Lançar Resultado'!$E$3:$E$2002,$Q182))</f>
        <v/>
      </c>
      <c r="I182" s="46" t="str">
        <f aca="false">IF($Q182="","",INDEX('Lançar Resultado'!$G$3:$G$2002,$Q182))</f>
        <v/>
      </c>
      <c r="J182" s="45" t="str">
        <f aca="false">IF($Q182="","",INDEX('Lançar Resultado'!$P$3:$P$2002,$Q182))</f>
        <v/>
      </c>
      <c r="K182" s="46" t="str">
        <f aca="false">IF($Q182="","",INDEX('Lançar Resultado'!$N$3:$N$2002,$Q182))</f>
        <v/>
      </c>
      <c r="L182" s="47" t="str">
        <f aca="false">IF($Q182="","",INDEX('Lançar Resultado'!$I$3:$I$2002,$Q182))</f>
        <v/>
      </c>
      <c r="M182" s="47" t="str">
        <f aca="false">IF($Q182="","",INDEX('Lançar Resultado'!$J$3:$J$2002,$Q182))</f>
        <v/>
      </c>
      <c r="N182" s="44" t="str">
        <f aca="false">IF($Q182="","",INDEX('Lançar Resultado'!$K$3:$K$2002,$Q182))</f>
        <v/>
      </c>
      <c r="O182" s="46" t="str">
        <f aca="false">IF($Q182="","",INDEX('Lançar Resultado'!$L$3:$L$2002,$Q182))</f>
        <v/>
      </c>
      <c r="P182" s="45" t="str">
        <f aca="false">IF($Q182="","",IF(OR($O182="Concluída",$N182=""),"",IF($N182&lt;INT(Parâmetros!$C$4),INT(Parâmetros!$C$4)-$N182,"")))</f>
        <v/>
      </c>
      <c r="Q182" s="45" t="str">
        <f aca="false">IFERROR(MATCH(180,'Lançar Resultado'!$Q$3:$Q$2002,0),"")</f>
        <v/>
      </c>
    </row>
    <row r="183" customFormat="false" ht="18" hidden="false" customHeight="true" outlineLevel="0" collapsed="false">
      <c r="A183" s="39" t="n">
        <v>181</v>
      </c>
      <c r="B183" s="47" t="str">
        <f aca="false">IF($Q183="","",INDEX('Lançar Resultado'!$A$3:$A$2002,$Q183))</f>
        <v/>
      </c>
      <c r="C183" s="44" t="str">
        <f aca="false">IF($Q183="","",INDEX('Lançar Resultado'!$B$3:$B$2002,$Q183))</f>
        <v/>
      </c>
      <c r="D183" s="46" t="str">
        <f aca="false">IF($Q183="","",IF(SUMPRODUCT((Inspeções!$B$3:$B$122=$B183)*(Inspeções!$A$3:$A$122=$C183)*(ROW(Inspeções!$B$3:$B$122)-3+1))=0,"",INDEX(Inspeções!$C$3:$C$122,SUMPRODUCT((Inspeções!$B$3:$B$122=$B183)*(Inspeções!$A$3:$A$122=$C183)*(ROW(Inspeções!$B$3:$B$122)-3+1)))))</f>
        <v/>
      </c>
      <c r="E183" s="47" t="str">
        <f aca="false">IF($Q183="","",INDEX('Lançar Resultado'!$C$3:$C$2002,$Q183))</f>
        <v/>
      </c>
      <c r="F183" s="47" t="str">
        <f aca="false">IF($Q183="","",IFERROR(INDEX(Equipamentos!$E$3:$E$52,MATCH($B183,Equipamentos!$A$3:$A$52,0)),""))</f>
        <v/>
      </c>
      <c r="G183" s="47" t="str">
        <f aca="false">IF($Q183="","",INDEX('Lançar Resultado'!$D$3:$D$2002,$Q183))</f>
        <v/>
      </c>
      <c r="H183" s="47" t="str">
        <f aca="false">IF($Q183="","",INDEX('Lançar Resultado'!$E$3:$E$2002,$Q183))</f>
        <v/>
      </c>
      <c r="I183" s="46" t="str">
        <f aca="false">IF($Q183="","",INDEX('Lançar Resultado'!$G$3:$G$2002,$Q183))</f>
        <v/>
      </c>
      <c r="J183" s="45" t="str">
        <f aca="false">IF($Q183="","",INDEX('Lançar Resultado'!$P$3:$P$2002,$Q183))</f>
        <v/>
      </c>
      <c r="K183" s="46" t="str">
        <f aca="false">IF($Q183="","",INDEX('Lançar Resultado'!$N$3:$N$2002,$Q183))</f>
        <v/>
      </c>
      <c r="L183" s="47" t="str">
        <f aca="false">IF($Q183="","",INDEX('Lançar Resultado'!$I$3:$I$2002,$Q183))</f>
        <v/>
      </c>
      <c r="M183" s="47" t="str">
        <f aca="false">IF($Q183="","",INDEX('Lançar Resultado'!$J$3:$J$2002,$Q183))</f>
        <v/>
      </c>
      <c r="N183" s="44" t="str">
        <f aca="false">IF($Q183="","",INDEX('Lançar Resultado'!$K$3:$K$2002,$Q183))</f>
        <v/>
      </c>
      <c r="O183" s="46" t="str">
        <f aca="false">IF($Q183="","",INDEX('Lançar Resultado'!$L$3:$L$2002,$Q183))</f>
        <v/>
      </c>
      <c r="P183" s="45" t="str">
        <f aca="false">IF($Q183="","",IF(OR($O183="Concluída",$N183=""),"",IF($N183&lt;INT(Parâmetros!$C$4),INT(Parâmetros!$C$4)-$N183,"")))</f>
        <v/>
      </c>
      <c r="Q183" s="45" t="str">
        <f aca="false">IFERROR(MATCH(181,'Lançar Resultado'!$Q$3:$Q$2002,0),"")</f>
        <v/>
      </c>
    </row>
    <row r="184" customFormat="false" ht="18" hidden="false" customHeight="true" outlineLevel="0" collapsed="false">
      <c r="A184" s="39" t="n">
        <v>182</v>
      </c>
      <c r="B184" s="47" t="str">
        <f aca="false">IF($Q184="","",INDEX('Lançar Resultado'!$A$3:$A$2002,$Q184))</f>
        <v/>
      </c>
      <c r="C184" s="44" t="str">
        <f aca="false">IF($Q184="","",INDEX('Lançar Resultado'!$B$3:$B$2002,$Q184))</f>
        <v/>
      </c>
      <c r="D184" s="46" t="str">
        <f aca="false">IF($Q184="","",IF(SUMPRODUCT((Inspeções!$B$3:$B$122=$B184)*(Inspeções!$A$3:$A$122=$C184)*(ROW(Inspeções!$B$3:$B$122)-3+1))=0,"",INDEX(Inspeções!$C$3:$C$122,SUMPRODUCT((Inspeções!$B$3:$B$122=$B184)*(Inspeções!$A$3:$A$122=$C184)*(ROW(Inspeções!$B$3:$B$122)-3+1)))))</f>
        <v/>
      </c>
      <c r="E184" s="47" t="str">
        <f aca="false">IF($Q184="","",INDEX('Lançar Resultado'!$C$3:$C$2002,$Q184))</f>
        <v/>
      </c>
      <c r="F184" s="47" t="str">
        <f aca="false">IF($Q184="","",IFERROR(INDEX(Equipamentos!$E$3:$E$52,MATCH($B184,Equipamentos!$A$3:$A$52,0)),""))</f>
        <v/>
      </c>
      <c r="G184" s="47" t="str">
        <f aca="false">IF($Q184="","",INDEX('Lançar Resultado'!$D$3:$D$2002,$Q184))</f>
        <v/>
      </c>
      <c r="H184" s="47" t="str">
        <f aca="false">IF($Q184="","",INDEX('Lançar Resultado'!$E$3:$E$2002,$Q184))</f>
        <v/>
      </c>
      <c r="I184" s="46" t="str">
        <f aca="false">IF($Q184="","",INDEX('Lançar Resultado'!$G$3:$G$2002,$Q184))</f>
        <v/>
      </c>
      <c r="J184" s="45" t="str">
        <f aca="false">IF($Q184="","",INDEX('Lançar Resultado'!$P$3:$P$2002,$Q184))</f>
        <v/>
      </c>
      <c r="K184" s="46" t="str">
        <f aca="false">IF($Q184="","",INDEX('Lançar Resultado'!$N$3:$N$2002,$Q184))</f>
        <v/>
      </c>
      <c r="L184" s="47" t="str">
        <f aca="false">IF($Q184="","",INDEX('Lançar Resultado'!$I$3:$I$2002,$Q184))</f>
        <v/>
      </c>
      <c r="M184" s="47" t="str">
        <f aca="false">IF($Q184="","",INDEX('Lançar Resultado'!$J$3:$J$2002,$Q184))</f>
        <v/>
      </c>
      <c r="N184" s="44" t="str">
        <f aca="false">IF($Q184="","",INDEX('Lançar Resultado'!$K$3:$K$2002,$Q184))</f>
        <v/>
      </c>
      <c r="O184" s="46" t="str">
        <f aca="false">IF($Q184="","",INDEX('Lançar Resultado'!$L$3:$L$2002,$Q184))</f>
        <v/>
      </c>
      <c r="P184" s="45" t="str">
        <f aca="false">IF($Q184="","",IF(OR($O184="Concluída",$N184=""),"",IF($N184&lt;INT(Parâmetros!$C$4),INT(Parâmetros!$C$4)-$N184,"")))</f>
        <v/>
      </c>
      <c r="Q184" s="45" t="str">
        <f aca="false">IFERROR(MATCH(182,'Lançar Resultado'!$Q$3:$Q$2002,0),"")</f>
        <v/>
      </c>
    </row>
    <row r="185" customFormat="false" ht="18" hidden="false" customHeight="true" outlineLevel="0" collapsed="false">
      <c r="A185" s="39" t="n">
        <v>183</v>
      </c>
      <c r="B185" s="47" t="str">
        <f aca="false">IF($Q185="","",INDEX('Lançar Resultado'!$A$3:$A$2002,$Q185))</f>
        <v/>
      </c>
      <c r="C185" s="44" t="str">
        <f aca="false">IF($Q185="","",INDEX('Lançar Resultado'!$B$3:$B$2002,$Q185))</f>
        <v/>
      </c>
      <c r="D185" s="46" t="str">
        <f aca="false">IF($Q185="","",IF(SUMPRODUCT((Inspeções!$B$3:$B$122=$B185)*(Inspeções!$A$3:$A$122=$C185)*(ROW(Inspeções!$B$3:$B$122)-3+1))=0,"",INDEX(Inspeções!$C$3:$C$122,SUMPRODUCT((Inspeções!$B$3:$B$122=$B185)*(Inspeções!$A$3:$A$122=$C185)*(ROW(Inspeções!$B$3:$B$122)-3+1)))))</f>
        <v/>
      </c>
      <c r="E185" s="47" t="str">
        <f aca="false">IF($Q185="","",INDEX('Lançar Resultado'!$C$3:$C$2002,$Q185))</f>
        <v/>
      </c>
      <c r="F185" s="47" t="str">
        <f aca="false">IF($Q185="","",IFERROR(INDEX(Equipamentos!$E$3:$E$52,MATCH($B185,Equipamentos!$A$3:$A$52,0)),""))</f>
        <v/>
      </c>
      <c r="G185" s="47" t="str">
        <f aca="false">IF($Q185="","",INDEX('Lançar Resultado'!$D$3:$D$2002,$Q185))</f>
        <v/>
      </c>
      <c r="H185" s="47" t="str">
        <f aca="false">IF($Q185="","",INDEX('Lançar Resultado'!$E$3:$E$2002,$Q185))</f>
        <v/>
      </c>
      <c r="I185" s="46" t="str">
        <f aca="false">IF($Q185="","",INDEX('Lançar Resultado'!$G$3:$G$2002,$Q185))</f>
        <v/>
      </c>
      <c r="J185" s="45" t="str">
        <f aca="false">IF($Q185="","",INDEX('Lançar Resultado'!$P$3:$P$2002,$Q185))</f>
        <v/>
      </c>
      <c r="K185" s="46" t="str">
        <f aca="false">IF($Q185="","",INDEX('Lançar Resultado'!$N$3:$N$2002,$Q185))</f>
        <v/>
      </c>
      <c r="L185" s="47" t="str">
        <f aca="false">IF($Q185="","",INDEX('Lançar Resultado'!$I$3:$I$2002,$Q185))</f>
        <v/>
      </c>
      <c r="M185" s="47" t="str">
        <f aca="false">IF($Q185="","",INDEX('Lançar Resultado'!$J$3:$J$2002,$Q185))</f>
        <v/>
      </c>
      <c r="N185" s="44" t="str">
        <f aca="false">IF($Q185="","",INDEX('Lançar Resultado'!$K$3:$K$2002,$Q185))</f>
        <v/>
      </c>
      <c r="O185" s="46" t="str">
        <f aca="false">IF($Q185="","",INDEX('Lançar Resultado'!$L$3:$L$2002,$Q185))</f>
        <v/>
      </c>
      <c r="P185" s="45" t="str">
        <f aca="false">IF($Q185="","",IF(OR($O185="Concluída",$N185=""),"",IF($N185&lt;INT(Parâmetros!$C$4),INT(Parâmetros!$C$4)-$N185,"")))</f>
        <v/>
      </c>
      <c r="Q185" s="45" t="str">
        <f aca="false">IFERROR(MATCH(183,'Lançar Resultado'!$Q$3:$Q$2002,0),"")</f>
        <v/>
      </c>
    </row>
    <row r="186" customFormat="false" ht="18" hidden="false" customHeight="true" outlineLevel="0" collapsed="false">
      <c r="A186" s="39" t="n">
        <v>184</v>
      </c>
      <c r="B186" s="47" t="str">
        <f aca="false">IF($Q186="","",INDEX('Lançar Resultado'!$A$3:$A$2002,$Q186))</f>
        <v/>
      </c>
      <c r="C186" s="44" t="str">
        <f aca="false">IF($Q186="","",INDEX('Lançar Resultado'!$B$3:$B$2002,$Q186))</f>
        <v/>
      </c>
      <c r="D186" s="46" t="str">
        <f aca="false">IF($Q186="","",IF(SUMPRODUCT((Inspeções!$B$3:$B$122=$B186)*(Inspeções!$A$3:$A$122=$C186)*(ROW(Inspeções!$B$3:$B$122)-3+1))=0,"",INDEX(Inspeções!$C$3:$C$122,SUMPRODUCT((Inspeções!$B$3:$B$122=$B186)*(Inspeções!$A$3:$A$122=$C186)*(ROW(Inspeções!$B$3:$B$122)-3+1)))))</f>
        <v/>
      </c>
      <c r="E186" s="47" t="str">
        <f aca="false">IF($Q186="","",INDEX('Lançar Resultado'!$C$3:$C$2002,$Q186))</f>
        <v/>
      </c>
      <c r="F186" s="47" t="str">
        <f aca="false">IF($Q186="","",IFERROR(INDEX(Equipamentos!$E$3:$E$52,MATCH($B186,Equipamentos!$A$3:$A$52,0)),""))</f>
        <v/>
      </c>
      <c r="G186" s="47" t="str">
        <f aca="false">IF($Q186="","",INDEX('Lançar Resultado'!$D$3:$D$2002,$Q186))</f>
        <v/>
      </c>
      <c r="H186" s="47" t="str">
        <f aca="false">IF($Q186="","",INDEX('Lançar Resultado'!$E$3:$E$2002,$Q186))</f>
        <v/>
      </c>
      <c r="I186" s="46" t="str">
        <f aca="false">IF($Q186="","",INDEX('Lançar Resultado'!$G$3:$G$2002,$Q186))</f>
        <v/>
      </c>
      <c r="J186" s="45" t="str">
        <f aca="false">IF($Q186="","",INDEX('Lançar Resultado'!$P$3:$P$2002,$Q186))</f>
        <v/>
      </c>
      <c r="K186" s="46" t="str">
        <f aca="false">IF($Q186="","",INDEX('Lançar Resultado'!$N$3:$N$2002,$Q186))</f>
        <v/>
      </c>
      <c r="L186" s="47" t="str">
        <f aca="false">IF($Q186="","",INDEX('Lançar Resultado'!$I$3:$I$2002,$Q186))</f>
        <v/>
      </c>
      <c r="M186" s="47" t="str">
        <f aca="false">IF($Q186="","",INDEX('Lançar Resultado'!$J$3:$J$2002,$Q186))</f>
        <v/>
      </c>
      <c r="N186" s="44" t="str">
        <f aca="false">IF($Q186="","",INDEX('Lançar Resultado'!$K$3:$K$2002,$Q186))</f>
        <v/>
      </c>
      <c r="O186" s="46" t="str">
        <f aca="false">IF($Q186="","",INDEX('Lançar Resultado'!$L$3:$L$2002,$Q186))</f>
        <v/>
      </c>
      <c r="P186" s="45" t="str">
        <f aca="false">IF($Q186="","",IF(OR($O186="Concluída",$N186=""),"",IF($N186&lt;INT(Parâmetros!$C$4),INT(Parâmetros!$C$4)-$N186,"")))</f>
        <v/>
      </c>
      <c r="Q186" s="45" t="str">
        <f aca="false">IFERROR(MATCH(184,'Lançar Resultado'!$Q$3:$Q$2002,0),"")</f>
        <v/>
      </c>
    </row>
    <row r="187" customFormat="false" ht="18" hidden="false" customHeight="true" outlineLevel="0" collapsed="false">
      <c r="A187" s="39" t="n">
        <v>185</v>
      </c>
      <c r="B187" s="47" t="str">
        <f aca="false">IF($Q187="","",INDEX('Lançar Resultado'!$A$3:$A$2002,$Q187))</f>
        <v/>
      </c>
      <c r="C187" s="44" t="str">
        <f aca="false">IF($Q187="","",INDEX('Lançar Resultado'!$B$3:$B$2002,$Q187))</f>
        <v/>
      </c>
      <c r="D187" s="46" t="str">
        <f aca="false">IF($Q187="","",IF(SUMPRODUCT((Inspeções!$B$3:$B$122=$B187)*(Inspeções!$A$3:$A$122=$C187)*(ROW(Inspeções!$B$3:$B$122)-3+1))=0,"",INDEX(Inspeções!$C$3:$C$122,SUMPRODUCT((Inspeções!$B$3:$B$122=$B187)*(Inspeções!$A$3:$A$122=$C187)*(ROW(Inspeções!$B$3:$B$122)-3+1)))))</f>
        <v/>
      </c>
      <c r="E187" s="47" t="str">
        <f aca="false">IF($Q187="","",INDEX('Lançar Resultado'!$C$3:$C$2002,$Q187))</f>
        <v/>
      </c>
      <c r="F187" s="47" t="str">
        <f aca="false">IF($Q187="","",IFERROR(INDEX(Equipamentos!$E$3:$E$52,MATCH($B187,Equipamentos!$A$3:$A$52,0)),""))</f>
        <v/>
      </c>
      <c r="G187" s="47" t="str">
        <f aca="false">IF($Q187="","",INDEX('Lançar Resultado'!$D$3:$D$2002,$Q187))</f>
        <v/>
      </c>
      <c r="H187" s="47" t="str">
        <f aca="false">IF($Q187="","",INDEX('Lançar Resultado'!$E$3:$E$2002,$Q187))</f>
        <v/>
      </c>
      <c r="I187" s="46" t="str">
        <f aca="false">IF($Q187="","",INDEX('Lançar Resultado'!$G$3:$G$2002,$Q187))</f>
        <v/>
      </c>
      <c r="J187" s="45" t="str">
        <f aca="false">IF($Q187="","",INDEX('Lançar Resultado'!$P$3:$P$2002,$Q187))</f>
        <v/>
      </c>
      <c r="K187" s="46" t="str">
        <f aca="false">IF($Q187="","",INDEX('Lançar Resultado'!$N$3:$N$2002,$Q187))</f>
        <v/>
      </c>
      <c r="L187" s="47" t="str">
        <f aca="false">IF($Q187="","",INDEX('Lançar Resultado'!$I$3:$I$2002,$Q187))</f>
        <v/>
      </c>
      <c r="M187" s="47" t="str">
        <f aca="false">IF($Q187="","",INDEX('Lançar Resultado'!$J$3:$J$2002,$Q187))</f>
        <v/>
      </c>
      <c r="N187" s="44" t="str">
        <f aca="false">IF($Q187="","",INDEX('Lançar Resultado'!$K$3:$K$2002,$Q187))</f>
        <v/>
      </c>
      <c r="O187" s="46" t="str">
        <f aca="false">IF($Q187="","",INDEX('Lançar Resultado'!$L$3:$L$2002,$Q187))</f>
        <v/>
      </c>
      <c r="P187" s="45" t="str">
        <f aca="false">IF($Q187="","",IF(OR($O187="Concluída",$N187=""),"",IF($N187&lt;INT(Parâmetros!$C$4),INT(Parâmetros!$C$4)-$N187,"")))</f>
        <v/>
      </c>
      <c r="Q187" s="45" t="str">
        <f aca="false">IFERROR(MATCH(185,'Lançar Resultado'!$Q$3:$Q$2002,0),"")</f>
        <v/>
      </c>
    </row>
    <row r="188" customFormat="false" ht="18" hidden="false" customHeight="true" outlineLevel="0" collapsed="false">
      <c r="A188" s="39" t="n">
        <v>186</v>
      </c>
      <c r="B188" s="47" t="str">
        <f aca="false">IF($Q188="","",INDEX('Lançar Resultado'!$A$3:$A$2002,$Q188))</f>
        <v/>
      </c>
      <c r="C188" s="44" t="str">
        <f aca="false">IF($Q188="","",INDEX('Lançar Resultado'!$B$3:$B$2002,$Q188))</f>
        <v/>
      </c>
      <c r="D188" s="46" t="str">
        <f aca="false">IF($Q188="","",IF(SUMPRODUCT((Inspeções!$B$3:$B$122=$B188)*(Inspeções!$A$3:$A$122=$C188)*(ROW(Inspeções!$B$3:$B$122)-3+1))=0,"",INDEX(Inspeções!$C$3:$C$122,SUMPRODUCT((Inspeções!$B$3:$B$122=$B188)*(Inspeções!$A$3:$A$122=$C188)*(ROW(Inspeções!$B$3:$B$122)-3+1)))))</f>
        <v/>
      </c>
      <c r="E188" s="47" t="str">
        <f aca="false">IF($Q188="","",INDEX('Lançar Resultado'!$C$3:$C$2002,$Q188))</f>
        <v/>
      </c>
      <c r="F188" s="47" t="str">
        <f aca="false">IF($Q188="","",IFERROR(INDEX(Equipamentos!$E$3:$E$52,MATCH($B188,Equipamentos!$A$3:$A$52,0)),""))</f>
        <v/>
      </c>
      <c r="G188" s="47" t="str">
        <f aca="false">IF($Q188="","",INDEX('Lançar Resultado'!$D$3:$D$2002,$Q188))</f>
        <v/>
      </c>
      <c r="H188" s="47" t="str">
        <f aca="false">IF($Q188="","",INDEX('Lançar Resultado'!$E$3:$E$2002,$Q188))</f>
        <v/>
      </c>
      <c r="I188" s="46" t="str">
        <f aca="false">IF($Q188="","",INDEX('Lançar Resultado'!$G$3:$G$2002,$Q188))</f>
        <v/>
      </c>
      <c r="J188" s="45" t="str">
        <f aca="false">IF($Q188="","",INDEX('Lançar Resultado'!$P$3:$P$2002,$Q188))</f>
        <v/>
      </c>
      <c r="K188" s="46" t="str">
        <f aca="false">IF($Q188="","",INDEX('Lançar Resultado'!$N$3:$N$2002,$Q188))</f>
        <v/>
      </c>
      <c r="L188" s="47" t="str">
        <f aca="false">IF($Q188="","",INDEX('Lançar Resultado'!$I$3:$I$2002,$Q188))</f>
        <v/>
      </c>
      <c r="M188" s="47" t="str">
        <f aca="false">IF($Q188="","",INDEX('Lançar Resultado'!$J$3:$J$2002,$Q188))</f>
        <v/>
      </c>
      <c r="N188" s="44" t="str">
        <f aca="false">IF($Q188="","",INDEX('Lançar Resultado'!$K$3:$K$2002,$Q188))</f>
        <v/>
      </c>
      <c r="O188" s="46" t="str">
        <f aca="false">IF($Q188="","",INDEX('Lançar Resultado'!$L$3:$L$2002,$Q188))</f>
        <v/>
      </c>
      <c r="P188" s="45" t="str">
        <f aca="false">IF($Q188="","",IF(OR($O188="Concluída",$N188=""),"",IF($N188&lt;INT(Parâmetros!$C$4),INT(Parâmetros!$C$4)-$N188,"")))</f>
        <v/>
      </c>
      <c r="Q188" s="45" t="str">
        <f aca="false">IFERROR(MATCH(186,'Lançar Resultado'!$Q$3:$Q$2002,0),"")</f>
        <v/>
      </c>
    </row>
    <row r="189" customFormat="false" ht="18" hidden="false" customHeight="true" outlineLevel="0" collapsed="false">
      <c r="A189" s="39" t="n">
        <v>187</v>
      </c>
      <c r="B189" s="47" t="str">
        <f aca="false">IF($Q189="","",INDEX('Lançar Resultado'!$A$3:$A$2002,$Q189))</f>
        <v/>
      </c>
      <c r="C189" s="44" t="str">
        <f aca="false">IF($Q189="","",INDEX('Lançar Resultado'!$B$3:$B$2002,$Q189))</f>
        <v/>
      </c>
      <c r="D189" s="46" t="str">
        <f aca="false">IF($Q189="","",IF(SUMPRODUCT((Inspeções!$B$3:$B$122=$B189)*(Inspeções!$A$3:$A$122=$C189)*(ROW(Inspeções!$B$3:$B$122)-3+1))=0,"",INDEX(Inspeções!$C$3:$C$122,SUMPRODUCT((Inspeções!$B$3:$B$122=$B189)*(Inspeções!$A$3:$A$122=$C189)*(ROW(Inspeções!$B$3:$B$122)-3+1)))))</f>
        <v/>
      </c>
      <c r="E189" s="47" t="str">
        <f aca="false">IF($Q189="","",INDEX('Lançar Resultado'!$C$3:$C$2002,$Q189))</f>
        <v/>
      </c>
      <c r="F189" s="47" t="str">
        <f aca="false">IF($Q189="","",IFERROR(INDEX(Equipamentos!$E$3:$E$52,MATCH($B189,Equipamentos!$A$3:$A$52,0)),""))</f>
        <v/>
      </c>
      <c r="G189" s="47" t="str">
        <f aca="false">IF($Q189="","",INDEX('Lançar Resultado'!$D$3:$D$2002,$Q189))</f>
        <v/>
      </c>
      <c r="H189" s="47" t="str">
        <f aca="false">IF($Q189="","",INDEX('Lançar Resultado'!$E$3:$E$2002,$Q189))</f>
        <v/>
      </c>
      <c r="I189" s="46" t="str">
        <f aca="false">IF($Q189="","",INDEX('Lançar Resultado'!$G$3:$G$2002,$Q189))</f>
        <v/>
      </c>
      <c r="J189" s="45" t="str">
        <f aca="false">IF($Q189="","",INDEX('Lançar Resultado'!$P$3:$P$2002,$Q189))</f>
        <v/>
      </c>
      <c r="K189" s="46" t="str">
        <f aca="false">IF($Q189="","",INDEX('Lançar Resultado'!$N$3:$N$2002,$Q189))</f>
        <v/>
      </c>
      <c r="L189" s="47" t="str">
        <f aca="false">IF($Q189="","",INDEX('Lançar Resultado'!$I$3:$I$2002,$Q189))</f>
        <v/>
      </c>
      <c r="M189" s="47" t="str">
        <f aca="false">IF($Q189="","",INDEX('Lançar Resultado'!$J$3:$J$2002,$Q189))</f>
        <v/>
      </c>
      <c r="N189" s="44" t="str">
        <f aca="false">IF($Q189="","",INDEX('Lançar Resultado'!$K$3:$K$2002,$Q189))</f>
        <v/>
      </c>
      <c r="O189" s="46" t="str">
        <f aca="false">IF($Q189="","",INDEX('Lançar Resultado'!$L$3:$L$2002,$Q189))</f>
        <v/>
      </c>
      <c r="P189" s="45" t="str">
        <f aca="false">IF($Q189="","",IF(OR($O189="Concluída",$N189=""),"",IF($N189&lt;INT(Parâmetros!$C$4),INT(Parâmetros!$C$4)-$N189,"")))</f>
        <v/>
      </c>
      <c r="Q189" s="45" t="str">
        <f aca="false">IFERROR(MATCH(187,'Lançar Resultado'!$Q$3:$Q$2002,0),"")</f>
        <v/>
      </c>
    </row>
    <row r="190" customFormat="false" ht="18" hidden="false" customHeight="true" outlineLevel="0" collapsed="false">
      <c r="A190" s="39" t="n">
        <v>188</v>
      </c>
      <c r="B190" s="47" t="str">
        <f aca="false">IF($Q190="","",INDEX('Lançar Resultado'!$A$3:$A$2002,$Q190))</f>
        <v/>
      </c>
      <c r="C190" s="44" t="str">
        <f aca="false">IF($Q190="","",INDEX('Lançar Resultado'!$B$3:$B$2002,$Q190))</f>
        <v/>
      </c>
      <c r="D190" s="46" t="str">
        <f aca="false">IF($Q190="","",IF(SUMPRODUCT((Inspeções!$B$3:$B$122=$B190)*(Inspeções!$A$3:$A$122=$C190)*(ROW(Inspeções!$B$3:$B$122)-3+1))=0,"",INDEX(Inspeções!$C$3:$C$122,SUMPRODUCT((Inspeções!$B$3:$B$122=$B190)*(Inspeções!$A$3:$A$122=$C190)*(ROW(Inspeções!$B$3:$B$122)-3+1)))))</f>
        <v/>
      </c>
      <c r="E190" s="47" t="str">
        <f aca="false">IF($Q190="","",INDEX('Lançar Resultado'!$C$3:$C$2002,$Q190))</f>
        <v/>
      </c>
      <c r="F190" s="47" t="str">
        <f aca="false">IF($Q190="","",IFERROR(INDEX(Equipamentos!$E$3:$E$52,MATCH($B190,Equipamentos!$A$3:$A$52,0)),""))</f>
        <v/>
      </c>
      <c r="G190" s="47" t="str">
        <f aca="false">IF($Q190="","",INDEX('Lançar Resultado'!$D$3:$D$2002,$Q190))</f>
        <v/>
      </c>
      <c r="H190" s="47" t="str">
        <f aca="false">IF($Q190="","",INDEX('Lançar Resultado'!$E$3:$E$2002,$Q190))</f>
        <v/>
      </c>
      <c r="I190" s="46" t="str">
        <f aca="false">IF($Q190="","",INDEX('Lançar Resultado'!$G$3:$G$2002,$Q190))</f>
        <v/>
      </c>
      <c r="J190" s="45" t="str">
        <f aca="false">IF($Q190="","",INDEX('Lançar Resultado'!$P$3:$P$2002,$Q190))</f>
        <v/>
      </c>
      <c r="K190" s="46" t="str">
        <f aca="false">IF($Q190="","",INDEX('Lançar Resultado'!$N$3:$N$2002,$Q190))</f>
        <v/>
      </c>
      <c r="L190" s="47" t="str">
        <f aca="false">IF($Q190="","",INDEX('Lançar Resultado'!$I$3:$I$2002,$Q190))</f>
        <v/>
      </c>
      <c r="M190" s="47" t="str">
        <f aca="false">IF($Q190="","",INDEX('Lançar Resultado'!$J$3:$J$2002,$Q190))</f>
        <v/>
      </c>
      <c r="N190" s="44" t="str">
        <f aca="false">IF($Q190="","",INDEX('Lançar Resultado'!$K$3:$K$2002,$Q190))</f>
        <v/>
      </c>
      <c r="O190" s="46" t="str">
        <f aca="false">IF($Q190="","",INDEX('Lançar Resultado'!$L$3:$L$2002,$Q190))</f>
        <v/>
      </c>
      <c r="P190" s="45" t="str">
        <f aca="false">IF($Q190="","",IF(OR($O190="Concluída",$N190=""),"",IF($N190&lt;INT(Parâmetros!$C$4),INT(Parâmetros!$C$4)-$N190,"")))</f>
        <v/>
      </c>
      <c r="Q190" s="45" t="str">
        <f aca="false">IFERROR(MATCH(188,'Lançar Resultado'!$Q$3:$Q$2002,0),"")</f>
        <v/>
      </c>
    </row>
    <row r="191" customFormat="false" ht="18" hidden="false" customHeight="true" outlineLevel="0" collapsed="false">
      <c r="A191" s="39" t="n">
        <v>189</v>
      </c>
      <c r="B191" s="47" t="str">
        <f aca="false">IF($Q191="","",INDEX('Lançar Resultado'!$A$3:$A$2002,$Q191))</f>
        <v/>
      </c>
      <c r="C191" s="44" t="str">
        <f aca="false">IF($Q191="","",INDEX('Lançar Resultado'!$B$3:$B$2002,$Q191))</f>
        <v/>
      </c>
      <c r="D191" s="46" t="str">
        <f aca="false">IF($Q191="","",IF(SUMPRODUCT((Inspeções!$B$3:$B$122=$B191)*(Inspeções!$A$3:$A$122=$C191)*(ROW(Inspeções!$B$3:$B$122)-3+1))=0,"",INDEX(Inspeções!$C$3:$C$122,SUMPRODUCT((Inspeções!$B$3:$B$122=$B191)*(Inspeções!$A$3:$A$122=$C191)*(ROW(Inspeções!$B$3:$B$122)-3+1)))))</f>
        <v/>
      </c>
      <c r="E191" s="47" t="str">
        <f aca="false">IF($Q191="","",INDEX('Lançar Resultado'!$C$3:$C$2002,$Q191))</f>
        <v/>
      </c>
      <c r="F191" s="47" t="str">
        <f aca="false">IF($Q191="","",IFERROR(INDEX(Equipamentos!$E$3:$E$52,MATCH($B191,Equipamentos!$A$3:$A$52,0)),""))</f>
        <v/>
      </c>
      <c r="G191" s="47" t="str">
        <f aca="false">IF($Q191="","",INDEX('Lançar Resultado'!$D$3:$D$2002,$Q191))</f>
        <v/>
      </c>
      <c r="H191" s="47" t="str">
        <f aca="false">IF($Q191="","",INDEX('Lançar Resultado'!$E$3:$E$2002,$Q191))</f>
        <v/>
      </c>
      <c r="I191" s="46" t="str">
        <f aca="false">IF($Q191="","",INDEX('Lançar Resultado'!$G$3:$G$2002,$Q191))</f>
        <v/>
      </c>
      <c r="J191" s="45" t="str">
        <f aca="false">IF($Q191="","",INDEX('Lançar Resultado'!$P$3:$P$2002,$Q191))</f>
        <v/>
      </c>
      <c r="K191" s="46" t="str">
        <f aca="false">IF($Q191="","",INDEX('Lançar Resultado'!$N$3:$N$2002,$Q191))</f>
        <v/>
      </c>
      <c r="L191" s="47" t="str">
        <f aca="false">IF($Q191="","",INDEX('Lançar Resultado'!$I$3:$I$2002,$Q191))</f>
        <v/>
      </c>
      <c r="M191" s="47" t="str">
        <f aca="false">IF($Q191="","",INDEX('Lançar Resultado'!$J$3:$J$2002,$Q191))</f>
        <v/>
      </c>
      <c r="N191" s="44" t="str">
        <f aca="false">IF($Q191="","",INDEX('Lançar Resultado'!$K$3:$K$2002,$Q191))</f>
        <v/>
      </c>
      <c r="O191" s="46" t="str">
        <f aca="false">IF($Q191="","",INDEX('Lançar Resultado'!$L$3:$L$2002,$Q191))</f>
        <v/>
      </c>
      <c r="P191" s="45" t="str">
        <f aca="false">IF($Q191="","",IF(OR($O191="Concluída",$N191=""),"",IF($N191&lt;INT(Parâmetros!$C$4),INT(Parâmetros!$C$4)-$N191,"")))</f>
        <v/>
      </c>
      <c r="Q191" s="45" t="str">
        <f aca="false">IFERROR(MATCH(189,'Lançar Resultado'!$Q$3:$Q$2002,0),"")</f>
        <v/>
      </c>
    </row>
    <row r="192" customFormat="false" ht="18" hidden="false" customHeight="true" outlineLevel="0" collapsed="false">
      <c r="A192" s="39" t="n">
        <v>190</v>
      </c>
      <c r="B192" s="47" t="str">
        <f aca="false">IF($Q192="","",INDEX('Lançar Resultado'!$A$3:$A$2002,$Q192))</f>
        <v/>
      </c>
      <c r="C192" s="44" t="str">
        <f aca="false">IF($Q192="","",INDEX('Lançar Resultado'!$B$3:$B$2002,$Q192))</f>
        <v/>
      </c>
      <c r="D192" s="46" t="str">
        <f aca="false">IF($Q192="","",IF(SUMPRODUCT((Inspeções!$B$3:$B$122=$B192)*(Inspeções!$A$3:$A$122=$C192)*(ROW(Inspeções!$B$3:$B$122)-3+1))=0,"",INDEX(Inspeções!$C$3:$C$122,SUMPRODUCT((Inspeções!$B$3:$B$122=$B192)*(Inspeções!$A$3:$A$122=$C192)*(ROW(Inspeções!$B$3:$B$122)-3+1)))))</f>
        <v/>
      </c>
      <c r="E192" s="47" t="str">
        <f aca="false">IF($Q192="","",INDEX('Lançar Resultado'!$C$3:$C$2002,$Q192))</f>
        <v/>
      </c>
      <c r="F192" s="47" t="str">
        <f aca="false">IF($Q192="","",IFERROR(INDEX(Equipamentos!$E$3:$E$52,MATCH($B192,Equipamentos!$A$3:$A$52,0)),""))</f>
        <v/>
      </c>
      <c r="G192" s="47" t="str">
        <f aca="false">IF($Q192="","",INDEX('Lançar Resultado'!$D$3:$D$2002,$Q192))</f>
        <v/>
      </c>
      <c r="H192" s="47" t="str">
        <f aca="false">IF($Q192="","",INDEX('Lançar Resultado'!$E$3:$E$2002,$Q192))</f>
        <v/>
      </c>
      <c r="I192" s="46" t="str">
        <f aca="false">IF($Q192="","",INDEX('Lançar Resultado'!$G$3:$G$2002,$Q192))</f>
        <v/>
      </c>
      <c r="J192" s="45" t="str">
        <f aca="false">IF($Q192="","",INDEX('Lançar Resultado'!$P$3:$P$2002,$Q192))</f>
        <v/>
      </c>
      <c r="K192" s="46" t="str">
        <f aca="false">IF($Q192="","",INDEX('Lançar Resultado'!$N$3:$N$2002,$Q192))</f>
        <v/>
      </c>
      <c r="L192" s="47" t="str">
        <f aca="false">IF($Q192="","",INDEX('Lançar Resultado'!$I$3:$I$2002,$Q192))</f>
        <v/>
      </c>
      <c r="M192" s="47" t="str">
        <f aca="false">IF($Q192="","",INDEX('Lançar Resultado'!$J$3:$J$2002,$Q192))</f>
        <v/>
      </c>
      <c r="N192" s="44" t="str">
        <f aca="false">IF($Q192="","",INDEX('Lançar Resultado'!$K$3:$K$2002,$Q192))</f>
        <v/>
      </c>
      <c r="O192" s="46" t="str">
        <f aca="false">IF($Q192="","",INDEX('Lançar Resultado'!$L$3:$L$2002,$Q192))</f>
        <v/>
      </c>
      <c r="P192" s="45" t="str">
        <f aca="false">IF($Q192="","",IF(OR($O192="Concluída",$N192=""),"",IF($N192&lt;INT(Parâmetros!$C$4),INT(Parâmetros!$C$4)-$N192,"")))</f>
        <v/>
      </c>
      <c r="Q192" s="45" t="str">
        <f aca="false">IFERROR(MATCH(190,'Lançar Resultado'!$Q$3:$Q$2002,0),"")</f>
        <v/>
      </c>
    </row>
    <row r="193" customFormat="false" ht="18" hidden="false" customHeight="true" outlineLevel="0" collapsed="false">
      <c r="A193" s="39" t="n">
        <v>191</v>
      </c>
      <c r="B193" s="47" t="str">
        <f aca="false">IF($Q193="","",INDEX('Lançar Resultado'!$A$3:$A$2002,$Q193))</f>
        <v/>
      </c>
      <c r="C193" s="44" t="str">
        <f aca="false">IF($Q193="","",INDEX('Lançar Resultado'!$B$3:$B$2002,$Q193))</f>
        <v/>
      </c>
      <c r="D193" s="46" t="str">
        <f aca="false">IF($Q193="","",IF(SUMPRODUCT((Inspeções!$B$3:$B$122=$B193)*(Inspeções!$A$3:$A$122=$C193)*(ROW(Inspeções!$B$3:$B$122)-3+1))=0,"",INDEX(Inspeções!$C$3:$C$122,SUMPRODUCT((Inspeções!$B$3:$B$122=$B193)*(Inspeções!$A$3:$A$122=$C193)*(ROW(Inspeções!$B$3:$B$122)-3+1)))))</f>
        <v/>
      </c>
      <c r="E193" s="47" t="str">
        <f aca="false">IF($Q193="","",INDEX('Lançar Resultado'!$C$3:$C$2002,$Q193))</f>
        <v/>
      </c>
      <c r="F193" s="47" t="str">
        <f aca="false">IF($Q193="","",IFERROR(INDEX(Equipamentos!$E$3:$E$52,MATCH($B193,Equipamentos!$A$3:$A$52,0)),""))</f>
        <v/>
      </c>
      <c r="G193" s="47" t="str">
        <f aca="false">IF($Q193="","",INDEX('Lançar Resultado'!$D$3:$D$2002,$Q193))</f>
        <v/>
      </c>
      <c r="H193" s="47" t="str">
        <f aca="false">IF($Q193="","",INDEX('Lançar Resultado'!$E$3:$E$2002,$Q193))</f>
        <v/>
      </c>
      <c r="I193" s="46" t="str">
        <f aca="false">IF($Q193="","",INDEX('Lançar Resultado'!$G$3:$G$2002,$Q193))</f>
        <v/>
      </c>
      <c r="J193" s="45" t="str">
        <f aca="false">IF($Q193="","",INDEX('Lançar Resultado'!$P$3:$P$2002,$Q193))</f>
        <v/>
      </c>
      <c r="K193" s="46" t="str">
        <f aca="false">IF($Q193="","",INDEX('Lançar Resultado'!$N$3:$N$2002,$Q193))</f>
        <v/>
      </c>
      <c r="L193" s="47" t="str">
        <f aca="false">IF($Q193="","",INDEX('Lançar Resultado'!$I$3:$I$2002,$Q193))</f>
        <v/>
      </c>
      <c r="M193" s="47" t="str">
        <f aca="false">IF($Q193="","",INDEX('Lançar Resultado'!$J$3:$J$2002,$Q193))</f>
        <v/>
      </c>
      <c r="N193" s="44" t="str">
        <f aca="false">IF($Q193="","",INDEX('Lançar Resultado'!$K$3:$K$2002,$Q193))</f>
        <v/>
      </c>
      <c r="O193" s="46" t="str">
        <f aca="false">IF($Q193="","",INDEX('Lançar Resultado'!$L$3:$L$2002,$Q193))</f>
        <v/>
      </c>
      <c r="P193" s="45" t="str">
        <f aca="false">IF($Q193="","",IF(OR($O193="Concluída",$N193=""),"",IF($N193&lt;INT(Parâmetros!$C$4),INT(Parâmetros!$C$4)-$N193,"")))</f>
        <v/>
      </c>
      <c r="Q193" s="45" t="str">
        <f aca="false">IFERROR(MATCH(191,'Lançar Resultado'!$Q$3:$Q$2002,0),"")</f>
        <v/>
      </c>
    </row>
    <row r="194" customFormat="false" ht="18" hidden="false" customHeight="true" outlineLevel="0" collapsed="false">
      <c r="A194" s="39" t="n">
        <v>192</v>
      </c>
      <c r="B194" s="47" t="str">
        <f aca="false">IF($Q194="","",INDEX('Lançar Resultado'!$A$3:$A$2002,$Q194))</f>
        <v/>
      </c>
      <c r="C194" s="44" t="str">
        <f aca="false">IF($Q194="","",INDEX('Lançar Resultado'!$B$3:$B$2002,$Q194))</f>
        <v/>
      </c>
      <c r="D194" s="46" t="str">
        <f aca="false">IF($Q194="","",IF(SUMPRODUCT((Inspeções!$B$3:$B$122=$B194)*(Inspeções!$A$3:$A$122=$C194)*(ROW(Inspeções!$B$3:$B$122)-3+1))=0,"",INDEX(Inspeções!$C$3:$C$122,SUMPRODUCT((Inspeções!$B$3:$B$122=$B194)*(Inspeções!$A$3:$A$122=$C194)*(ROW(Inspeções!$B$3:$B$122)-3+1)))))</f>
        <v/>
      </c>
      <c r="E194" s="47" t="str">
        <f aca="false">IF($Q194="","",INDEX('Lançar Resultado'!$C$3:$C$2002,$Q194))</f>
        <v/>
      </c>
      <c r="F194" s="47" t="str">
        <f aca="false">IF($Q194="","",IFERROR(INDEX(Equipamentos!$E$3:$E$52,MATCH($B194,Equipamentos!$A$3:$A$52,0)),""))</f>
        <v/>
      </c>
      <c r="G194" s="47" t="str">
        <f aca="false">IF($Q194="","",INDEX('Lançar Resultado'!$D$3:$D$2002,$Q194))</f>
        <v/>
      </c>
      <c r="H194" s="47" t="str">
        <f aca="false">IF($Q194="","",INDEX('Lançar Resultado'!$E$3:$E$2002,$Q194))</f>
        <v/>
      </c>
      <c r="I194" s="46" t="str">
        <f aca="false">IF($Q194="","",INDEX('Lançar Resultado'!$G$3:$G$2002,$Q194))</f>
        <v/>
      </c>
      <c r="J194" s="45" t="str">
        <f aca="false">IF($Q194="","",INDEX('Lançar Resultado'!$P$3:$P$2002,$Q194))</f>
        <v/>
      </c>
      <c r="K194" s="46" t="str">
        <f aca="false">IF($Q194="","",INDEX('Lançar Resultado'!$N$3:$N$2002,$Q194))</f>
        <v/>
      </c>
      <c r="L194" s="47" t="str">
        <f aca="false">IF($Q194="","",INDEX('Lançar Resultado'!$I$3:$I$2002,$Q194))</f>
        <v/>
      </c>
      <c r="M194" s="47" t="str">
        <f aca="false">IF($Q194="","",INDEX('Lançar Resultado'!$J$3:$J$2002,$Q194))</f>
        <v/>
      </c>
      <c r="N194" s="44" t="str">
        <f aca="false">IF($Q194="","",INDEX('Lançar Resultado'!$K$3:$K$2002,$Q194))</f>
        <v/>
      </c>
      <c r="O194" s="46" t="str">
        <f aca="false">IF($Q194="","",INDEX('Lançar Resultado'!$L$3:$L$2002,$Q194))</f>
        <v/>
      </c>
      <c r="P194" s="45" t="str">
        <f aca="false">IF($Q194="","",IF(OR($O194="Concluída",$N194=""),"",IF($N194&lt;INT(Parâmetros!$C$4),INT(Parâmetros!$C$4)-$N194,"")))</f>
        <v/>
      </c>
      <c r="Q194" s="45" t="str">
        <f aca="false">IFERROR(MATCH(192,'Lançar Resultado'!$Q$3:$Q$2002,0),"")</f>
        <v/>
      </c>
    </row>
    <row r="195" customFormat="false" ht="18" hidden="false" customHeight="true" outlineLevel="0" collapsed="false">
      <c r="A195" s="39" t="n">
        <v>193</v>
      </c>
      <c r="B195" s="47" t="str">
        <f aca="false">IF($Q195="","",INDEX('Lançar Resultado'!$A$3:$A$2002,$Q195))</f>
        <v/>
      </c>
      <c r="C195" s="44" t="str">
        <f aca="false">IF($Q195="","",INDEX('Lançar Resultado'!$B$3:$B$2002,$Q195))</f>
        <v/>
      </c>
      <c r="D195" s="46" t="str">
        <f aca="false">IF($Q195="","",IF(SUMPRODUCT((Inspeções!$B$3:$B$122=$B195)*(Inspeções!$A$3:$A$122=$C195)*(ROW(Inspeções!$B$3:$B$122)-3+1))=0,"",INDEX(Inspeções!$C$3:$C$122,SUMPRODUCT((Inspeções!$B$3:$B$122=$B195)*(Inspeções!$A$3:$A$122=$C195)*(ROW(Inspeções!$B$3:$B$122)-3+1)))))</f>
        <v/>
      </c>
      <c r="E195" s="47" t="str">
        <f aca="false">IF($Q195="","",INDEX('Lançar Resultado'!$C$3:$C$2002,$Q195))</f>
        <v/>
      </c>
      <c r="F195" s="47" t="str">
        <f aca="false">IF($Q195="","",IFERROR(INDEX(Equipamentos!$E$3:$E$52,MATCH($B195,Equipamentos!$A$3:$A$52,0)),""))</f>
        <v/>
      </c>
      <c r="G195" s="47" t="str">
        <f aca="false">IF($Q195="","",INDEX('Lançar Resultado'!$D$3:$D$2002,$Q195))</f>
        <v/>
      </c>
      <c r="H195" s="47" t="str">
        <f aca="false">IF($Q195="","",INDEX('Lançar Resultado'!$E$3:$E$2002,$Q195))</f>
        <v/>
      </c>
      <c r="I195" s="46" t="str">
        <f aca="false">IF($Q195="","",INDEX('Lançar Resultado'!$G$3:$G$2002,$Q195))</f>
        <v/>
      </c>
      <c r="J195" s="45" t="str">
        <f aca="false">IF($Q195="","",INDEX('Lançar Resultado'!$P$3:$P$2002,$Q195))</f>
        <v/>
      </c>
      <c r="K195" s="46" t="str">
        <f aca="false">IF($Q195="","",INDEX('Lançar Resultado'!$N$3:$N$2002,$Q195))</f>
        <v/>
      </c>
      <c r="L195" s="47" t="str">
        <f aca="false">IF($Q195="","",INDEX('Lançar Resultado'!$I$3:$I$2002,$Q195))</f>
        <v/>
      </c>
      <c r="M195" s="47" t="str">
        <f aca="false">IF($Q195="","",INDEX('Lançar Resultado'!$J$3:$J$2002,$Q195))</f>
        <v/>
      </c>
      <c r="N195" s="44" t="str">
        <f aca="false">IF($Q195="","",INDEX('Lançar Resultado'!$K$3:$K$2002,$Q195))</f>
        <v/>
      </c>
      <c r="O195" s="46" t="str">
        <f aca="false">IF($Q195="","",INDEX('Lançar Resultado'!$L$3:$L$2002,$Q195))</f>
        <v/>
      </c>
      <c r="P195" s="45" t="str">
        <f aca="false">IF($Q195="","",IF(OR($O195="Concluída",$N195=""),"",IF($N195&lt;INT(Parâmetros!$C$4),INT(Parâmetros!$C$4)-$N195,"")))</f>
        <v/>
      </c>
      <c r="Q195" s="45" t="str">
        <f aca="false">IFERROR(MATCH(193,'Lançar Resultado'!$Q$3:$Q$2002,0),"")</f>
        <v/>
      </c>
    </row>
    <row r="196" customFormat="false" ht="18" hidden="false" customHeight="true" outlineLevel="0" collapsed="false">
      <c r="A196" s="39" t="n">
        <v>194</v>
      </c>
      <c r="B196" s="47" t="str">
        <f aca="false">IF($Q196="","",INDEX('Lançar Resultado'!$A$3:$A$2002,$Q196))</f>
        <v/>
      </c>
      <c r="C196" s="44" t="str">
        <f aca="false">IF($Q196="","",INDEX('Lançar Resultado'!$B$3:$B$2002,$Q196))</f>
        <v/>
      </c>
      <c r="D196" s="46" t="str">
        <f aca="false">IF($Q196="","",IF(SUMPRODUCT((Inspeções!$B$3:$B$122=$B196)*(Inspeções!$A$3:$A$122=$C196)*(ROW(Inspeções!$B$3:$B$122)-3+1))=0,"",INDEX(Inspeções!$C$3:$C$122,SUMPRODUCT((Inspeções!$B$3:$B$122=$B196)*(Inspeções!$A$3:$A$122=$C196)*(ROW(Inspeções!$B$3:$B$122)-3+1)))))</f>
        <v/>
      </c>
      <c r="E196" s="47" t="str">
        <f aca="false">IF($Q196="","",INDEX('Lançar Resultado'!$C$3:$C$2002,$Q196))</f>
        <v/>
      </c>
      <c r="F196" s="47" t="str">
        <f aca="false">IF($Q196="","",IFERROR(INDEX(Equipamentos!$E$3:$E$52,MATCH($B196,Equipamentos!$A$3:$A$52,0)),""))</f>
        <v/>
      </c>
      <c r="G196" s="47" t="str">
        <f aca="false">IF($Q196="","",INDEX('Lançar Resultado'!$D$3:$D$2002,$Q196))</f>
        <v/>
      </c>
      <c r="H196" s="47" t="str">
        <f aca="false">IF($Q196="","",INDEX('Lançar Resultado'!$E$3:$E$2002,$Q196))</f>
        <v/>
      </c>
      <c r="I196" s="46" t="str">
        <f aca="false">IF($Q196="","",INDEX('Lançar Resultado'!$G$3:$G$2002,$Q196))</f>
        <v/>
      </c>
      <c r="J196" s="45" t="str">
        <f aca="false">IF($Q196="","",INDEX('Lançar Resultado'!$P$3:$P$2002,$Q196))</f>
        <v/>
      </c>
      <c r="K196" s="46" t="str">
        <f aca="false">IF($Q196="","",INDEX('Lançar Resultado'!$N$3:$N$2002,$Q196))</f>
        <v/>
      </c>
      <c r="L196" s="47" t="str">
        <f aca="false">IF($Q196="","",INDEX('Lançar Resultado'!$I$3:$I$2002,$Q196))</f>
        <v/>
      </c>
      <c r="M196" s="47" t="str">
        <f aca="false">IF($Q196="","",INDEX('Lançar Resultado'!$J$3:$J$2002,$Q196))</f>
        <v/>
      </c>
      <c r="N196" s="44" t="str">
        <f aca="false">IF($Q196="","",INDEX('Lançar Resultado'!$K$3:$K$2002,$Q196))</f>
        <v/>
      </c>
      <c r="O196" s="46" t="str">
        <f aca="false">IF($Q196="","",INDEX('Lançar Resultado'!$L$3:$L$2002,$Q196))</f>
        <v/>
      </c>
      <c r="P196" s="45" t="str">
        <f aca="false">IF($Q196="","",IF(OR($O196="Concluída",$N196=""),"",IF($N196&lt;INT(Parâmetros!$C$4),INT(Parâmetros!$C$4)-$N196,"")))</f>
        <v/>
      </c>
      <c r="Q196" s="45" t="str">
        <f aca="false">IFERROR(MATCH(194,'Lançar Resultado'!$Q$3:$Q$2002,0),"")</f>
        <v/>
      </c>
    </row>
    <row r="197" customFormat="false" ht="18" hidden="false" customHeight="true" outlineLevel="0" collapsed="false">
      <c r="A197" s="39" t="n">
        <v>195</v>
      </c>
      <c r="B197" s="47" t="str">
        <f aca="false">IF($Q197="","",INDEX('Lançar Resultado'!$A$3:$A$2002,$Q197))</f>
        <v/>
      </c>
      <c r="C197" s="44" t="str">
        <f aca="false">IF($Q197="","",INDEX('Lançar Resultado'!$B$3:$B$2002,$Q197))</f>
        <v/>
      </c>
      <c r="D197" s="46" t="str">
        <f aca="false">IF($Q197="","",IF(SUMPRODUCT((Inspeções!$B$3:$B$122=$B197)*(Inspeções!$A$3:$A$122=$C197)*(ROW(Inspeções!$B$3:$B$122)-3+1))=0,"",INDEX(Inspeções!$C$3:$C$122,SUMPRODUCT((Inspeções!$B$3:$B$122=$B197)*(Inspeções!$A$3:$A$122=$C197)*(ROW(Inspeções!$B$3:$B$122)-3+1)))))</f>
        <v/>
      </c>
      <c r="E197" s="47" t="str">
        <f aca="false">IF($Q197="","",INDEX('Lançar Resultado'!$C$3:$C$2002,$Q197))</f>
        <v/>
      </c>
      <c r="F197" s="47" t="str">
        <f aca="false">IF($Q197="","",IFERROR(INDEX(Equipamentos!$E$3:$E$52,MATCH($B197,Equipamentos!$A$3:$A$52,0)),""))</f>
        <v/>
      </c>
      <c r="G197" s="47" t="str">
        <f aca="false">IF($Q197="","",INDEX('Lançar Resultado'!$D$3:$D$2002,$Q197))</f>
        <v/>
      </c>
      <c r="H197" s="47" t="str">
        <f aca="false">IF($Q197="","",INDEX('Lançar Resultado'!$E$3:$E$2002,$Q197))</f>
        <v/>
      </c>
      <c r="I197" s="46" t="str">
        <f aca="false">IF($Q197="","",INDEX('Lançar Resultado'!$G$3:$G$2002,$Q197))</f>
        <v/>
      </c>
      <c r="J197" s="45" t="str">
        <f aca="false">IF($Q197="","",INDEX('Lançar Resultado'!$P$3:$P$2002,$Q197))</f>
        <v/>
      </c>
      <c r="K197" s="46" t="str">
        <f aca="false">IF($Q197="","",INDEX('Lançar Resultado'!$N$3:$N$2002,$Q197))</f>
        <v/>
      </c>
      <c r="L197" s="47" t="str">
        <f aca="false">IF($Q197="","",INDEX('Lançar Resultado'!$I$3:$I$2002,$Q197))</f>
        <v/>
      </c>
      <c r="M197" s="47" t="str">
        <f aca="false">IF($Q197="","",INDEX('Lançar Resultado'!$J$3:$J$2002,$Q197))</f>
        <v/>
      </c>
      <c r="N197" s="44" t="str">
        <f aca="false">IF($Q197="","",INDEX('Lançar Resultado'!$K$3:$K$2002,$Q197))</f>
        <v/>
      </c>
      <c r="O197" s="46" t="str">
        <f aca="false">IF($Q197="","",INDEX('Lançar Resultado'!$L$3:$L$2002,$Q197))</f>
        <v/>
      </c>
      <c r="P197" s="45" t="str">
        <f aca="false">IF($Q197="","",IF(OR($O197="Concluída",$N197=""),"",IF($N197&lt;INT(Parâmetros!$C$4),INT(Parâmetros!$C$4)-$N197,"")))</f>
        <v/>
      </c>
      <c r="Q197" s="45" t="str">
        <f aca="false">IFERROR(MATCH(195,'Lançar Resultado'!$Q$3:$Q$2002,0),"")</f>
        <v/>
      </c>
    </row>
    <row r="198" customFormat="false" ht="18" hidden="false" customHeight="true" outlineLevel="0" collapsed="false">
      <c r="A198" s="39" t="n">
        <v>196</v>
      </c>
      <c r="B198" s="47" t="str">
        <f aca="false">IF($Q198="","",INDEX('Lançar Resultado'!$A$3:$A$2002,$Q198))</f>
        <v/>
      </c>
      <c r="C198" s="44" t="str">
        <f aca="false">IF($Q198="","",INDEX('Lançar Resultado'!$B$3:$B$2002,$Q198))</f>
        <v/>
      </c>
      <c r="D198" s="46" t="str">
        <f aca="false">IF($Q198="","",IF(SUMPRODUCT((Inspeções!$B$3:$B$122=$B198)*(Inspeções!$A$3:$A$122=$C198)*(ROW(Inspeções!$B$3:$B$122)-3+1))=0,"",INDEX(Inspeções!$C$3:$C$122,SUMPRODUCT((Inspeções!$B$3:$B$122=$B198)*(Inspeções!$A$3:$A$122=$C198)*(ROW(Inspeções!$B$3:$B$122)-3+1)))))</f>
        <v/>
      </c>
      <c r="E198" s="47" t="str">
        <f aca="false">IF($Q198="","",INDEX('Lançar Resultado'!$C$3:$C$2002,$Q198))</f>
        <v/>
      </c>
      <c r="F198" s="47" t="str">
        <f aca="false">IF($Q198="","",IFERROR(INDEX(Equipamentos!$E$3:$E$52,MATCH($B198,Equipamentos!$A$3:$A$52,0)),""))</f>
        <v/>
      </c>
      <c r="G198" s="47" t="str">
        <f aca="false">IF($Q198="","",INDEX('Lançar Resultado'!$D$3:$D$2002,$Q198))</f>
        <v/>
      </c>
      <c r="H198" s="47" t="str">
        <f aca="false">IF($Q198="","",INDEX('Lançar Resultado'!$E$3:$E$2002,$Q198))</f>
        <v/>
      </c>
      <c r="I198" s="46" t="str">
        <f aca="false">IF($Q198="","",INDEX('Lançar Resultado'!$G$3:$G$2002,$Q198))</f>
        <v/>
      </c>
      <c r="J198" s="45" t="str">
        <f aca="false">IF($Q198="","",INDEX('Lançar Resultado'!$P$3:$P$2002,$Q198))</f>
        <v/>
      </c>
      <c r="K198" s="46" t="str">
        <f aca="false">IF($Q198="","",INDEX('Lançar Resultado'!$N$3:$N$2002,$Q198))</f>
        <v/>
      </c>
      <c r="L198" s="47" t="str">
        <f aca="false">IF($Q198="","",INDEX('Lançar Resultado'!$I$3:$I$2002,$Q198))</f>
        <v/>
      </c>
      <c r="M198" s="47" t="str">
        <f aca="false">IF($Q198="","",INDEX('Lançar Resultado'!$J$3:$J$2002,$Q198))</f>
        <v/>
      </c>
      <c r="N198" s="44" t="str">
        <f aca="false">IF($Q198="","",INDEX('Lançar Resultado'!$K$3:$K$2002,$Q198))</f>
        <v/>
      </c>
      <c r="O198" s="46" t="str">
        <f aca="false">IF($Q198="","",INDEX('Lançar Resultado'!$L$3:$L$2002,$Q198))</f>
        <v/>
      </c>
      <c r="P198" s="45" t="str">
        <f aca="false">IF($Q198="","",IF(OR($O198="Concluída",$N198=""),"",IF($N198&lt;INT(Parâmetros!$C$4),INT(Parâmetros!$C$4)-$N198,"")))</f>
        <v/>
      </c>
      <c r="Q198" s="45" t="str">
        <f aca="false">IFERROR(MATCH(196,'Lançar Resultado'!$Q$3:$Q$2002,0),"")</f>
        <v/>
      </c>
    </row>
    <row r="199" customFormat="false" ht="18" hidden="false" customHeight="true" outlineLevel="0" collapsed="false">
      <c r="A199" s="39" t="n">
        <v>197</v>
      </c>
      <c r="B199" s="47" t="str">
        <f aca="false">IF($Q199="","",INDEX('Lançar Resultado'!$A$3:$A$2002,$Q199))</f>
        <v/>
      </c>
      <c r="C199" s="44" t="str">
        <f aca="false">IF($Q199="","",INDEX('Lançar Resultado'!$B$3:$B$2002,$Q199))</f>
        <v/>
      </c>
      <c r="D199" s="46" t="str">
        <f aca="false">IF($Q199="","",IF(SUMPRODUCT((Inspeções!$B$3:$B$122=$B199)*(Inspeções!$A$3:$A$122=$C199)*(ROW(Inspeções!$B$3:$B$122)-3+1))=0,"",INDEX(Inspeções!$C$3:$C$122,SUMPRODUCT((Inspeções!$B$3:$B$122=$B199)*(Inspeções!$A$3:$A$122=$C199)*(ROW(Inspeções!$B$3:$B$122)-3+1)))))</f>
        <v/>
      </c>
      <c r="E199" s="47" t="str">
        <f aca="false">IF($Q199="","",INDEX('Lançar Resultado'!$C$3:$C$2002,$Q199))</f>
        <v/>
      </c>
      <c r="F199" s="47" t="str">
        <f aca="false">IF($Q199="","",IFERROR(INDEX(Equipamentos!$E$3:$E$52,MATCH($B199,Equipamentos!$A$3:$A$52,0)),""))</f>
        <v/>
      </c>
      <c r="G199" s="47" t="str">
        <f aca="false">IF($Q199="","",INDEX('Lançar Resultado'!$D$3:$D$2002,$Q199))</f>
        <v/>
      </c>
      <c r="H199" s="47" t="str">
        <f aca="false">IF($Q199="","",INDEX('Lançar Resultado'!$E$3:$E$2002,$Q199))</f>
        <v/>
      </c>
      <c r="I199" s="46" t="str">
        <f aca="false">IF($Q199="","",INDEX('Lançar Resultado'!$G$3:$G$2002,$Q199))</f>
        <v/>
      </c>
      <c r="J199" s="45" t="str">
        <f aca="false">IF($Q199="","",INDEX('Lançar Resultado'!$P$3:$P$2002,$Q199))</f>
        <v/>
      </c>
      <c r="K199" s="46" t="str">
        <f aca="false">IF($Q199="","",INDEX('Lançar Resultado'!$N$3:$N$2002,$Q199))</f>
        <v/>
      </c>
      <c r="L199" s="47" t="str">
        <f aca="false">IF($Q199="","",INDEX('Lançar Resultado'!$I$3:$I$2002,$Q199))</f>
        <v/>
      </c>
      <c r="M199" s="47" t="str">
        <f aca="false">IF($Q199="","",INDEX('Lançar Resultado'!$J$3:$J$2002,$Q199))</f>
        <v/>
      </c>
      <c r="N199" s="44" t="str">
        <f aca="false">IF($Q199="","",INDEX('Lançar Resultado'!$K$3:$K$2002,$Q199))</f>
        <v/>
      </c>
      <c r="O199" s="46" t="str">
        <f aca="false">IF($Q199="","",INDEX('Lançar Resultado'!$L$3:$L$2002,$Q199))</f>
        <v/>
      </c>
      <c r="P199" s="45" t="str">
        <f aca="false">IF($Q199="","",IF(OR($O199="Concluída",$N199=""),"",IF($N199&lt;INT(Parâmetros!$C$4),INT(Parâmetros!$C$4)-$N199,"")))</f>
        <v/>
      </c>
      <c r="Q199" s="45" t="str">
        <f aca="false">IFERROR(MATCH(197,'Lançar Resultado'!$Q$3:$Q$2002,0),"")</f>
        <v/>
      </c>
    </row>
    <row r="200" customFormat="false" ht="18" hidden="false" customHeight="true" outlineLevel="0" collapsed="false">
      <c r="A200" s="39" t="n">
        <v>198</v>
      </c>
      <c r="B200" s="47" t="str">
        <f aca="false">IF($Q200="","",INDEX('Lançar Resultado'!$A$3:$A$2002,$Q200))</f>
        <v/>
      </c>
      <c r="C200" s="44" t="str">
        <f aca="false">IF($Q200="","",INDEX('Lançar Resultado'!$B$3:$B$2002,$Q200))</f>
        <v/>
      </c>
      <c r="D200" s="46" t="str">
        <f aca="false">IF($Q200="","",IF(SUMPRODUCT((Inspeções!$B$3:$B$122=$B200)*(Inspeções!$A$3:$A$122=$C200)*(ROW(Inspeções!$B$3:$B$122)-3+1))=0,"",INDEX(Inspeções!$C$3:$C$122,SUMPRODUCT((Inspeções!$B$3:$B$122=$B200)*(Inspeções!$A$3:$A$122=$C200)*(ROW(Inspeções!$B$3:$B$122)-3+1)))))</f>
        <v/>
      </c>
      <c r="E200" s="47" t="str">
        <f aca="false">IF($Q200="","",INDEX('Lançar Resultado'!$C$3:$C$2002,$Q200))</f>
        <v/>
      </c>
      <c r="F200" s="47" t="str">
        <f aca="false">IF($Q200="","",IFERROR(INDEX(Equipamentos!$E$3:$E$52,MATCH($B200,Equipamentos!$A$3:$A$52,0)),""))</f>
        <v/>
      </c>
      <c r="G200" s="47" t="str">
        <f aca="false">IF($Q200="","",INDEX('Lançar Resultado'!$D$3:$D$2002,$Q200))</f>
        <v/>
      </c>
      <c r="H200" s="47" t="str">
        <f aca="false">IF($Q200="","",INDEX('Lançar Resultado'!$E$3:$E$2002,$Q200))</f>
        <v/>
      </c>
      <c r="I200" s="46" t="str">
        <f aca="false">IF($Q200="","",INDEX('Lançar Resultado'!$G$3:$G$2002,$Q200))</f>
        <v/>
      </c>
      <c r="J200" s="45" t="str">
        <f aca="false">IF($Q200="","",INDEX('Lançar Resultado'!$P$3:$P$2002,$Q200))</f>
        <v/>
      </c>
      <c r="K200" s="46" t="str">
        <f aca="false">IF($Q200="","",INDEX('Lançar Resultado'!$N$3:$N$2002,$Q200))</f>
        <v/>
      </c>
      <c r="L200" s="47" t="str">
        <f aca="false">IF($Q200="","",INDEX('Lançar Resultado'!$I$3:$I$2002,$Q200))</f>
        <v/>
      </c>
      <c r="M200" s="47" t="str">
        <f aca="false">IF($Q200="","",INDEX('Lançar Resultado'!$J$3:$J$2002,$Q200))</f>
        <v/>
      </c>
      <c r="N200" s="44" t="str">
        <f aca="false">IF($Q200="","",INDEX('Lançar Resultado'!$K$3:$K$2002,$Q200))</f>
        <v/>
      </c>
      <c r="O200" s="46" t="str">
        <f aca="false">IF($Q200="","",INDEX('Lançar Resultado'!$L$3:$L$2002,$Q200))</f>
        <v/>
      </c>
      <c r="P200" s="45" t="str">
        <f aca="false">IF($Q200="","",IF(OR($O200="Concluída",$N200=""),"",IF($N200&lt;INT(Parâmetros!$C$4),INT(Parâmetros!$C$4)-$N200,"")))</f>
        <v/>
      </c>
      <c r="Q200" s="45" t="str">
        <f aca="false">IFERROR(MATCH(198,'Lançar Resultado'!$Q$3:$Q$2002,0),"")</f>
        <v/>
      </c>
    </row>
    <row r="201" customFormat="false" ht="18" hidden="false" customHeight="true" outlineLevel="0" collapsed="false">
      <c r="A201" s="39" t="n">
        <v>199</v>
      </c>
      <c r="B201" s="47" t="str">
        <f aca="false">IF($Q201="","",INDEX('Lançar Resultado'!$A$3:$A$2002,$Q201))</f>
        <v/>
      </c>
      <c r="C201" s="44" t="str">
        <f aca="false">IF($Q201="","",INDEX('Lançar Resultado'!$B$3:$B$2002,$Q201))</f>
        <v/>
      </c>
      <c r="D201" s="46" t="str">
        <f aca="false">IF($Q201="","",IF(SUMPRODUCT((Inspeções!$B$3:$B$122=$B201)*(Inspeções!$A$3:$A$122=$C201)*(ROW(Inspeções!$B$3:$B$122)-3+1))=0,"",INDEX(Inspeções!$C$3:$C$122,SUMPRODUCT((Inspeções!$B$3:$B$122=$B201)*(Inspeções!$A$3:$A$122=$C201)*(ROW(Inspeções!$B$3:$B$122)-3+1)))))</f>
        <v/>
      </c>
      <c r="E201" s="47" t="str">
        <f aca="false">IF($Q201="","",INDEX('Lançar Resultado'!$C$3:$C$2002,$Q201))</f>
        <v/>
      </c>
      <c r="F201" s="47" t="str">
        <f aca="false">IF($Q201="","",IFERROR(INDEX(Equipamentos!$E$3:$E$52,MATCH($B201,Equipamentos!$A$3:$A$52,0)),""))</f>
        <v/>
      </c>
      <c r="G201" s="47" t="str">
        <f aca="false">IF($Q201="","",INDEX('Lançar Resultado'!$D$3:$D$2002,$Q201))</f>
        <v/>
      </c>
      <c r="H201" s="47" t="str">
        <f aca="false">IF($Q201="","",INDEX('Lançar Resultado'!$E$3:$E$2002,$Q201))</f>
        <v/>
      </c>
      <c r="I201" s="46" t="str">
        <f aca="false">IF($Q201="","",INDEX('Lançar Resultado'!$G$3:$G$2002,$Q201))</f>
        <v/>
      </c>
      <c r="J201" s="45" t="str">
        <f aca="false">IF($Q201="","",INDEX('Lançar Resultado'!$P$3:$P$2002,$Q201))</f>
        <v/>
      </c>
      <c r="K201" s="46" t="str">
        <f aca="false">IF($Q201="","",INDEX('Lançar Resultado'!$N$3:$N$2002,$Q201))</f>
        <v/>
      </c>
      <c r="L201" s="47" t="str">
        <f aca="false">IF($Q201="","",INDEX('Lançar Resultado'!$I$3:$I$2002,$Q201))</f>
        <v/>
      </c>
      <c r="M201" s="47" t="str">
        <f aca="false">IF($Q201="","",INDEX('Lançar Resultado'!$J$3:$J$2002,$Q201))</f>
        <v/>
      </c>
      <c r="N201" s="44" t="str">
        <f aca="false">IF($Q201="","",INDEX('Lançar Resultado'!$K$3:$K$2002,$Q201))</f>
        <v/>
      </c>
      <c r="O201" s="46" t="str">
        <f aca="false">IF($Q201="","",INDEX('Lançar Resultado'!$L$3:$L$2002,$Q201))</f>
        <v/>
      </c>
      <c r="P201" s="45" t="str">
        <f aca="false">IF($Q201="","",IF(OR($O201="Concluída",$N201=""),"",IF($N201&lt;INT(Parâmetros!$C$4),INT(Parâmetros!$C$4)-$N201,"")))</f>
        <v/>
      </c>
      <c r="Q201" s="45" t="str">
        <f aca="false">IFERROR(MATCH(199,'Lançar Resultado'!$Q$3:$Q$2002,0),"")</f>
        <v/>
      </c>
    </row>
    <row r="202" customFormat="false" ht="18" hidden="false" customHeight="true" outlineLevel="0" collapsed="false">
      <c r="A202" s="39" t="n">
        <v>200</v>
      </c>
      <c r="B202" s="47" t="str">
        <f aca="false">IF($Q202="","",INDEX('Lançar Resultado'!$A$3:$A$2002,$Q202))</f>
        <v/>
      </c>
      <c r="C202" s="44" t="str">
        <f aca="false">IF($Q202="","",INDEX('Lançar Resultado'!$B$3:$B$2002,$Q202))</f>
        <v/>
      </c>
      <c r="D202" s="46" t="str">
        <f aca="false">IF($Q202="","",IF(SUMPRODUCT((Inspeções!$B$3:$B$122=$B202)*(Inspeções!$A$3:$A$122=$C202)*(ROW(Inspeções!$B$3:$B$122)-3+1))=0,"",INDEX(Inspeções!$C$3:$C$122,SUMPRODUCT((Inspeções!$B$3:$B$122=$B202)*(Inspeções!$A$3:$A$122=$C202)*(ROW(Inspeções!$B$3:$B$122)-3+1)))))</f>
        <v/>
      </c>
      <c r="E202" s="47" t="str">
        <f aca="false">IF($Q202="","",INDEX('Lançar Resultado'!$C$3:$C$2002,$Q202))</f>
        <v/>
      </c>
      <c r="F202" s="47" t="str">
        <f aca="false">IF($Q202="","",IFERROR(INDEX(Equipamentos!$E$3:$E$52,MATCH($B202,Equipamentos!$A$3:$A$52,0)),""))</f>
        <v/>
      </c>
      <c r="G202" s="47" t="str">
        <f aca="false">IF($Q202="","",INDEX('Lançar Resultado'!$D$3:$D$2002,$Q202))</f>
        <v/>
      </c>
      <c r="H202" s="47" t="str">
        <f aca="false">IF($Q202="","",INDEX('Lançar Resultado'!$E$3:$E$2002,$Q202))</f>
        <v/>
      </c>
      <c r="I202" s="46" t="str">
        <f aca="false">IF($Q202="","",INDEX('Lançar Resultado'!$G$3:$G$2002,$Q202))</f>
        <v/>
      </c>
      <c r="J202" s="45" t="str">
        <f aca="false">IF($Q202="","",INDEX('Lançar Resultado'!$P$3:$P$2002,$Q202))</f>
        <v/>
      </c>
      <c r="K202" s="46" t="str">
        <f aca="false">IF($Q202="","",INDEX('Lançar Resultado'!$N$3:$N$2002,$Q202))</f>
        <v/>
      </c>
      <c r="L202" s="47" t="str">
        <f aca="false">IF($Q202="","",INDEX('Lançar Resultado'!$I$3:$I$2002,$Q202))</f>
        <v/>
      </c>
      <c r="M202" s="47" t="str">
        <f aca="false">IF($Q202="","",INDEX('Lançar Resultado'!$J$3:$J$2002,$Q202))</f>
        <v/>
      </c>
      <c r="N202" s="44" t="str">
        <f aca="false">IF($Q202="","",INDEX('Lançar Resultado'!$K$3:$K$2002,$Q202))</f>
        <v/>
      </c>
      <c r="O202" s="46" t="str">
        <f aca="false">IF($Q202="","",INDEX('Lançar Resultado'!$L$3:$L$2002,$Q202))</f>
        <v/>
      </c>
      <c r="P202" s="45" t="str">
        <f aca="false">IF($Q202="","",IF(OR($O202="Concluída",$N202=""),"",IF($N202&lt;INT(Parâmetros!$C$4),INT(Parâmetros!$C$4)-$N202,"")))</f>
        <v/>
      </c>
      <c r="Q202" s="45" t="str">
        <f aca="false">IFERROR(MATCH(200,'Lançar Resultado'!$Q$3:$Q$2002,0),"")</f>
        <v/>
      </c>
    </row>
    <row r="203" customFormat="false" ht="18" hidden="false" customHeight="true" outlineLevel="0" collapsed="false">
      <c r="A203" s="39" t="n">
        <v>201</v>
      </c>
      <c r="B203" s="47" t="str">
        <f aca="false">IF($Q203="","",INDEX('Lançar Resultado'!$A$3:$A$2002,$Q203))</f>
        <v/>
      </c>
      <c r="C203" s="44" t="str">
        <f aca="false">IF($Q203="","",INDEX('Lançar Resultado'!$B$3:$B$2002,$Q203))</f>
        <v/>
      </c>
      <c r="D203" s="46" t="str">
        <f aca="false">IF($Q203="","",IF(SUMPRODUCT((Inspeções!$B$3:$B$122=$B203)*(Inspeções!$A$3:$A$122=$C203)*(ROW(Inspeções!$B$3:$B$122)-3+1))=0,"",INDEX(Inspeções!$C$3:$C$122,SUMPRODUCT((Inspeções!$B$3:$B$122=$B203)*(Inspeções!$A$3:$A$122=$C203)*(ROW(Inspeções!$B$3:$B$122)-3+1)))))</f>
        <v/>
      </c>
      <c r="E203" s="47" t="str">
        <f aca="false">IF($Q203="","",INDEX('Lançar Resultado'!$C$3:$C$2002,$Q203))</f>
        <v/>
      </c>
      <c r="F203" s="47" t="str">
        <f aca="false">IF($Q203="","",IFERROR(INDEX(Equipamentos!$E$3:$E$52,MATCH($B203,Equipamentos!$A$3:$A$52,0)),""))</f>
        <v/>
      </c>
      <c r="G203" s="47" t="str">
        <f aca="false">IF($Q203="","",INDEX('Lançar Resultado'!$D$3:$D$2002,$Q203))</f>
        <v/>
      </c>
      <c r="H203" s="47" t="str">
        <f aca="false">IF($Q203="","",INDEX('Lançar Resultado'!$E$3:$E$2002,$Q203))</f>
        <v/>
      </c>
      <c r="I203" s="46" t="str">
        <f aca="false">IF($Q203="","",INDEX('Lançar Resultado'!$G$3:$G$2002,$Q203))</f>
        <v/>
      </c>
      <c r="J203" s="45" t="str">
        <f aca="false">IF($Q203="","",INDEX('Lançar Resultado'!$P$3:$P$2002,$Q203))</f>
        <v/>
      </c>
      <c r="K203" s="46" t="str">
        <f aca="false">IF($Q203="","",INDEX('Lançar Resultado'!$N$3:$N$2002,$Q203))</f>
        <v/>
      </c>
      <c r="L203" s="47" t="str">
        <f aca="false">IF($Q203="","",INDEX('Lançar Resultado'!$I$3:$I$2002,$Q203))</f>
        <v/>
      </c>
      <c r="M203" s="47" t="str">
        <f aca="false">IF($Q203="","",INDEX('Lançar Resultado'!$J$3:$J$2002,$Q203))</f>
        <v/>
      </c>
      <c r="N203" s="44" t="str">
        <f aca="false">IF($Q203="","",INDEX('Lançar Resultado'!$K$3:$K$2002,$Q203))</f>
        <v/>
      </c>
      <c r="O203" s="46" t="str">
        <f aca="false">IF($Q203="","",INDEX('Lançar Resultado'!$L$3:$L$2002,$Q203))</f>
        <v/>
      </c>
      <c r="P203" s="45" t="str">
        <f aca="false">IF($Q203="","",IF(OR($O203="Concluída",$N203=""),"",IF($N203&lt;INT(Parâmetros!$C$4),INT(Parâmetros!$C$4)-$N203,"")))</f>
        <v/>
      </c>
      <c r="Q203" s="45" t="str">
        <f aca="false">IFERROR(MATCH(201,'Lançar Resultado'!$Q$3:$Q$2002,0),"")</f>
        <v/>
      </c>
    </row>
    <row r="204" customFormat="false" ht="18" hidden="false" customHeight="true" outlineLevel="0" collapsed="false">
      <c r="A204" s="39" t="n">
        <v>202</v>
      </c>
      <c r="B204" s="47" t="str">
        <f aca="false">IF($Q204="","",INDEX('Lançar Resultado'!$A$3:$A$2002,$Q204))</f>
        <v/>
      </c>
      <c r="C204" s="44" t="str">
        <f aca="false">IF($Q204="","",INDEX('Lançar Resultado'!$B$3:$B$2002,$Q204))</f>
        <v/>
      </c>
      <c r="D204" s="46" t="str">
        <f aca="false">IF($Q204="","",IF(SUMPRODUCT((Inspeções!$B$3:$B$122=$B204)*(Inspeções!$A$3:$A$122=$C204)*(ROW(Inspeções!$B$3:$B$122)-3+1))=0,"",INDEX(Inspeções!$C$3:$C$122,SUMPRODUCT((Inspeções!$B$3:$B$122=$B204)*(Inspeções!$A$3:$A$122=$C204)*(ROW(Inspeções!$B$3:$B$122)-3+1)))))</f>
        <v/>
      </c>
      <c r="E204" s="47" t="str">
        <f aca="false">IF($Q204="","",INDEX('Lançar Resultado'!$C$3:$C$2002,$Q204))</f>
        <v/>
      </c>
      <c r="F204" s="47" t="str">
        <f aca="false">IF($Q204="","",IFERROR(INDEX(Equipamentos!$E$3:$E$52,MATCH($B204,Equipamentos!$A$3:$A$52,0)),""))</f>
        <v/>
      </c>
      <c r="G204" s="47" t="str">
        <f aca="false">IF($Q204="","",INDEX('Lançar Resultado'!$D$3:$D$2002,$Q204))</f>
        <v/>
      </c>
      <c r="H204" s="47" t="str">
        <f aca="false">IF($Q204="","",INDEX('Lançar Resultado'!$E$3:$E$2002,$Q204))</f>
        <v/>
      </c>
      <c r="I204" s="46" t="str">
        <f aca="false">IF($Q204="","",INDEX('Lançar Resultado'!$G$3:$G$2002,$Q204))</f>
        <v/>
      </c>
      <c r="J204" s="45" t="str">
        <f aca="false">IF($Q204="","",INDEX('Lançar Resultado'!$P$3:$P$2002,$Q204))</f>
        <v/>
      </c>
      <c r="K204" s="46" t="str">
        <f aca="false">IF($Q204="","",INDEX('Lançar Resultado'!$N$3:$N$2002,$Q204))</f>
        <v/>
      </c>
      <c r="L204" s="47" t="str">
        <f aca="false">IF($Q204="","",INDEX('Lançar Resultado'!$I$3:$I$2002,$Q204))</f>
        <v/>
      </c>
      <c r="M204" s="47" t="str">
        <f aca="false">IF($Q204="","",INDEX('Lançar Resultado'!$J$3:$J$2002,$Q204))</f>
        <v/>
      </c>
      <c r="N204" s="44" t="str">
        <f aca="false">IF($Q204="","",INDEX('Lançar Resultado'!$K$3:$K$2002,$Q204))</f>
        <v/>
      </c>
      <c r="O204" s="46" t="str">
        <f aca="false">IF($Q204="","",INDEX('Lançar Resultado'!$L$3:$L$2002,$Q204))</f>
        <v/>
      </c>
      <c r="P204" s="45" t="str">
        <f aca="false">IF($Q204="","",IF(OR($O204="Concluída",$N204=""),"",IF($N204&lt;INT(Parâmetros!$C$4),INT(Parâmetros!$C$4)-$N204,"")))</f>
        <v/>
      </c>
      <c r="Q204" s="45" t="str">
        <f aca="false">IFERROR(MATCH(202,'Lançar Resultado'!$Q$3:$Q$2002,0),"")</f>
        <v/>
      </c>
    </row>
    <row r="205" customFormat="false" ht="18" hidden="false" customHeight="true" outlineLevel="0" collapsed="false">
      <c r="A205" s="39" t="n">
        <v>203</v>
      </c>
      <c r="B205" s="47" t="str">
        <f aca="false">IF($Q205="","",INDEX('Lançar Resultado'!$A$3:$A$2002,$Q205))</f>
        <v/>
      </c>
      <c r="C205" s="44" t="str">
        <f aca="false">IF($Q205="","",INDEX('Lançar Resultado'!$B$3:$B$2002,$Q205))</f>
        <v/>
      </c>
      <c r="D205" s="46" t="str">
        <f aca="false">IF($Q205="","",IF(SUMPRODUCT((Inspeções!$B$3:$B$122=$B205)*(Inspeções!$A$3:$A$122=$C205)*(ROW(Inspeções!$B$3:$B$122)-3+1))=0,"",INDEX(Inspeções!$C$3:$C$122,SUMPRODUCT((Inspeções!$B$3:$B$122=$B205)*(Inspeções!$A$3:$A$122=$C205)*(ROW(Inspeções!$B$3:$B$122)-3+1)))))</f>
        <v/>
      </c>
      <c r="E205" s="47" t="str">
        <f aca="false">IF($Q205="","",INDEX('Lançar Resultado'!$C$3:$C$2002,$Q205))</f>
        <v/>
      </c>
      <c r="F205" s="47" t="str">
        <f aca="false">IF($Q205="","",IFERROR(INDEX(Equipamentos!$E$3:$E$52,MATCH($B205,Equipamentos!$A$3:$A$52,0)),""))</f>
        <v/>
      </c>
      <c r="G205" s="47" t="str">
        <f aca="false">IF($Q205="","",INDEX('Lançar Resultado'!$D$3:$D$2002,$Q205))</f>
        <v/>
      </c>
      <c r="H205" s="47" t="str">
        <f aca="false">IF($Q205="","",INDEX('Lançar Resultado'!$E$3:$E$2002,$Q205))</f>
        <v/>
      </c>
      <c r="I205" s="46" t="str">
        <f aca="false">IF($Q205="","",INDEX('Lançar Resultado'!$G$3:$G$2002,$Q205))</f>
        <v/>
      </c>
      <c r="J205" s="45" t="str">
        <f aca="false">IF($Q205="","",INDEX('Lançar Resultado'!$P$3:$P$2002,$Q205))</f>
        <v/>
      </c>
      <c r="K205" s="46" t="str">
        <f aca="false">IF($Q205="","",INDEX('Lançar Resultado'!$N$3:$N$2002,$Q205))</f>
        <v/>
      </c>
      <c r="L205" s="47" t="str">
        <f aca="false">IF($Q205="","",INDEX('Lançar Resultado'!$I$3:$I$2002,$Q205))</f>
        <v/>
      </c>
      <c r="M205" s="47" t="str">
        <f aca="false">IF($Q205="","",INDEX('Lançar Resultado'!$J$3:$J$2002,$Q205))</f>
        <v/>
      </c>
      <c r="N205" s="44" t="str">
        <f aca="false">IF($Q205="","",INDEX('Lançar Resultado'!$K$3:$K$2002,$Q205))</f>
        <v/>
      </c>
      <c r="O205" s="46" t="str">
        <f aca="false">IF($Q205="","",INDEX('Lançar Resultado'!$L$3:$L$2002,$Q205))</f>
        <v/>
      </c>
      <c r="P205" s="45" t="str">
        <f aca="false">IF($Q205="","",IF(OR($O205="Concluída",$N205=""),"",IF($N205&lt;INT(Parâmetros!$C$4),INT(Parâmetros!$C$4)-$N205,"")))</f>
        <v/>
      </c>
      <c r="Q205" s="45" t="str">
        <f aca="false">IFERROR(MATCH(203,'Lançar Resultado'!$Q$3:$Q$2002,0),"")</f>
        <v/>
      </c>
    </row>
    <row r="206" customFormat="false" ht="18" hidden="false" customHeight="true" outlineLevel="0" collapsed="false">
      <c r="A206" s="39" t="n">
        <v>204</v>
      </c>
      <c r="B206" s="47" t="str">
        <f aca="false">IF($Q206="","",INDEX('Lançar Resultado'!$A$3:$A$2002,$Q206))</f>
        <v/>
      </c>
      <c r="C206" s="44" t="str">
        <f aca="false">IF($Q206="","",INDEX('Lançar Resultado'!$B$3:$B$2002,$Q206))</f>
        <v/>
      </c>
      <c r="D206" s="46" t="str">
        <f aca="false">IF($Q206="","",IF(SUMPRODUCT((Inspeções!$B$3:$B$122=$B206)*(Inspeções!$A$3:$A$122=$C206)*(ROW(Inspeções!$B$3:$B$122)-3+1))=0,"",INDEX(Inspeções!$C$3:$C$122,SUMPRODUCT((Inspeções!$B$3:$B$122=$B206)*(Inspeções!$A$3:$A$122=$C206)*(ROW(Inspeções!$B$3:$B$122)-3+1)))))</f>
        <v/>
      </c>
      <c r="E206" s="47" t="str">
        <f aca="false">IF($Q206="","",INDEX('Lançar Resultado'!$C$3:$C$2002,$Q206))</f>
        <v/>
      </c>
      <c r="F206" s="47" t="str">
        <f aca="false">IF($Q206="","",IFERROR(INDEX(Equipamentos!$E$3:$E$52,MATCH($B206,Equipamentos!$A$3:$A$52,0)),""))</f>
        <v/>
      </c>
      <c r="G206" s="47" t="str">
        <f aca="false">IF($Q206="","",INDEX('Lançar Resultado'!$D$3:$D$2002,$Q206))</f>
        <v/>
      </c>
      <c r="H206" s="47" t="str">
        <f aca="false">IF($Q206="","",INDEX('Lançar Resultado'!$E$3:$E$2002,$Q206))</f>
        <v/>
      </c>
      <c r="I206" s="46" t="str">
        <f aca="false">IF($Q206="","",INDEX('Lançar Resultado'!$G$3:$G$2002,$Q206))</f>
        <v/>
      </c>
      <c r="J206" s="45" t="str">
        <f aca="false">IF($Q206="","",INDEX('Lançar Resultado'!$P$3:$P$2002,$Q206))</f>
        <v/>
      </c>
      <c r="K206" s="46" t="str">
        <f aca="false">IF($Q206="","",INDEX('Lançar Resultado'!$N$3:$N$2002,$Q206))</f>
        <v/>
      </c>
      <c r="L206" s="47" t="str">
        <f aca="false">IF($Q206="","",INDEX('Lançar Resultado'!$I$3:$I$2002,$Q206))</f>
        <v/>
      </c>
      <c r="M206" s="47" t="str">
        <f aca="false">IF($Q206="","",INDEX('Lançar Resultado'!$J$3:$J$2002,$Q206))</f>
        <v/>
      </c>
      <c r="N206" s="44" t="str">
        <f aca="false">IF($Q206="","",INDEX('Lançar Resultado'!$K$3:$K$2002,$Q206))</f>
        <v/>
      </c>
      <c r="O206" s="46" t="str">
        <f aca="false">IF($Q206="","",INDEX('Lançar Resultado'!$L$3:$L$2002,$Q206))</f>
        <v/>
      </c>
      <c r="P206" s="45" t="str">
        <f aca="false">IF($Q206="","",IF(OR($O206="Concluída",$N206=""),"",IF($N206&lt;INT(Parâmetros!$C$4),INT(Parâmetros!$C$4)-$N206,"")))</f>
        <v/>
      </c>
      <c r="Q206" s="45" t="str">
        <f aca="false">IFERROR(MATCH(204,'Lançar Resultado'!$Q$3:$Q$2002,0),"")</f>
        <v/>
      </c>
    </row>
    <row r="207" customFormat="false" ht="18" hidden="false" customHeight="true" outlineLevel="0" collapsed="false">
      <c r="A207" s="39" t="n">
        <v>205</v>
      </c>
      <c r="B207" s="47" t="str">
        <f aca="false">IF($Q207="","",INDEX('Lançar Resultado'!$A$3:$A$2002,$Q207))</f>
        <v/>
      </c>
      <c r="C207" s="44" t="str">
        <f aca="false">IF($Q207="","",INDEX('Lançar Resultado'!$B$3:$B$2002,$Q207))</f>
        <v/>
      </c>
      <c r="D207" s="46" t="str">
        <f aca="false">IF($Q207="","",IF(SUMPRODUCT((Inspeções!$B$3:$B$122=$B207)*(Inspeções!$A$3:$A$122=$C207)*(ROW(Inspeções!$B$3:$B$122)-3+1))=0,"",INDEX(Inspeções!$C$3:$C$122,SUMPRODUCT((Inspeções!$B$3:$B$122=$B207)*(Inspeções!$A$3:$A$122=$C207)*(ROW(Inspeções!$B$3:$B$122)-3+1)))))</f>
        <v/>
      </c>
      <c r="E207" s="47" t="str">
        <f aca="false">IF($Q207="","",INDEX('Lançar Resultado'!$C$3:$C$2002,$Q207))</f>
        <v/>
      </c>
      <c r="F207" s="47" t="str">
        <f aca="false">IF($Q207="","",IFERROR(INDEX(Equipamentos!$E$3:$E$52,MATCH($B207,Equipamentos!$A$3:$A$52,0)),""))</f>
        <v/>
      </c>
      <c r="G207" s="47" t="str">
        <f aca="false">IF($Q207="","",INDEX('Lançar Resultado'!$D$3:$D$2002,$Q207))</f>
        <v/>
      </c>
      <c r="H207" s="47" t="str">
        <f aca="false">IF($Q207="","",INDEX('Lançar Resultado'!$E$3:$E$2002,$Q207))</f>
        <v/>
      </c>
      <c r="I207" s="46" t="str">
        <f aca="false">IF($Q207="","",INDEX('Lançar Resultado'!$G$3:$G$2002,$Q207))</f>
        <v/>
      </c>
      <c r="J207" s="45" t="str">
        <f aca="false">IF($Q207="","",INDEX('Lançar Resultado'!$P$3:$P$2002,$Q207))</f>
        <v/>
      </c>
      <c r="K207" s="46" t="str">
        <f aca="false">IF($Q207="","",INDEX('Lançar Resultado'!$N$3:$N$2002,$Q207))</f>
        <v/>
      </c>
      <c r="L207" s="47" t="str">
        <f aca="false">IF($Q207="","",INDEX('Lançar Resultado'!$I$3:$I$2002,$Q207))</f>
        <v/>
      </c>
      <c r="M207" s="47" t="str">
        <f aca="false">IF($Q207="","",INDEX('Lançar Resultado'!$J$3:$J$2002,$Q207))</f>
        <v/>
      </c>
      <c r="N207" s="44" t="str">
        <f aca="false">IF($Q207="","",INDEX('Lançar Resultado'!$K$3:$K$2002,$Q207))</f>
        <v/>
      </c>
      <c r="O207" s="46" t="str">
        <f aca="false">IF($Q207="","",INDEX('Lançar Resultado'!$L$3:$L$2002,$Q207))</f>
        <v/>
      </c>
      <c r="P207" s="45" t="str">
        <f aca="false">IF($Q207="","",IF(OR($O207="Concluída",$N207=""),"",IF($N207&lt;INT(Parâmetros!$C$4),INT(Parâmetros!$C$4)-$N207,"")))</f>
        <v/>
      </c>
      <c r="Q207" s="45" t="str">
        <f aca="false">IFERROR(MATCH(205,'Lançar Resultado'!$Q$3:$Q$2002,0),"")</f>
        <v/>
      </c>
    </row>
    <row r="208" customFormat="false" ht="18" hidden="false" customHeight="true" outlineLevel="0" collapsed="false">
      <c r="A208" s="39" t="n">
        <v>206</v>
      </c>
      <c r="B208" s="47" t="str">
        <f aca="false">IF($Q208="","",INDEX('Lançar Resultado'!$A$3:$A$2002,$Q208))</f>
        <v/>
      </c>
      <c r="C208" s="44" t="str">
        <f aca="false">IF($Q208="","",INDEX('Lançar Resultado'!$B$3:$B$2002,$Q208))</f>
        <v/>
      </c>
      <c r="D208" s="46" t="str">
        <f aca="false">IF($Q208="","",IF(SUMPRODUCT((Inspeções!$B$3:$B$122=$B208)*(Inspeções!$A$3:$A$122=$C208)*(ROW(Inspeções!$B$3:$B$122)-3+1))=0,"",INDEX(Inspeções!$C$3:$C$122,SUMPRODUCT((Inspeções!$B$3:$B$122=$B208)*(Inspeções!$A$3:$A$122=$C208)*(ROW(Inspeções!$B$3:$B$122)-3+1)))))</f>
        <v/>
      </c>
      <c r="E208" s="47" t="str">
        <f aca="false">IF($Q208="","",INDEX('Lançar Resultado'!$C$3:$C$2002,$Q208))</f>
        <v/>
      </c>
      <c r="F208" s="47" t="str">
        <f aca="false">IF($Q208="","",IFERROR(INDEX(Equipamentos!$E$3:$E$52,MATCH($B208,Equipamentos!$A$3:$A$52,0)),""))</f>
        <v/>
      </c>
      <c r="G208" s="47" t="str">
        <f aca="false">IF($Q208="","",INDEX('Lançar Resultado'!$D$3:$D$2002,$Q208))</f>
        <v/>
      </c>
      <c r="H208" s="47" t="str">
        <f aca="false">IF($Q208="","",INDEX('Lançar Resultado'!$E$3:$E$2002,$Q208))</f>
        <v/>
      </c>
      <c r="I208" s="46" t="str">
        <f aca="false">IF($Q208="","",INDEX('Lançar Resultado'!$G$3:$G$2002,$Q208))</f>
        <v/>
      </c>
      <c r="J208" s="45" t="str">
        <f aca="false">IF($Q208="","",INDEX('Lançar Resultado'!$P$3:$P$2002,$Q208))</f>
        <v/>
      </c>
      <c r="K208" s="46" t="str">
        <f aca="false">IF($Q208="","",INDEX('Lançar Resultado'!$N$3:$N$2002,$Q208))</f>
        <v/>
      </c>
      <c r="L208" s="47" t="str">
        <f aca="false">IF($Q208="","",INDEX('Lançar Resultado'!$I$3:$I$2002,$Q208))</f>
        <v/>
      </c>
      <c r="M208" s="47" t="str">
        <f aca="false">IF($Q208="","",INDEX('Lançar Resultado'!$J$3:$J$2002,$Q208))</f>
        <v/>
      </c>
      <c r="N208" s="44" t="str">
        <f aca="false">IF($Q208="","",INDEX('Lançar Resultado'!$K$3:$K$2002,$Q208))</f>
        <v/>
      </c>
      <c r="O208" s="46" t="str">
        <f aca="false">IF($Q208="","",INDEX('Lançar Resultado'!$L$3:$L$2002,$Q208))</f>
        <v/>
      </c>
      <c r="P208" s="45" t="str">
        <f aca="false">IF($Q208="","",IF(OR($O208="Concluída",$N208=""),"",IF($N208&lt;INT(Parâmetros!$C$4),INT(Parâmetros!$C$4)-$N208,"")))</f>
        <v/>
      </c>
      <c r="Q208" s="45" t="str">
        <f aca="false">IFERROR(MATCH(206,'Lançar Resultado'!$Q$3:$Q$2002,0),"")</f>
        <v/>
      </c>
    </row>
    <row r="209" customFormat="false" ht="18" hidden="false" customHeight="true" outlineLevel="0" collapsed="false">
      <c r="A209" s="39" t="n">
        <v>207</v>
      </c>
      <c r="B209" s="47" t="str">
        <f aca="false">IF($Q209="","",INDEX('Lançar Resultado'!$A$3:$A$2002,$Q209))</f>
        <v/>
      </c>
      <c r="C209" s="44" t="str">
        <f aca="false">IF($Q209="","",INDEX('Lançar Resultado'!$B$3:$B$2002,$Q209))</f>
        <v/>
      </c>
      <c r="D209" s="46" t="str">
        <f aca="false">IF($Q209="","",IF(SUMPRODUCT((Inspeções!$B$3:$B$122=$B209)*(Inspeções!$A$3:$A$122=$C209)*(ROW(Inspeções!$B$3:$B$122)-3+1))=0,"",INDEX(Inspeções!$C$3:$C$122,SUMPRODUCT((Inspeções!$B$3:$B$122=$B209)*(Inspeções!$A$3:$A$122=$C209)*(ROW(Inspeções!$B$3:$B$122)-3+1)))))</f>
        <v/>
      </c>
      <c r="E209" s="47" t="str">
        <f aca="false">IF($Q209="","",INDEX('Lançar Resultado'!$C$3:$C$2002,$Q209))</f>
        <v/>
      </c>
      <c r="F209" s="47" t="str">
        <f aca="false">IF($Q209="","",IFERROR(INDEX(Equipamentos!$E$3:$E$52,MATCH($B209,Equipamentos!$A$3:$A$52,0)),""))</f>
        <v/>
      </c>
      <c r="G209" s="47" t="str">
        <f aca="false">IF($Q209="","",INDEX('Lançar Resultado'!$D$3:$D$2002,$Q209))</f>
        <v/>
      </c>
      <c r="H209" s="47" t="str">
        <f aca="false">IF($Q209="","",INDEX('Lançar Resultado'!$E$3:$E$2002,$Q209))</f>
        <v/>
      </c>
      <c r="I209" s="46" t="str">
        <f aca="false">IF($Q209="","",INDEX('Lançar Resultado'!$G$3:$G$2002,$Q209))</f>
        <v/>
      </c>
      <c r="J209" s="45" t="str">
        <f aca="false">IF($Q209="","",INDEX('Lançar Resultado'!$P$3:$P$2002,$Q209))</f>
        <v/>
      </c>
      <c r="K209" s="46" t="str">
        <f aca="false">IF($Q209="","",INDEX('Lançar Resultado'!$N$3:$N$2002,$Q209))</f>
        <v/>
      </c>
      <c r="L209" s="47" t="str">
        <f aca="false">IF($Q209="","",INDEX('Lançar Resultado'!$I$3:$I$2002,$Q209))</f>
        <v/>
      </c>
      <c r="M209" s="47" t="str">
        <f aca="false">IF($Q209="","",INDEX('Lançar Resultado'!$J$3:$J$2002,$Q209))</f>
        <v/>
      </c>
      <c r="N209" s="44" t="str">
        <f aca="false">IF($Q209="","",INDEX('Lançar Resultado'!$K$3:$K$2002,$Q209))</f>
        <v/>
      </c>
      <c r="O209" s="46" t="str">
        <f aca="false">IF($Q209="","",INDEX('Lançar Resultado'!$L$3:$L$2002,$Q209))</f>
        <v/>
      </c>
      <c r="P209" s="45" t="str">
        <f aca="false">IF($Q209="","",IF(OR($O209="Concluída",$N209=""),"",IF($N209&lt;INT(Parâmetros!$C$4),INT(Parâmetros!$C$4)-$N209,"")))</f>
        <v/>
      </c>
      <c r="Q209" s="45" t="str">
        <f aca="false">IFERROR(MATCH(207,'Lançar Resultado'!$Q$3:$Q$2002,0),"")</f>
        <v/>
      </c>
    </row>
    <row r="210" customFormat="false" ht="18" hidden="false" customHeight="true" outlineLevel="0" collapsed="false">
      <c r="A210" s="39" t="n">
        <v>208</v>
      </c>
      <c r="B210" s="47" t="str">
        <f aca="false">IF($Q210="","",INDEX('Lançar Resultado'!$A$3:$A$2002,$Q210))</f>
        <v/>
      </c>
      <c r="C210" s="44" t="str">
        <f aca="false">IF($Q210="","",INDEX('Lançar Resultado'!$B$3:$B$2002,$Q210))</f>
        <v/>
      </c>
      <c r="D210" s="46" t="str">
        <f aca="false">IF($Q210="","",IF(SUMPRODUCT((Inspeções!$B$3:$B$122=$B210)*(Inspeções!$A$3:$A$122=$C210)*(ROW(Inspeções!$B$3:$B$122)-3+1))=0,"",INDEX(Inspeções!$C$3:$C$122,SUMPRODUCT((Inspeções!$B$3:$B$122=$B210)*(Inspeções!$A$3:$A$122=$C210)*(ROW(Inspeções!$B$3:$B$122)-3+1)))))</f>
        <v/>
      </c>
      <c r="E210" s="47" t="str">
        <f aca="false">IF($Q210="","",INDEX('Lançar Resultado'!$C$3:$C$2002,$Q210))</f>
        <v/>
      </c>
      <c r="F210" s="47" t="str">
        <f aca="false">IF($Q210="","",IFERROR(INDEX(Equipamentos!$E$3:$E$52,MATCH($B210,Equipamentos!$A$3:$A$52,0)),""))</f>
        <v/>
      </c>
      <c r="G210" s="47" t="str">
        <f aca="false">IF($Q210="","",INDEX('Lançar Resultado'!$D$3:$D$2002,$Q210))</f>
        <v/>
      </c>
      <c r="H210" s="47" t="str">
        <f aca="false">IF($Q210="","",INDEX('Lançar Resultado'!$E$3:$E$2002,$Q210))</f>
        <v/>
      </c>
      <c r="I210" s="46" t="str">
        <f aca="false">IF($Q210="","",INDEX('Lançar Resultado'!$G$3:$G$2002,$Q210))</f>
        <v/>
      </c>
      <c r="J210" s="45" t="str">
        <f aca="false">IF($Q210="","",INDEX('Lançar Resultado'!$P$3:$P$2002,$Q210))</f>
        <v/>
      </c>
      <c r="K210" s="46" t="str">
        <f aca="false">IF($Q210="","",INDEX('Lançar Resultado'!$N$3:$N$2002,$Q210))</f>
        <v/>
      </c>
      <c r="L210" s="47" t="str">
        <f aca="false">IF($Q210="","",INDEX('Lançar Resultado'!$I$3:$I$2002,$Q210))</f>
        <v/>
      </c>
      <c r="M210" s="47" t="str">
        <f aca="false">IF($Q210="","",INDEX('Lançar Resultado'!$J$3:$J$2002,$Q210))</f>
        <v/>
      </c>
      <c r="N210" s="44" t="str">
        <f aca="false">IF($Q210="","",INDEX('Lançar Resultado'!$K$3:$K$2002,$Q210))</f>
        <v/>
      </c>
      <c r="O210" s="46" t="str">
        <f aca="false">IF($Q210="","",INDEX('Lançar Resultado'!$L$3:$L$2002,$Q210))</f>
        <v/>
      </c>
      <c r="P210" s="45" t="str">
        <f aca="false">IF($Q210="","",IF(OR($O210="Concluída",$N210=""),"",IF($N210&lt;INT(Parâmetros!$C$4),INT(Parâmetros!$C$4)-$N210,"")))</f>
        <v/>
      </c>
      <c r="Q210" s="45" t="str">
        <f aca="false">IFERROR(MATCH(208,'Lançar Resultado'!$Q$3:$Q$2002,0),"")</f>
        <v/>
      </c>
    </row>
    <row r="211" customFormat="false" ht="18" hidden="false" customHeight="true" outlineLevel="0" collapsed="false">
      <c r="A211" s="39" t="n">
        <v>209</v>
      </c>
      <c r="B211" s="47" t="str">
        <f aca="false">IF($Q211="","",INDEX('Lançar Resultado'!$A$3:$A$2002,$Q211))</f>
        <v/>
      </c>
      <c r="C211" s="44" t="str">
        <f aca="false">IF($Q211="","",INDEX('Lançar Resultado'!$B$3:$B$2002,$Q211))</f>
        <v/>
      </c>
      <c r="D211" s="46" t="str">
        <f aca="false">IF($Q211="","",IF(SUMPRODUCT((Inspeções!$B$3:$B$122=$B211)*(Inspeções!$A$3:$A$122=$C211)*(ROW(Inspeções!$B$3:$B$122)-3+1))=0,"",INDEX(Inspeções!$C$3:$C$122,SUMPRODUCT((Inspeções!$B$3:$B$122=$B211)*(Inspeções!$A$3:$A$122=$C211)*(ROW(Inspeções!$B$3:$B$122)-3+1)))))</f>
        <v/>
      </c>
      <c r="E211" s="47" t="str">
        <f aca="false">IF($Q211="","",INDEX('Lançar Resultado'!$C$3:$C$2002,$Q211))</f>
        <v/>
      </c>
      <c r="F211" s="47" t="str">
        <f aca="false">IF($Q211="","",IFERROR(INDEX(Equipamentos!$E$3:$E$52,MATCH($B211,Equipamentos!$A$3:$A$52,0)),""))</f>
        <v/>
      </c>
      <c r="G211" s="47" t="str">
        <f aca="false">IF($Q211="","",INDEX('Lançar Resultado'!$D$3:$D$2002,$Q211))</f>
        <v/>
      </c>
      <c r="H211" s="47" t="str">
        <f aca="false">IF($Q211="","",INDEX('Lançar Resultado'!$E$3:$E$2002,$Q211))</f>
        <v/>
      </c>
      <c r="I211" s="46" t="str">
        <f aca="false">IF($Q211="","",INDEX('Lançar Resultado'!$G$3:$G$2002,$Q211))</f>
        <v/>
      </c>
      <c r="J211" s="45" t="str">
        <f aca="false">IF($Q211="","",INDEX('Lançar Resultado'!$P$3:$P$2002,$Q211))</f>
        <v/>
      </c>
      <c r="K211" s="46" t="str">
        <f aca="false">IF($Q211="","",INDEX('Lançar Resultado'!$N$3:$N$2002,$Q211))</f>
        <v/>
      </c>
      <c r="L211" s="47" t="str">
        <f aca="false">IF($Q211="","",INDEX('Lançar Resultado'!$I$3:$I$2002,$Q211))</f>
        <v/>
      </c>
      <c r="M211" s="47" t="str">
        <f aca="false">IF($Q211="","",INDEX('Lançar Resultado'!$J$3:$J$2002,$Q211))</f>
        <v/>
      </c>
      <c r="N211" s="44" t="str">
        <f aca="false">IF($Q211="","",INDEX('Lançar Resultado'!$K$3:$K$2002,$Q211))</f>
        <v/>
      </c>
      <c r="O211" s="46" t="str">
        <f aca="false">IF($Q211="","",INDEX('Lançar Resultado'!$L$3:$L$2002,$Q211))</f>
        <v/>
      </c>
      <c r="P211" s="45" t="str">
        <f aca="false">IF($Q211="","",IF(OR($O211="Concluída",$N211=""),"",IF($N211&lt;INT(Parâmetros!$C$4),INT(Parâmetros!$C$4)-$N211,"")))</f>
        <v/>
      </c>
      <c r="Q211" s="45" t="str">
        <f aca="false">IFERROR(MATCH(209,'Lançar Resultado'!$Q$3:$Q$2002,0),"")</f>
        <v/>
      </c>
    </row>
    <row r="212" customFormat="false" ht="18" hidden="false" customHeight="true" outlineLevel="0" collapsed="false">
      <c r="A212" s="39" t="n">
        <v>210</v>
      </c>
      <c r="B212" s="47" t="str">
        <f aca="false">IF($Q212="","",INDEX('Lançar Resultado'!$A$3:$A$2002,$Q212))</f>
        <v/>
      </c>
      <c r="C212" s="44" t="str">
        <f aca="false">IF($Q212="","",INDEX('Lançar Resultado'!$B$3:$B$2002,$Q212))</f>
        <v/>
      </c>
      <c r="D212" s="46" t="str">
        <f aca="false">IF($Q212="","",IF(SUMPRODUCT((Inspeções!$B$3:$B$122=$B212)*(Inspeções!$A$3:$A$122=$C212)*(ROW(Inspeções!$B$3:$B$122)-3+1))=0,"",INDEX(Inspeções!$C$3:$C$122,SUMPRODUCT((Inspeções!$B$3:$B$122=$B212)*(Inspeções!$A$3:$A$122=$C212)*(ROW(Inspeções!$B$3:$B$122)-3+1)))))</f>
        <v/>
      </c>
      <c r="E212" s="47" t="str">
        <f aca="false">IF($Q212="","",INDEX('Lançar Resultado'!$C$3:$C$2002,$Q212))</f>
        <v/>
      </c>
      <c r="F212" s="47" t="str">
        <f aca="false">IF($Q212="","",IFERROR(INDEX(Equipamentos!$E$3:$E$52,MATCH($B212,Equipamentos!$A$3:$A$52,0)),""))</f>
        <v/>
      </c>
      <c r="G212" s="47" t="str">
        <f aca="false">IF($Q212="","",INDEX('Lançar Resultado'!$D$3:$D$2002,$Q212))</f>
        <v/>
      </c>
      <c r="H212" s="47" t="str">
        <f aca="false">IF($Q212="","",INDEX('Lançar Resultado'!$E$3:$E$2002,$Q212))</f>
        <v/>
      </c>
      <c r="I212" s="46" t="str">
        <f aca="false">IF($Q212="","",INDEX('Lançar Resultado'!$G$3:$G$2002,$Q212))</f>
        <v/>
      </c>
      <c r="J212" s="45" t="str">
        <f aca="false">IF($Q212="","",INDEX('Lançar Resultado'!$P$3:$P$2002,$Q212))</f>
        <v/>
      </c>
      <c r="K212" s="46" t="str">
        <f aca="false">IF($Q212="","",INDEX('Lançar Resultado'!$N$3:$N$2002,$Q212))</f>
        <v/>
      </c>
      <c r="L212" s="47" t="str">
        <f aca="false">IF($Q212="","",INDEX('Lançar Resultado'!$I$3:$I$2002,$Q212))</f>
        <v/>
      </c>
      <c r="M212" s="47" t="str">
        <f aca="false">IF($Q212="","",INDEX('Lançar Resultado'!$J$3:$J$2002,$Q212))</f>
        <v/>
      </c>
      <c r="N212" s="44" t="str">
        <f aca="false">IF($Q212="","",INDEX('Lançar Resultado'!$K$3:$K$2002,$Q212))</f>
        <v/>
      </c>
      <c r="O212" s="46" t="str">
        <f aca="false">IF($Q212="","",INDEX('Lançar Resultado'!$L$3:$L$2002,$Q212))</f>
        <v/>
      </c>
      <c r="P212" s="45" t="str">
        <f aca="false">IF($Q212="","",IF(OR($O212="Concluída",$N212=""),"",IF($N212&lt;INT(Parâmetros!$C$4),INT(Parâmetros!$C$4)-$N212,"")))</f>
        <v/>
      </c>
      <c r="Q212" s="45" t="str">
        <f aca="false">IFERROR(MATCH(210,'Lançar Resultado'!$Q$3:$Q$2002,0),"")</f>
        <v/>
      </c>
    </row>
    <row r="213" customFormat="false" ht="18" hidden="false" customHeight="true" outlineLevel="0" collapsed="false">
      <c r="A213" s="39" t="n">
        <v>211</v>
      </c>
      <c r="B213" s="47" t="str">
        <f aca="false">IF($Q213="","",INDEX('Lançar Resultado'!$A$3:$A$2002,$Q213))</f>
        <v/>
      </c>
      <c r="C213" s="44" t="str">
        <f aca="false">IF($Q213="","",INDEX('Lançar Resultado'!$B$3:$B$2002,$Q213))</f>
        <v/>
      </c>
      <c r="D213" s="46" t="str">
        <f aca="false">IF($Q213="","",IF(SUMPRODUCT((Inspeções!$B$3:$B$122=$B213)*(Inspeções!$A$3:$A$122=$C213)*(ROW(Inspeções!$B$3:$B$122)-3+1))=0,"",INDEX(Inspeções!$C$3:$C$122,SUMPRODUCT((Inspeções!$B$3:$B$122=$B213)*(Inspeções!$A$3:$A$122=$C213)*(ROW(Inspeções!$B$3:$B$122)-3+1)))))</f>
        <v/>
      </c>
      <c r="E213" s="47" t="str">
        <f aca="false">IF($Q213="","",INDEX('Lançar Resultado'!$C$3:$C$2002,$Q213))</f>
        <v/>
      </c>
      <c r="F213" s="47" t="str">
        <f aca="false">IF($Q213="","",IFERROR(INDEX(Equipamentos!$E$3:$E$52,MATCH($B213,Equipamentos!$A$3:$A$52,0)),""))</f>
        <v/>
      </c>
      <c r="G213" s="47" t="str">
        <f aca="false">IF($Q213="","",INDEX('Lançar Resultado'!$D$3:$D$2002,$Q213))</f>
        <v/>
      </c>
      <c r="H213" s="47" t="str">
        <f aca="false">IF($Q213="","",INDEX('Lançar Resultado'!$E$3:$E$2002,$Q213))</f>
        <v/>
      </c>
      <c r="I213" s="46" t="str">
        <f aca="false">IF($Q213="","",INDEX('Lançar Resultado'!$G$3:$G$2002,$Q213))</f>
        <v/>
      </c>
      <c r="J213" s="45" t="str">
        <f aca="false">IF($Q213="","",INDEX('Lançar Resultado'!$P$3:$P$2002,$Q213))</f>
        <v/>
      </c>
      <c r="K213" s="46" t="str">
        <f aca="false">IF($Q213="","",INDEX('Lançar Resultado'!$N$3:$N$2002,$Q213))</f>
        <v/>
      </c>
      <c r="L213" s="47" t="str">
        <f aca="false">IF($Q213="","",INDEX('Lançar Resultado'!$I$3:$I$2002,$Q213))</f>
        <v/>
      </c>
      <c r="M213" s="47" t="str">
        <f aca="false">IF($Q213="","",INDEX('Lançar Resultado'!$J$3:$J$2002,$Q213))</f>
        <v/>
      </c>
      <c r="N213" s="44" t="str">
        <f aca="false">IF($Q213="","",INDEX('Lançar Resultado'!$K$3:$K$2002,$Q213))</f>
        <v/>
      </c>
      <c r="O213" s="46" t="str">
        <f aca="false">IF($Q213="","",INDEX('Lançar Resultado'!$L$3:$L$2002,$Q213))</f>
        <v/>
      </c>
      <c r="P213" s="45" t="str">
        <f aca="false">IF($Q213="","",IF(OR($O213="Concluída",$N213=""),"",IF($N213&lt;INT(Parâmetros!$C$4),INT(Parâmetros!$C$4)-$N213,"")))</f>
        <v/>
      </c>
      <c r="Q213" s="45" t="str">
        <f aca="false">IFERROR(MATCH(211,'Lançar Resultado'!$Q$3:$Q$2002,0),"")</f>
        <v/>
      </c>
    </row>
    <row r="214" customFormat="false" ht="18" hidden="false" customHeight="true" outlineLevel="0" collapsed="false">
      <c r="A214" s="39" t="n">
        <v>212</v>
      </c>
      <c r="B214" s="47" t="str">
        <f aca="false">IF($Q214="","",INDEX('Lançar Resultado'!$A$3:$A$2002,$Q214))</f>
        <v/>
      </c>
      <c r="C214" s="44" t="str">
        <f aca="false">IF($Q214="","",INDEX('Lançar Resultado'!$B$3:$B$2002,$Q214))</f>
        <v/>
      </c>
      <c r="D214" s="46" t="str">
        <f aca="false">IF($Q214="","",IF(SUMPRODUCT((Inspeções!$B$3:$B$122=$B214)*(Inspeções!$A$3:$A$122=$C214)*(ROW(Inspeções!$B$3:$B$122)-3+1))=0,"",INDEX(Inspeções!$C$3:$C$122,SUMPRODUCT((Inspeções!$B$3:$B$122=$B214)*(Inspeções!$A$3:$A$122=$C214)*(ROW(Inspeções!$B$3:$B$122)-3+1)))))</f>
        <v/>
      </c>
      <c r="E214" s="47" t="str">
        <f aca="false">IF($Q214="","",INDEX('Lançar Resultado'!$C$3:$C$2002,$Q214))</f>
        <v/>
      </c>
      <c r="F214" s="47" t="str">
        <f aca="false">IF($Q214="","",IFERROR(INDEX(Equipamentos!$E$3:$E$52,MATCH($B214,Equipamentos!$A$3:$A$52,0)),""))</f>
        <v/>
      </c>
      <c r="G214" s="47" t="str">
        <f aca="false">IF($Q214="","",INDEX('Lançar Resultado'!$D$3:$D$2002,$Q214))</f>
        <v/>
      </c>
      <c r="H214" s="47" t="str">
        <f aca="false">IF($Q214="","",INDEX('Lançar Resultado'!$E$3:$E$2002,$Q214))</f>
        <v/>
      </c>
      <c r="I214" s="46" t="str">
        <f aca="false">IF($Q214="","",INDEX('Lançar Resultado'!$G$3:$G$2002,$Q214))</f>
        <v/>
      </c>
      <c r="J214" s="45" t="str">
        <f aca="false">IF($Q214="","",INDEX('Lançar Resultado'!$P$3:$P$2002,$Q214))</f>
        <v/>
      </c>
      <c r="K214" s="46" t="str">
        <f aca="false">IF($Q214="","",INDEX('Lançar Resultado'!$N$3:$N$2002,$Q214))</f>
        <v/>
      </c>
      <c r="L214" s="47" t="str">
        <f aca="false">IF($Q214="","",INDEX('Lançar Resultado'!$I$3:$I$2002,$Q214))</f>
        <v/>
      </c>
      <c r="M214" s="47" t="str">
        <f aca="false">IF($Q214="","",INDEX('Lançar Resultado'!$J$3:$J$2002,$Q214))</f>
        <v/>
      </c>
      <c r="N214" s="44" t="str">
        <f aca="false">IF($Q214="","",INDEX('Lançar Resultado'!$K$3:$K$2002,$Q214))</f>
        <v/>
      </c>
      <c r="O214" s="46" t="str">
        <f aca="false">IF($Q214="","",INDEX('Lançar Resultado'!$L$3:$L$2002,$Q214))</f>
        <v/>
      </c>
      <c r="P214" s="45" t="str">
        <f aca="false">IF($Q214="","",IF(OR($O214="Concluída",$N214=""),"",IF($N214&lt;INT(Parâmetros!$C$4),INT(Parâmetros!$C$4)-$N214,"")))</f>
        <v/>
      </c>
      <c r="Q214" s="45" t="str">
        <f aca="false">IFERROR(MATCH(212,'Lançar Resultado'!$Q$3:$Q$2002,0),"")</f>
        <v/>
      </c>
    </row>
    <row r="215" customFormat="false" ht="18" hidden="false" customHeight="true" outlineLevel="0" collapsed="false">
      <c r="A215" s="39" t="n">
        <v>213</v>
      </c>
      <c r="B215" s="47" t="str">
        <f aca="false">IF($Q215="","",INDEX('Lançar Resultado'!$A$3:$A$2002,$Q215))</f>
        <v/>
      </c>
      <c r="C215" s="44" t="str">
        <f aca="false">IF($Q215="","",INDEX('Lançar Resultado'!$B$3:$B$2002,$Q215))</f>
        <v/>
      </c>
      <c r="D215" s="46" t="str">
        <f aca="false">IF($Q215="","",IF(SUMPRODUCT((Inspeções!$B$3:$B$122=$B215)*(Inspeções!$A$3:$A$122=$C215)*(ROW(Inspeções!$B$3:$B$122)-3+1))=0,"",INDEX(Inspeções!$C$3:$C$122,SUMPRODUCT((Inspeções!$B$3:$B$122=$B215)*(Inspeções!$A$3:$A$122=$C215)*(ROW(Inspeções!$B$3:$B$122)-3+1)))))</f>
        <v/>
      </c>
      <c r="E215" s="47" t="str">
        <f aca="false">IF($Q215="","",INDEX('Lançar Resultado'!$C$3:$C$2002,$Q215))</f>
        <v/>
      </c>
      <c r="F215" s="47" t="str">
        <f aca="false">IF($Q215="","",IFERROR(INDEX(Equipamentos!$E$3:$E$52,MATCH($B215,Equipamentos!$A$3:$A$52,0)),""))</f>
        <v/>
      </c>
      <c r="G215" s="47" t="str">
        <f aca="false">IF($Q215="","",INDEX('Lançar Resultado'!$D$3:$D$2002,$Q215))</f>
        <v/>
      </c>
      <c r="H215" s="47" t="str">
        <f aca="false">IF($Q215="","",INDEX('Lançar Resultado'!$E$3:$E$2002,$Q215))</f>
        <v/>
      </c>
      <c r="I215" s="46" t="str">
        <f aca="false">IF($Q215="","",INDEX('Lançar Resultado'!$G$3:$G$2002,$Q215))</f>
        <v/>
      </c>
      <c r="J215" s="45" t="str">
        <f aca="false">IF($Q215="","",INDEX('Lançar Resultado'!$P$3:$P$2002,$Q215))</f>
        <v/>
      </c>
      <c r="K215" s="46" t="str">
        <f aca="false">IF($Q215="","",INDEX('Lançar Resultado'!$N$3:$N$2002,$Q215))</f>
        <v/>
      </c>
      <c r="L215" s="47" t="str">
        <f aca="false">IF($Q215="","",INDEX('Lançar Resultado'!$I$3:$I$2002,$Q215))</f>
        <v/>
      </c>
      <c r="M215" s="47" t="str">
        <f aca="false">IF($Q215="","",INDEX('Lançar Resultado'!$J$3:$J$2002,$Q215))</f>
        <v/>
      </c>
      <c r="N215" s="44" t="str">
        <f aca="false">IF($Q215="","",INDEX('Lançar Resultado'!$K$3:$K$2002,$Q215))</f>
        <v/>
      </c>
      <c r="O215" s="46" t="str">
        <f aca="false">IF($Q215="","",INDEX('Lançar Resultado'!$L$3:$L$2002,$Q215))</f>
        <v/>
      </c>
      <c r="P215" s="45" t="str">
        <f aca="false">IF($Q215="","",IF(OR($O215="Concluída",$N215=""),"",IF($N215&lt;INT(Parâmetros!$C$4),INT(Parâmetros!$C$4)-$N215,"")))</f>
        <v/>
      </c>
      <c r="Q215" s="45" t="str">
        <f aca="false">IFERROR(MATCH(213,'Lançar Resultado'!$Q$3:$Q$2002,0),"")</f>
        <v/>
      </c>
    </row>
    <row r="216" customFormat="false" ht="18" hidden="false" customHeight="true" outlineLevel="0" collapsed="false">
      <c r="A216" s="39" t="n">
        <v>214</v>
      </c>
      <c r="B216" s="47" t="str">
        <f aca="false">IF($Q216="","",INDEX('Lançar Resultado'!$A$3:$A$2002,$Q216))</f>
        <v/>
      </c>
      <c r="C216" s="44" t="str">
        <f aca="false">IF($Q216="","",INDEX('Lançar Resultado'!$B$3:$B$2002,$Q216))</f>
        <v/>
      </c>
      <c r="D216" s="46" t="str">
        <f aca="false">IF($Q216="","",IF(SUMPRODUCT((Inspeções!$B$3:$B$122=$B216)*(Inspeções!$A$3:$A$122=$C216)*(ROW(Inspeções!$B$3:$B$122)-3+1))=0,"",INDEX(Inspeções!$C$3:$C$122,SUMPRODUCT((Inspeções!$B$3:$B$122=$B216)*(Inspeções!$A$3:$A$122=$C216)*(ROW(Inspeções!$B$3:$B$122)-3+1)))))</f>
        <v/>
      </c>
      <c r="E216" s="47" t="str">
        <f aca="false">IF($Q216="","",INDEX('Lançar Resultado'!$C$3:$C$2002,$Q216))</f>
        <v/>
      </c>
      <c r="F216" s="47" t="str">
        <f aca="false">IF($Q216="","",IFERROR(INDEX(Equipamentos!$E$3:$E$52,MATCH($B216,Equipamentos!$A$3:$A$52,0)),""))</f>
        <v/>
      </c>
      <c r="G216" s="47" t="str">
        <f aca="false">IF($Q216="","",INDEX('Lançar Resultado'!$D$3:$D$2002,$Q216))</f>
        <v/>
      </c>
      <c r="H216" s="47" t="str">
        <f aca="false">IF($Q216="","",INDEX('Lançar Resultado'!$E$3:$E$2002,$Q216))</f>
        <v/>
      </c>
      <c r="I216" s="46" t="str">
        <f aca="false">IF($Q216="","",INDEX('Lançar Resultado'!$G$3:$G$2002,$Q216))</f>
        <v/>
      </c>
      <c r="J216" s="45" t="str">
        <f aca="false">IF($Q216="","",INDEX('Lançar Resultado'!$P$3:$P$2002,$Q216))</f>
        <v/>
      </c>
      <c r="K216" s="46" t="str">
        <f aca="false">IF($Q216="","",INDEX('Lançar Resultado'!$N$3:$N$2002,$Q216))</f>
        <v/>
      </c>
      <c r="L216" s="47" t="str">
        <f aca="false">IF($Q216="","",INDEX('Lançar Resultado'!$I$3:$I$2002,$Q216))</f>
        <v/>
      </c>
      <c r="M216" s="47" t="str">
        <f aca="false">IF($Q216="","",INDEX('Lançar Resultado'!$J$3:$J$2002,$Q216))</f>
        <v/>
      </c>
      <c r="N216" s="44" t="str">
        <f aca="false">IF($Q216="","",INDEX('Lançar Resultado'!$K$3:$K$2002,$Q216))</f>
        <v/>
      </c>
      <c r="O216" s="46" t="str">
        <f aca="false">IF($Q216="","",INDEX('Lançar Resultado'!$L$3:$L$2002,$Q216))</f>
        <v/>
      </c>
      <c r="P216" s="45" t="str">
        <f aca="false">IF($Q216="","",IF(OR($O216="Concluída",$N216=""),"",IF($N216&lt;INT(Parâmetros!$C$4),INT(Parâmetros!$C$4)-$N216,"")))</f>
        <v/>
      </c>
      <c r="Q216" s="45" t="str">
        <f aca="false">IFERROR(MATCH(214,'Lançar Resultado'!$Q$3:$Q$2002,0),"")</f>
        <v/>
      </c>
    </row>
    <row r="217" customFormat="false" ht="18" hidden="false" customHeight="true" outlineLevel="0" collapsed="false">
      <c r="A217" s="39" t="n">
        <v>215</v>
      </c>
      <c r="B217" s="47" t="str">
        <f aca="false">IF($Q217="","",INDEX('Lançar Resultado'!$A$3:$A$2002,$Q217))</f>
        <v/>
      </c>
      <c r="C217" s="44" t="str">
        <f aca="false">IF($Q217="","",INDEX('Lançar Resultado'!$B$3:$B$2002,$Q217))</f>
        <v/>
      </c>
      <c r="D217" s="46" t="str">
        <f aca="false">IF($Q217="","",IF(SUMPRODUCT((Inspeções!$B$3:$B$122=$B217)*(Inspeções!$A$3:$A$122=$C217)*(ROW(Inspeções!$B$3:$B$122)-3+1))=0,"",INDEX(Inspeções!$C$3:$C$122,SUMPRODUCT((Inspeções!$B$3:$B$122=$B217)*(Inspeções!$A$3:$A$122=$C217)*(ROW(Inspeções!$B$3:$B$122)-3+1)))))</f>
        <v/>
      </c>
      <c r="E217" s="47" t="str">
        <f aca="false">IF($Q217="","",INDEX('Lançar Resultado'!$C$3:$C$2002,$Q217))</f>
        <v/>
      </c>
      <c r="F217" s="47" t="str">
        <f aca="false">IF($Q217="","",IFERROR(INDEX(Equipamentos!$E$3:$E$52,MATCH($B217,Equipamentos!$A$3:$A$52,0)),""))</f>
        <v/>
      </c>
      <c r="G217" s="47" t="str">
        <f aca="false">IF($Q217="","",INDEX('Lançar Resultado'!$D$3:$D$2002,$Q217))</f>
        <v/>
      </c>
      <c r="H217" s="47" t="str">
        <f aca="false">IF($Q217="","",INDEX('Lançar Resultado'!$E$3:$E$2002,$Q217))</f>
        <v/>
      </c>
      <c r="I217" s="46" t="str">
        <f aca="false">IF($Q217="","",INDEX('Lançar Resultado'!$G$3:$G$2002,$Q217))</f>
        <v/>
      </c>
      <c r="J217" s="45" t="str">
        <f aca="false">IF($Q217="","",INDEX('Lançar Resultado'!$P$3:$P$2002,$Q217))</f>
        <v/>
      </c>
      <c r="K217" s="46" t="str">
        <f aca="false">IF($Q217="","",INDEX('Lançar Resultado'!$N$3:$N$2002,$Q217))</f>
        <v/>
      </c>
      <c r="L217" s="47" t="str">
        <f aca="false">IF($Q217="","",INDEX('Lançar Resultado'!$I$3:$I$2002,$Q217))</f>
        <v/>
      </c>
      <c r="M217" s="47" t="str">
        <f aca="false">IF($Q217="","",INDEX('Lançar Resultado'!$J$3:$J$2002,$Q217))</f>
        <v/>
      </c>
      <c r="N217" s="44" t="str">
        <f aca="false">IF($Q217="","",INDEX('Lançar Resultado'!$K$3:$K$2002,$Q217))</f>
        <v/>
      </c>
      <c r="O217" s="46" t="str">
        <f aca="false">IF($Q217="","",INDEX('Lançar Resultado'!$L$3:$L$2002,$Q217))</f>
        <v/>
      </c>
      <c r="P217" s="45" t="str">
        <f aca="false">IF($Q217="","",IF(OR($O217="Concluída",$N217=""),"",IF($N217&lt;INT(Parâmetros!$C$4),INT(Parâmetros!$C$4)-$N217,"")))</f>
        <v/>
      </c>
      <c r="Q217" s="45" t="str">
        <f aca="false">IFERROR(MATCH(215,'Lançar Resultado'!$Q$3:$Q$2002,0),"")</f>
        <v/>
      </c>
    </row>
    <row r="218" customFormat="false" ht="18" hidden="false" customHeight="true" outlineLevel="0" collapsed="false">
      <c r="A218" s="39" t="n">
        <v>216</v>
      </c>
      <c r="B218" s="47" t="str">
        <f aca="false">IF($Q218="","",INDEX('Lançar Resultado'!$A$3:$A$2002,$Q218))</f>
        <v/>
      </c>
      <c r="C218" s="44" t="str">
        <f aca="false">IF($Q218="","",INDEX('Lançar Resultado'!$B$3:$B$2002,$Q218))</f>
        <v/>
      </c>
      <c r="D218" s="46" t="str">
        <f aca="false">IF($Q218="","",IF(SUMPRODUCT((Inspeções!$B$3:$B$122=$B218)*(Inspeções!$A$3:$A$122=$C218)*(ROW(Inspeções!$B$3:$B$122)-3+1))=0,"",INDEX(Inspeções!$C$3:$C$122,SUMPRODUCT((Inspeções!$B$3:$B$122=$B218)*(Inspeções!$A$3:$A$122=$C218)*(ROW(Inspeções!$B$3:$B$122)-3+1)))))</f>
        <v/>
      </c>
      <c r="E218" s="47" t="str">
        <f aca="false">IF($Q218="","",INDEX('Lançar Resultado'!$C$3:$C$2002,$Q218))</f>
        <v/>
      </c>
      <c r="F218" s="47" t="str">
        <f aca="false">IF($Q218="","",IFERROR(INDEX(Equipamentos!$E$3:$E$52,MATCH($B218,Equipamentos!$A$3:$A$52,0)),""))</f>
        <v/>
      </c>
      <c r="G218" s="47" t="str">
        <f aca="false">IF($Q218="","",INDEX('Lançar Resultado'!$D$3:$D$2002,$Q218))</f>
        <v/>
      </c>
      <c r="H218" s="47" t="str">
        <f aca="false">IF($Q218="","",INDEX('Lançar Resultado'!$E$3:$E$2002,$Q218))</f>
        <v/>
      </c>
      <c r="I218" s="46" t="str">
        <f aca="false">IF($Q218="","",INDEX('Lançar Resultado'!$G$3:$G$2002,$Q218))</f>
        <v/>
      </c>
      <c r="J218" s="45" t="str">
        <f aca="false">IF($Q218="","",INDEX('Lançar Resultado'!$P$3:$P$2002,$Q218))</f>
        <v/>
      </c>
      <c r="K218" s="46" t="str">
        <f aca="false">IF($Q218="","",INDEX('Lançar Resultado'!$N$3:$N$2002,$Q218))</f>
        <v/>
      </c>
      <c r="L218" s="47" t="str">
        <f aca="false">IF($Q218="","",INDEX('Lançar Resultado'!$I$3:$I$2002,$Q218))</f>
        <v/>
      </c>
      <c r="M218" s="47" t="str">
        <f aca="false">IF($Q218="","",INDEX('Lançar Resultado'!$J$3:$J$2002,$Q218))</f>
        <v/>
      </c>
      <c r="N218" s="44" t="str">
        <f aca="false">IF($Q218="","",INDEX('Lançar Resultado'!$K$3:$K$2002,$Q218))</f>
        <v/>
      </c>
      <c r="O218" s="46" t="str">
        <f aca="false">IF($Q218="","",INDEX('Lançar Resultado'!$L$3:$L$2002,$Q218))</f>
        <v/>
      </c>
      <c r="P218" s="45" t="str">
        <f aca="false">IF($Q218="","",IF(OR($O218="Concluída",$N218=""),"",IF($N218&lt;INT(Parâmetros!$C$4),INT(Parâmetros!$C$4)-$N218,"")))</f>
        <v/>
      </c>
      <c r="Q218" s="45" t="str">
        <f aca="false">IFERROR(MATCH(216,'Lançar Resultado'!$Q$3:$Q$2002,0),"")</f>
        <v/>
      </c>
    </row>
    <row r="219" customFormat="false" ht="18" hidden="false" customHeight="true" outlineLevel="0" collapsed="false">
      <c r="A219" s="39" t="n">
        <v>217</v>
      </c>
      <c r="B219" s="47" t="str">
        <f aca="false">IF($Q219="","",INDEX('Lançar Resultado'!$A$3:$A$2002,$Q219))</f>
        <v/>
      </c>
      <c r="C219" s="44" t="str">
        <f aca="false">IF($Q219="","",INDEX('Lançar Resultado'!$B$3:$B$2002,$Q219))</f>
        <v/>
      </c>
      <c r="D219" s="46" t="str">
        <f aca="false">IF($Q219="","",IF(SUMPRODUCT((Inspeções!$B$3:$B$122=$B219)*(Inspeções!$A$3:$A$122=$C219)*(ROW(Inspeções!$B$3:$B$122)-3+1))=0,"",INDEX(Inspeções!$C$3:$C$122,SUMPRODUCT((Inspeções!$B$3:$B$122=$B219)*(Inspeções!$A$3:$A$122=$C219)*(ROW(Inspeções!$B$3:$B$122)-3+1)))))</f>
        <v/>
      </c>
      <c r="E219" s="47" t="str">
        <f aca="false">IF($Q219="","",INDEX('Lançar Resultado'!$C$3:$C$2002,$Q219))</f>
        <v/>
      </c>
      <c r="F219" s="47" t="str">
        <f aca="false">IF($Q219="","",IFERROR(INDEX(Equipamentos!$E$3:$E$52,MATCH($B219,Equipamentos!$A$3:$A$52,0)),""))</f>
        <v/>
      </c>
      <c r="G219" s="47" t="str">
        <f aca="false">IF($Q219="","",INDEX('Lançar Resultado'!$D$3:$D$2002,$Q219))</f>
        <v/>
      </c>
      <c r="H219" s="47" t="str">
        <f aca="false">IF($Q219="","",INDEX('Lançar Resultado'!$E$3:$E$2002,$Q219))</f>
        <v/>
      </c>
      <c r="I219" s="46" t="str">
        <f aca="false">IF($Q219="","",INDEX('Lançar Resultado'!$G$3:$G$2002,$Q219))</f>
        <v/>
      </c>
      <c r="J219" s="45" t="str">
        <f aca="false">IF($Q219="","",INDEX('Lançar Resultado'!$P$3:$P$2002,$Q219))</f>
        <v/>
      </c>
      <c r="K219" s="46" t="str">
        <f aca="false">IF($Q219="","",INDEX('Lançar Resultado'!$N$3:$N$2002,$Q219))</f>
        <v/>
      </c>
      <c r="L219" s="47" t="str">
        <f aca="false">IF($Q219="","",INDEX('Lançar Resultado'!$I$3:$I$2002,$Q219))</f>
        <v/>
      </c>
      <c r="M219" s="47" t="str">
        <f aca="false">IF($Q219="","",INDEX('Lançar Resultado'!$J$3:$J$2002,$Q219))</f>
        <v/>
      </c>
      <c r="N219" s="44" t="str">
        <f aca="false">IF($Q219="","",INDEX('Lançar Resultado'!$K$3:$K$2002,$Q219))</f>
        <v/>
      </c>
      <c r="O219" s="46" t="str">
        <f aca="false">IF($Q219="","",INDEX('Lançar Resultado'!$L$3:$L$2002,$Q219))</f>
        <v/>
      </c>
      <c r="P219" s="45" t="str">
        <f aca="false">IF($Q219="","",IF(OR($O219="Concluída",$N219=""),"",IF($N219&lt;INT(Parâmetros!$C$4),INT(Parâmetros!$C$4)-$N219,"")))</f>
        <v/>
      </c>
      <c r="Q219" s="45" t="str">
        <f aca="false">IFERROR(MATCH(217,'Lançar Resultado'!$Q$3:$Q$2002,0),"")</f>
        <v/>
      </c>
    </row>
    <row r="220" customFormat="false" ht="18" hidden="false" customHeight="true" outlineLevel="0" collapsed="false">
      <c r="A220" s="39" t="n">
        <v>218</v>
      </c>
      <c r="B220" s="47" t="str">
        <f aca="false">IF($Q220="","",INDEX('Lançar Resultado'!$A$3:$A$2002,$Q220))</f>
        <v/>
      </c>
      <c r="C220" s="44" t="str">
        <f aca="false">IF($Q220="","",INDEX('Lançar Resultado'!$B$3:$B$2002,$Q220))</f>
        <v/>
      </c>
      <c r="D220" s="46" t="str">
        <f aca="false">IF($Q220="","",IF(SUMPRODUCT((Inspeções!$B$3:$B$122=$B220)*(Inspeções!$A$3:$A$122=$C220)*(ROW(Inspeções!$B$3:$B$122)-3+1))=0,"",INDEX(Inspeções!$C$3:$C$122,SUMPRODUCT((Inspeções!$B$3:$B$122=$B220)*(Inspeções!$A$3:$A$122=$C220)*(ROW(Inspeções!$B$3:$B$122)-3+1)))))</f>
        <v/>
      </c>
      <c r="E220" s="47" t="str">
        <f aca="false">IF($Q220="","",INDEX('Lançar Resultado'!$C$3:$C$2002,$Q220))</f>
        <v/>
      </c>
      <c r="F220" s="47" t="str">
        <f aca="false">IF($Q220="","",IFERROR(INDEX(Equipamentos!$E$3:$E$52,MATCH($B220,Equipamentos!$A$3:$A$52,0)),""))</f>
        <v/>
      </c>
      <c r="G220" s="47" t="str">
        <f aca="false">IF($Q220="","",INDEX('Lançar Resultado'!$D$3:$D$2002,$Q220))</f>
        <v/>
      </c>
      <c r="H220" s="47" t="str">
        <f aca="false">IF($Q220="","",INDEX('Lançar Resultado'!$E$3:$E$2002,$Q220))</f>
        <v/>
      </c>
      <c r="I220" s="46" t="str">
        <f aca="false">IF($Q220="","",INDEX('Lançar Resultado'!$G$3:$G$2002,$Q220))</f>
        <v/>
      </c>
      <c r="J220" s="45" t="str">
        <f aca="false">IF($Q220="","",INDEX('Lançar Resultado'!$P$3:$P$2002,$Q220))</f>
        <v/>
      </c>
      <c r="K220" s="46" t="str">
        <f aca="false">IF($Q220="","",INDEX('Lançar Resultado'!$N$3:$N$2002,$Q220))</f>
        <v/>
      </c>
      <c r="L220" s="47" t="str">
        <f aca="false">IF($Q220="","",INDEX('Lançar Resultado'!$I$3:$I$2002,$Q220))</f>
        <v/>
      </c>
      <c r="M220" s="47" t="str">
        <f aca="false">IF($Q220="","",INDEX('Lançar Resultado'!$J$3:$J$2002,$Q220))</f>
        <v/>
      </c>
      <c r="N220" s="44" t="str">
        <f aca="false">IF($Q220="","",INDEX('Lançar Resultado'!$K$3:$K$2002,$Q220))</f>
        <v/>
      </c>
      <c r="O220" s="46" t="str">
        <f aca="false">IF($Q220="","",INDEX('Lançar Resultado'!$L$3:$L$2002,$Q220))</f>
        <v/>
      </c>
      <c r="P220" s="45" t="str">
        <f aca="false">IF($Q220="","",IF(OR($O220="Concluída",$N220=""),"",IF($N220&lt;INT(Parâmetros!$C$4),INT(Parâmetros!$C$4)-$N220,"")))</f>
        <v/>
      </c>
      <c r="Q220" s="45" t="str">
        <f aca="false">IFERROR(MATCH(218,'Lançar Resultado'!$Q$3:$Q$2002,0),"")</f>
        <v/>
      </c>
    </row>
    <row r="221" customFormat="false" ht="18" hidden="false" customHeight="true" outlineLevel="0" collapsed="false">
      <c r="A221" s="39" t="n">
        <v>219</v>
      </c>
      <c r="B221" s="47" t="str">
        <f aca="false">IF($Q221="","",INDEX('Lançar Resultado'!$A$3:$A$2002,$Q221))</f>
        <v/>
      </c>
      <c r="C221" s="44" t="str">
        <f aca="false">IF($Q221="","",INDEX('Lançar Resultado'!$B$3:$B$2002,$Q221))</f>
        <v/>
      </c>
      <c r="D221" s="46" t="str">
        <f aca="false">IF($Q221="","",IF(SUMPRODUCT((Inspeções!$B$3:$B$122=$B221)*(Inspeções!$A$3:$A$122=$C221)*(ROW(Inspeções!$B$3:$B$122)-3+1))=0,"",INDEX(Inspeções!$C$3:$C$122,SUMPRODUCT((Inspeções!$B$3:$B$122=$B221)*(Inspeções!$A$3:$A$122=$C221)*(ROW(Inspeções!$B$3:$B$122)-3+1)))))</f>
        <v/>
      </c>
      <c r="E221" s="47" t="str">
        <f aca="false">IF($Q221="","",INDEX('Lançar Resultado'!$C$3:$C$2002,$Q221))</f>
        <v/>
      </c>
      <c r="F221" s="47" t="str">
        <f aca="false">IF($Q221="","",IFERROR(INDEX(Equipamentos!$E$3:$E$52,MATCH($B221,Equipamentos!$A$3:$A$52,0)),""))</f>
        <v/>
      </c>
      <c r="G221" s="47" t="str">
        <f aca="false">IF($Q221="","",INDEX('Lançar Resultado'!$D$3:$D$2002,$Q221))</f>
        <v/>
      </c>
      <c r="H221" s="47" t="str">
        <f aca="false">IF($Q221="","",INDEX('Lançar Resultado'!$E$3:$E$2002,$Q221))</f>
        <v/>
      </c>
      <c r="I221" s="46" t="str">
        <f aca="false">IF($Q221="","",INDEX('Lançar Resultado'!$G$3:$G$2002,$Q221))</f>
        <v/>
      </c>
      <c r="J221" s="45" t="str">
        <f aca="false">IF($Q221="","",INDEX('Lançar Resultado'!$P$3:$P$2002,$Q221))</f>
        <v/>
      </c>
      <c r="K221" s="46" t="str">
        <f aca="false">IF($Q221="","",INDEX('Lançar Resultado'!$N$3:$N$2002,$Q221))</f>
        <v/>
      </c>
      <c r="L221" s="47" t="str">
        <f aca="false">IF($Q221="","",INDEX('Lançar Resultado'!$I$3:$I$2002,$Q221))</f>
        <v/>
      </c>
      <c r="M221" s="47" t="str">
        <f aca="false">IF($Q221="","",INDEX('Lançar Resultado'!$J$3:$J$2002,$Q221))</f>
        <v/>
      </c>
      <c r="N221" s="44" t="str">
        <f aca="false">IF($Q221="","",INDEX('Lançar Resultado'!$K$3:$K$2002,$Q221))</f>
        <v/>
      </c>
      <c r="O221" s="46" t="str">
        <f aca="false">IF($Q221="","",INDEX('Lançar Resultado'!$L$3:$L$2002,$Q221))</f>
        <v/>
      </c>
      <c r="P221" s="45" t="str">
        <f aca="false">IF($Q221="","",IF(OR($O221="Concluída",$N221=""),"",IF($N221&lt;INT(Parâmetros!$C$4),INT(Parâmetros!$C$4)-$N221,"")))</f>
        <v/>
      </c>
      <c r="Q221" s="45" t="str">
        <f aca="false">IFERROR(MATCH(219,'Lançar Resultado'!$Q$3:$Q$2002,0),"")</f>
        <v/>
      </c>
    </row>
    <row r="222" customFormat="false" ht="18" hidden="false" customHeight="true" outlineLevel="0" collapsed="false">
      <c r="A222" s="39" t="n">
        <v>220</v>
      </c>
      <c r="B222" s="47" t="str">
        <f aca="false">IF($Q222="","",INDEX('Lançar Resultado'!$A$3:$A$2002,$Q222))</f>
        <v/>
      </c>
      <c r="C222" s="44" t="str">
        <f aca="false">IF($Q222="","",INDEX('Lançar Resultado'!$B$3:$B$2002,$Q222))</f>
        <v/>
      </c>
      <c r="D222" s="46" t="str">
        <f aca="false">IF($Q222="","",IF(SUMPRODUCT((Inspeções!$B$3:$B$122=$B222)*(Inspeções!$A$3:$A$122=$C222)*(ROW(Inspeções!$B$3:$B$122)-3+1))=0,"",INDEX(Inspeções!$C$3:$C$122,SUMPRODUCT((Inspeções!$B$3:$B$122=$B222)*(Inspeções!$A$3:$A$122=$C222)*(ROW(Inspeções!$B$3:$B$122)-3+1)))))</f>
        <v/>
      </c>
      <c r="E222" s="47" t="str">
        <f aca="false">IF($Q222="","",INDEX('Lançar Resultado'!$C$3:$C$2002,$Q222))</f>
        <v/>
      </c>
      <c r="F222" s="47" t="str">
        <f aca="false">IF($Q222="","",IFERROR(INDEX(Equipamentos!$E$3:$E$52,MATCH($B222,Equipamentos!$A$3:$A$52,0)),""))</f>
        <v/>
      </c>
      <c r="G222" s="47" t="str">
        <f aca="false">IF($Q222="","",INDEX('Lançar Resultado'!$D$3:$D$2002,$Q222))</f>
        <v/>
      </c>
      <c r="H222" s="47" t="str">
        <f aca="false">IF($Q222="","",INDEX('Lançar Resultado'!$E$3:$E$2002,$Q222))</f>
        <v/>
      </c>
      <c r="I222" s="46" t="str">
        <f aca="false">IF($Q222="","",INDEX('Lançar Resultado'!$G$3:$G$2002,$Q222))</f>
        <v/>
      </c>
      <c r="J222" s="45" t="str">
        <f aca="false">IF($Q222="","",INDEX('Lançar Resultado'!$P$3:$P$2002,$Q222))</f>
        <v/>
      </c>
      <c r="K222" s="46" t="str">
        <f aca="false">IF($Q222="","",INDEX('Lançar Resultado'!$N$3:$N$2002,$Q222))</f>
        <v/>
      </c>
      <c r="L222" s="47" t="str">
        <f aca="false">IF($Q222="","",INDEX('Lançar Resultado'!$I$3:$I$2002,$Q222))</f>
        <v/>
      </c>
      <c r="M222" s="47" t="str">
        <f aca="false">IF($Q222="","",INDEX('Lançar Resultado'!$J$3:$J$2002,$Q222))</f>
        <v/>
      </c>
      <c r="N222" s="44" t="str">
        <f aca="false">IF($Q222="","",INDEX('Lançar Resultado'!$K$3:$K$2002,$Q222))</f>
        <v/>
      </c>
      <c r="O222" s="46" t="str">
        <f aca="false">IF($Q222="","",INDEX('Lançar Resultado'!$L$3:$L$2002,$Q222))</f>
        <v/>
      </c>
      <c r="P222" s="45" t="str">
        <f aca="false">IF($Q222="","",IF(OR($O222="Concluída",$N222=""),"",IF($N222&lt;INT(Parâmetros!$C$4),INT(Parâmetros!$C$4)-$N222,"")))</f>
        <v/>
      </c>
      <c r="Q222" s="45" t="str">
        <f aca="false">IFERROR(MATCH(220,'Lançar Resultado'!$Q$3:$Q$2002,0),"")</f>
        <v/>
      </c>
    </row>
    <row r="223" customFormat="false" ht="18" hidden="false" customHeight="true" outlineLevel="0" collapsed="false">
      <c r="A223" s="39" t="n">
        <v>221</v>
      </c>
      <c r="B223" s="47" t="str">
        <f aca="false">IF($Q223="","",INDEX('Lançar Resultado'!$A$3:$A$2002,$Q223))</f>
        <v/>
      </c>
      <c r="C223" s="44" t="str">
        <f aca="false">IF($Q223="","",INDEX('Lançar Resultado'!$B$3:$B$2002,$Q223))</f>
        <v/>
      </c>
      <c r="D223" s="46" t="str">
        <f aca="false">IF($Q223="","",IF(SUMPRODUCT((Inspeções!$B$3:$B$122=$B223)*(Inspeções!$A$3:$A$122=$C223)*(ROW(Inspeções!$B$3:$B$122)-3+1))=0,"",INDEX(Inspeções!$C$3:$C$122,SUMPRODUCT((Inspeções!$B$3:$B$122=$B223)*(Inspeções!$A$3:$A$122=$C223)*(ROW(Inspeções!$B$3:$B$122)-3+1)))))</f>
        <v/>
      </c>
      <c r="E223" s="47" t="str">
        <f aca="false">IF($Q223="","",INDEX('Lançar Resultado'!$C$3:$C$2002,$Q223))</f>
        <v/>
      </c>
      <c r="F223" s="47" t="str">
        <f aca="false">IF($Q223="","",IFERROR(INDEX(Equipamentos!$E$3:$E$52,MATCH($B223,Equipamentos!$A$3:$A$52,0)),""))</f>
        <v/>
      </c>
      <c r="G223" s="47" t="str">
        <f aca="false">IF($Q223="","",INDEX('Lançar Resultado'!$D$3:$D$2002,$Q223))</f>
        <v/>
      </c>
      <c r="H223" s="47" t="str">
        <f aca="false">IF($Q223="","",INDEX('Lançar Resultado'!$E$3:$E$2002,$Q223))</f>
        <v/>
      </c>
      <c r="I223" s="46" t="str">
        <f aca="false">IF($Q223="","",INDEX('Lançar Resultado'!$G$3:$G$2002,$Q223))</f>
        <v/>
      </c>
      <c r="J223" s="45" t="str">
        <f aca="false">IF($Q223="","",INDEX('Lançar Resultado'!$P$3:$P$2002,$Q223))</f>
        <v/>
      </c>
      <c r="K223" s="46" t="str">
        <f aca="false">IF($Q223="","",INDEX('Lançar Resultado'!$N$3:$N$2002,$Q223))</f>
        <v/>
      </c>
      <c r="L223" s="47" t="str">
        <f aca="false">IF($Q223="","",INDEX('Lançar Resultado'!$I$3:$I$2002,$Q223))</f>
        <v/>
      </c>
      <c r="M223" s="47" t="str">
        <f aca="false">IF($Q223="","",INDEX('Lançar Resultado'!$J$3:$J$2002,$Q223))</f>
        <v/>
      </c>
      <c r="N223" s="44" t="str">
        <f aca="false">IF($Q223="","",INDEX('Lançar Resultado'!$K$3:$K$2002,$Q223))</f>
        <v/>
      </c>
      <c r="O223" s="46" t="str">
        <f aca="false">IF($Q223="","",INDEX('Lançar Resultado'!$L$3:$L$2002,$Q223))</f>
        <v/>
      </c>
      <c r="P223" s="45" t="str">
        <f aca="false">IF($Q223="","",IF(OR($O223="Concluída",$N223=""),"",IF($N223&lt;INT(Parâmetros!$C$4),INT(Parâmetros!$C$4)-$N223,"")))</f>
        <v/>
      </c>
      <c r="Q223" s="45" t="str">
        <f aca="false">IFERROR(MATCH(221,'Lançar Resultado'!$Q$3:$Q$2002,0),"")</f>
        <v/>
      </c>
    </row>
    <row r="224" customFormat="false" ht="18" hidden="false" customHeight="true" outlineLevel="0" collapsed="false">
      <c r="A224" s="39" t="n">
        <v>222</v>
      </c>
      <c r="B224" s="47" t="str">
        <f aca="false">IF($Q224="","",INDEX('Lançar Resultado'!$A$3:$A$2002,$Q224))</f>
        <v/>
      </c>
      <c r="C224" s="44" t="str">
        <f aca="false">IF($Q224="","",INDEX('Lançar Resultado'!$B$3:$B$2002,$Q224))</f>
        <v/>
      </c>
      <c r="D224" s="46" t="str">
        <f aca="false">IF($Q224="","",IF(SUMPRODUCT((Inspeções!$B$3:$B$122=$B224)*(Inspeções!$A$3:$A$122=$C224)*(ROW(Inspeções!$B$3:$B$122)-3+1))=0,"",INDEX(Inspeções!$C$3:$C$122,SUMPRODUCT((Inspeções!$B$3:$B$122=$B224)*(Inspeções!$A$3:$A$122=$C224)*(ROW(Inspeções!$B$3:$B$122)-3+1)))))</f>
        <v/>
      </c>
      <c r="E224" s="47" t="str">
        <f aca="false">IF($Q224="","",INDEX('Lançar Resultado'!$C$3:$C$2002,$Q224))</f>
        <v/>
      </c>
      <c r="F224" s="47" t="str">
        <f aca="false">IF($Q224="","",IFERROR(INDEX(Equipamentos!$E$3:$E$52,MATCH($B224,Equipamentos!$A$3:$A$52,0)),""))</f>
        <v/>
      </c>
      <c r="G224" s="47" t="str">
        <f aca="false">IF($Q224="","",INDEX('Lançar Resultado'!$D$3:$D$2002,$Q224))</f>
        <v/>
      </c>
      <c r="H224" s="47" t="str">
        <f aca="false">IF($Q224="","",INDEX('Lançar Resultado'!$E$3:$E$2002,$Q224))</f>
        <v/>
      </c>
      <c r="I224" s="46" t="str">
        <f aca="false">IF($Q224="","",INDEX('Lançar Resultado'!$G$3:$G$2002,$Q224))</f>
        <v/>
      </c>
      <c r="J224" s="45" t="str">
        <f aca="false">IF($Q224="","",INDEX('Lançar Resultado'!$P$3:$P$2002,$Q224))</f>
        <v/>
      </c>
      <c r="K224" s="46" t="str">
        <f aca="false">IF($Q224="","",INDEX('Lançar Resultado'!$N$3:$N$2002,$Q224))</f>
        <v/>
      </c>
      <c r="L224" s="47" t="str">
        <f aca="false">IF($Q224="","",INDEX('Lançar Resultado'!$I$3:$I$2002,$Q224))</f>
        <v/>
      </c>
      <c r="M224" s="47" t="str">
        <f aca="false">IF($Q224="","",INDEX('Lançar Resultado'!$J$3:$J$2002,$Q224))</f>
        <v/>
      </c>
      <c r="N224" s="44" t="str">
        <f aca="false">IF($Q224="","",INDEX('Lançar Resultado'!$K$3:$K$2002,$Q224))</f>
        <v/>
      </c>
      <c r="O224" s="46" t="str">
        <f aca="false">IF($Q224="","",INDEX('Lançar Resultado'!$L$3:$L$2002,$Q224))</f>
        <v/>
      </c>
      <c r="P224" s="45" t="str">
        <f aca="false">IF($Q224="","",IF(OR($O224="Concluída",$N224=""),"",IF($N224&lt;INT(Parâmetros!$C$4),INT(Parâmetros!$C$4)-$N224,"")))</f>
        <v/>
      </c>
      <c r="Q224" s="45" t="str">
        <f aca="false">IFERROR(MATCH(222,'Lançar Resultado'!$Q$3:$Q$2002,0),"")</f>
        <v/>
      </c>
    </row>
    <row r="225" customFormat="false" ht="18" hidden="false" customHeight="true" outlineLevel="0" collapsed="false">
      <c r="A225" s="39" t="n">
        <v>223</v>
      </c>
      <c r="B225" s="47" t="str">
        <f aca="false">IF($Q225="","",INDEX('Lançar Resultado'!$A$3:$A$2002,$Q225))</f>
        <v/>
      </c>
      <c r="C225" s="44" t="str">
        <f aca="false">IF($Q225="","",INDEX('Lançar Resultado'!$B$3:$B$2002,$Q225))</f>
        <v/>
      </c>
      <c r="D225" s="46" t="str">
        <f aca="false">IF($Q225="","",IF(SUMPRODUCT((Inspeções!$B$3:$B$122=$B225)*(Inspeções!$A$3:$A$122=$C225)*(ROW(Inspeções!$B$3:$B$122)-3+1))=0,"",INDEX(Inspeções!$C$3:$C$122,SUMPRODUCT((Inspeções!$B$3:$B$122=$B225)*(Inspeções!$A$3:$A$122=$C225)*(ROW(Inspeções!$B$3:$B$122)-3+1)))))</f>
        <v/>
      </c>
      <c r="E225" s="47" t="str">
        <f aca="false">IF($Q225="","",INDEX('Lançar Resultado'!$C$3:$C$2002,$Q225))</f>
        <v/>
      </c>
      <c r="F225" s="47" t="str">
        <f aca="false">IF($Q225="","",IFERROR(INDEX(Equipamentos!$E$3:$E$52,MATCH($B225,Equipamentos!$A$3:$A$52,0)),""))</f>
        <v/>
      </c>
      <c r="G225" s="47" t="str">
        <f aca="false">IF($Q225="","",INDEX('Lançar Resultado'!$D$3:$D$2002,$Q225))</f>
        <v/>
      </c>
      <c r="H225" s="47" t="str">
        <f aca="false">IF($Q225="","",INDEX('Lançar Resultado'!$E$3:$E$2002,$Q225))</f>
        <v/>
      </c>
      <c r="I225" s="46" t="str">
        <f aca="false">IF($Q225="","",INDEX('Lançar Resultado'!$G$3:$G$2002,$Q225))</f>
        <v/>
      </c>
      <c r="J225" s="45" t="str">
        <f aca="false">IF($Q225="","",INDEX('Lançar Resultado'!$P$3:$P$2002,$Q225))</f>
        <v/>
      </c>
      <c r="K225" s="46" t="str">
        <f aca="false">IF($Q225="","",INDEX('Lançar Resultado'!$N$3:$N$2002,$Q225))</f>
        <v/>
      </c>
      <c r="L225" s="47" t="str">
        <f aca="false">IF($Q225="","",INDEX('Lançar Resultado'!$I$3:$I$2002,$Q225))</f>
        <v/>
      </c>
      <c r="M225" s="47" t="str">
        <f aca="false">IF($Q225="","",INDEX('Lançar Resultado'!$J$3:$J$2002,$Q225))</f>
        <v/>
      </c>
      <c r="N225" s="44" t="str">
        <f aca="false">IF($Q225="","",INDEX('Lançar Resultado'!$K$3:$K$2002,$Q225))</f>
        <v/>
      </c>
      <c r="O225" s="46" t="str">
        <f aca="false">IF($Q225="","",INDEX('Lançar Resultado'!$L$3:$L$2002,$Q225))</f>
        <v/>
      </c>
      <c r="P225" s="45" t="str">
        <f aca="false">IF($Q225="","",IF(OR($O225="Concluída",$N225=""),"",IF($N225&lt;INT(Parâmetros!$C$4),INT(Parâmetros!$C$4)-$N225,"")))</f>
        <v/>
      </c>
      <c r="Q225" s="45" t="str">
        <f aca="false">IFERROR(MATCH(223,'Lançar Resultado'!$Q$3:$Q$2002,0),"")</f>
        <v/>
      </c>
    </row>
    <row r="226" customFormat="false" ht="18" hidden="false" customHeight="true" outlineLevel="0" collapsed="false">
      <c r="A226" s="39" t="n">
        <v>224</v>
      </c>
      <c r="B226" s="47" t="str">
        <f aca="false">IF($Q226="","",INDEX('Lançar Resultado'!$A$3:$A$2002,$Q226))</f>
        <v/>
      </c>
      <c r="C226" s="44" t="str">
        <f aca="false">IF($Q226="","",INDEX('Lançar Resultado'!$B$3:$B$2002,$Q226))</f>
        <v/>
      </c>
      <c r="D226" s="46" t="str">
        <f aca="false">IF($Q226="","",IF(SUMPRODUCT((Inspeções!$B$3:$B$122=$B226)*(Inspeções!$A$3:$A$122=$C226)*(ROW(Inspeções!$B$3:$B$122)-3+1))=0,"",INDEX(Inspeções!$C$3:$C$122,SUMPRODUCT((Inspeções!$B$3:$B$122=$B226)*(Inspeções!$A$3:$A$122=$C226)*(ROW(Inspeções!$B$3:$B$122)-3+1)))))</f>
        <v/>
      </c>
      <c r="E226" s="47" t="str">
        <f aca="false">IF($Q226="","",INDEX('Lançar Resultado'!$C$3:$C$2002,$Q226))</f>
        <v/>
      </c>
      <c r="F226" s="47" t="str">
        <f aca="false">IF($Q226="","",IFERROR(INDEX(Equipamentos!$E$3:$E$52,MATCH($B226,Equipamentos!$A$3:$A$52,0)),""))</f>
        <v/>
      </c>
      <c r="G226" s="47" t="str">
        <f aca="false">IF($Q226="","",INDEX('Lançar Resultado'!$D$3:$D$2002,$Q226))</f>
        <v/>
      </c>
      <c r="H226" s="47" t="str">
        <f aca="false">IF($Q226="","",INDEX('Lançar Resultado'!$E$3:$E$2002,$Q226))</f>
        <v/>
      </c>
      <c r="I226" s="46" t="str">
        <f aca="false">IF($Q226="","",INDEX('Lançar Resultado'!$G$3:$G$2002,$Q226))</f>
        <v/>
      </c>
      <c r="J226" s="45" t="str">
        <f aca="false">IF($Q226="","",INDEX('Lançar Resultado'!$P$3:$P$2002,$Q226))</f>
        <v/>
      </c>
      <c r="K226" s="46" t="str">
        <f aca="false">IF($Q226="","",INDEX('Lançar Resultado'!$N$3:$N$2002,$Q226))</f>
        <v/>
      </c>
      <c r="L226" s="47" t="str">
        <f aca="false">IF($Q226="","",INDEX('Lançar Resultado'!$I$3:$I$2002,$Q226))</f>
        <v/>
      </c>
      <c r="M226" s="47" t="str">
        <f aca="false">IF($Q226="","",INDEX('Lançar Resultado'!$J$3:$J$2002,$Q226))</f>
        <v/>
      </c>
      <c r="N226" s="44" t="str">
        <f aca="false">IF($Q226="","",INDEX('Lançar Resultado'!$K$3:$K$2002,$Q226))</f>
        <v/>
      </c>
      <c r="O226" s="46" t="str">
        <f aca="false">IF($Q226="","",INDEX('Lançar Resultado'!$L$3:$L$2002,$Q226))</f>
        <v/>
      </c>
      <c r="P226" s="45" t="str">
        <f aca="false">IF($Q226="","",IF(OR($O226="Concluída",$N226=""),"",IF($N226&lt;INT(Parâmetros!$C$4),INT(Parâmetros!$C$4)-$N226,"")))</f>
        <v/>
      </c>
      <c r="Q226" s="45" t="str">
        <f aca="false">IFERROR(MATCH(224,'Lançar Resultado'!$Q$3:$Q$2002,0),"")</f>
        <v/>
      </c>
    </row>
    <row r="227" customFormat="false" ht="18" hidden="false" customHeight="true" outlineLevel="0" collapsed="false">
      <c r="A227" s="39" t="n">
        <v>225</v>
      </c>
      <c r="B227" s="47" t="str">
        <f aca="false">IF($Q227="","",INDEX('Lançar Resultado'!$A$3:$A$2002,$Q227))</f>
        <v/>
      </c>
      <c r="C227" s="44" t="str">
        <f aca="false">IF($Q227="","",INDEX('Lançar Resultado'!$B$3:$B$2002,$Q227))</f>
        <v/>
      </c>
      <c r="D227" s="46" t="str">
        <f aca="false">IF($Q227="","",IF(SUMPRODUCT((Inspeções!$B$3:$B$122=$B227)*(Inspeções!$A$3:$A$122=$C227)*(ROW(Inspeções!$B$3:$B$122)-3+1))=0,"",INDEX(Inspeções!$C$3:$C$122,SUMPRODUCT((Inspeções!$B$3:$B$122=$B227)*(Inspeções!$A$3:$A$122=$C227)*(ROW(Inspeções!$B$3:$B$122)-3+1)))))</f>
        <v/>
      </c>
      <c r="E227" s="47" t="str">
        <f aca="false">IF($Q227="","",INDEX('Lançar Resultado'!$C$3:$C$2002,$Q227))</f>
        <v/>
      </c>
      <c r="F227" s="47" t="str">
        <f aca="false">IF($Q227="","",IFERROR(INDEX(Equipamentos!$E$3:$E$52,MATCH($B227,Equipamentos!$A$3:$A$52,0)),""))</f>
        <v/>
      </c>
      <c r="G227" s="47" t="str">
        <f aca="false">IF($Q227="","",INDEX('Lançar Resultado'!$D$3:$D$2002,$Q227))</f>
        <v/>
      </c>
      <c r="H227" s="47" t="str">
        <f aca="false">IF($Q227="","",INDEX('Lançar Resultado'!$E$3:$E$2002,$Q227))</f>
        <v/>
      </c>
      <c r="I227" s="46" t="str">
        <f aca="false">IF($Q227="","",INDEX('Lançar Resultado'!$G$3:$G$2002,$Q227))</f>
        <v/>
      </c>
      <c r="J227" s="45" t="str">
        <f aca="false">IF($Q227="","",INDEX('Lançar Resultado'!$P$3:$P$2002,$Q227))</f>
        <v/>
      </c>
      <c r="K227" s="46" t="str">
        <f aca="false">IF($Q227="","",INDEX('Lançar Resultado'!$N$3:$N$2002,$Q227))</f>
        <v/>
      </c>
      <c r="L227" s="47" t="str">
        <f aca="false">IF($Q227="","",INDEX('Lançar Resultado'!$I$3:$I$2002,$Q227))</f>
        <v/>
      </c>
      <c r="M227" s="47" t="str">
        <f aca="false">IF($Q227="","",INDEX('Lançar Resultado'!$J$3:$J$2002,$Q227))</f>
        <v/>
      </c>
      <c r="N227" s="44" t="str">
        <f aca="false">IF($Q227="","",INDEX('Lançar Resultado'!$K$3:$K$2002,$Q227))</f>
        <v/>
      </c>
      <c r="O227" s="46" t="str">
        <f aca="false">IF($Q227="","",INDEX('Lançar Resultado'!$L$3:$L$2002,$Q227))</f>
        <v/>
      </c>
      <c r="P227" s="45" t="str">
        <f aca="false">IF($Q227="","",IF(OR($O227="Concluída",$N227=""),"",IF($N227&lt;INT(Parâmetros!$C$4),INT(Parâmetros!$C$4)-$N227,"")))</f>
        <v/>
      </c>
      <c r="Q227" s="45" t="str">
        <f aca="false">IFERROR(MATCH(225,'Lançar Resultado'!$Q$3:$Q$2002,0),"")</f>
        <v/>
      </c>
    </row>
    <row r="228" customFormat="false" ht="18" hidden="false" customHeight="true" outlineLevel="0" collapsed="false">
      <c r="A228" s="39" t="n">
        <v>226</v>
      </c>
      <c r="B228" s="47" t="str">
        <f aca="false">IF($Q228="","",INDEX('Lançar Resultado'!$A$3:$A$2002,$Q228))</f>
        <v/>
      </c>
      <c r="C228" s="44" t="str">
        <f aca="false">IF($Q228="","",INDEX('Lançar Resultado'!$B$3:$B$2002,$Q228))</f>
        <v/>
      </c>
      <c r="D228" s="46" t="str">
        <f aca="false">IF($Q228="","",IF(SUMPRODUCT((Inspeções!$B$3:$B$122=$B228)*(Inspeções!$A$3:$A$122=$C228)*(ROW(Inspeções!$B$3:$B$122)-3+1))=0,"",INDEX(Inspeções!$C$3:$C$122,SUMPRODUCT((Inspeções!$B$3:$B$122=$B228)*(Inspeções!$A$3:$A$122=$C228)*(ROW(Inspeções!$B$3:$B$122)-3+1)))))</f>
        <v/>
      </c>
      <c r="E228" s="47" t="str">
        <f aca="false">IF($Q228="","",INDEX('Lançar Resultado'!$C$3:$C$2002,$Q228))</f>
        <v/>
      </c>
      <c r="F228" s="47" t="str">
        <f aca="false">IF($Q228="","",IFERROR(INDEX(Equipamentos!$E$3:$E$52,MATCH($B228,Equipamentos!$A$3:$A$52,0)),""))</f>
        <v/>
      </c>
      <c r="G228" s="47" t="str">
        <f aca="false">IF($Q228="","",INDEX('Lançar Resultado'!$D$3:$D$2002,$Q228))</f>
        <v/>
      </c>
      <c r="H228" s="47" t="str">
        <f aca="false">IF($Q228="","",INDEX('Lançar Resultado'!$E$3:$E$2002,$Q228))</f>
        <v/>
      </c>
      <c r="I228" s="46" t="str">
        <f aca="false">IF($Q228="","",INDEX('Lançar Resultado'!$G$3:$G$2002,$Q228))</f>
        <v/>
      </c>
      <c r="J228" s="45" t="str">
        <f aca="false">IF($Q228="","",INDEX('Lançar Resultado'!$P$3:$P$2002,$Q228))</f>
        <v/>
      </c>
      <c r="K228" s="46" t="str">
        <f aca="false">IF($Q228="","",INDEX('Lançar Resultado'!$N$3:$N$2002,$Q228))</f>
        <v/>
      </c>
      <c r="L228" s="47" t="str">
        <f aca="false">IF($Q228="","",INDEX('Lançar Resultado'!$I$3:$I$2002,$Q228))</f>
        <v/>
      </c>
      <c r="M228" s="47" t="str">
        <f aca="false">IF($Q228="","",INDEX('Lançar Resultado'!$J$3:$J$2002,$Q228))</f>
        <v/>
      </c>
      <c r="N228" s="44" t="str">
        <f aca="false">IF($Q228="","",INDEX('Lançar Resultado'!$K$3:$K$2002,$Q228))</f>
        <v/>
      </c>
      <c r="O228" s="46" t="str">
        <f aca="false">IF($Q228="","",INDEX('Lançar Resultado'!$L$3:$L$2002,$Q228))</f>
        <v/>
      </c>
      <c r="P228" s="45" t="str">
        <f aca="false">IF($Q228="","",IF(OR($O228="Concluída",$N228=""),"",IF($N228&lt;INT(Parâmetros!$C$4),INT(Parâmetros!$C$4)-$N228,"")))</f>
        <v/>
      </c>
      <c r="Q228" s="45" t="str">
        <f aca="false">IFERROR(MATCH(226,'Lançar Resultado'!$Q$3:$Q$2002,0),"")</f>
        <v/>
      </c>
    </row>
    <row r="229" customFormat="false" ht="18" hidden="false" customHeight="true" outlineLevel="0" collapsed="false">
      <c r="A229" s="39" t="n">
        <v>227</v>
      </c>
      <c r="B229" s="47" t="str">
        <f aca="false">IF($Q229="","",INDEX('Lançar Resultado'!$A$3:$A$2002,$Q229))</f>
        <v/>
      </c>
      <c r="C229" s="44" t="str">
        <f aca="false">IF($Q229="","",INDEX('Lançar Resultado'!$B$3:$B$2002,$Q229))</f>
        <v/>
      </c>
      <c r="D229" s="46" t="str">
        <f aca="false">IF($Q229="","",IF(SUMPRODUCT((Inspeções!$B$3:$B$122=$B229)*(Inspeções!$A$3:$A$122=$C229)*(ROW(Inspeções!$B$3:$B$122)-3+1))=0,"",INDEX(Inspeções!$C$3:$C$122,SUMPRODUCT((Inspeções!$B$3:$B$122=$B229)*(Inspeções!$A$3:$A$122=$C229)*(ROW(Inspeções!$B$3:$B$122)-3+1)))))</f>
        <v/>
      </c>
      <c r="E229" s="47" t="str">
        <f aca="false">IF($Q229="","",INDEX('Lançar Resultado'!$C$3:$C$2002,$Q229))</f>
        <v/>
      </c>
      <c r="F229" s="47" t="str">
        <f aca="false">IF($Q229="","",IFERROR(INDEX(Equipamentos!$E$3:$E$52,MATCH($B229,Equipamentos!$A$3:$A$52,0)),""))</f>
        <v/>
      </c>
      <c r="G229" s="47" t="str">
        <f aca="false">IF($Q229="","",INDEX('Lançar Resultado'!$D$3:$D$2002,$Q229))</f>
        <v/>
      </c>
      <c r="H229" s="47" t="str">
        <f aca="false">IF($Q229="","",INDEX('Lançar Resultado'!$E$3:$E$2002,$Q229))</f>
        <v/>
      </c>
      <c r="I229" s="46" t="str">
        <f aca="false">IF($Q229="","",INDEX('Lançar Resultado'!$G$3:$G$2002,$Q229))</f>
        <v/>
      </c>
      <c r="J229" s="45" t="str">
        <f aca="false">IF($Q229="","",INDEX('Lançar Resultado'!$P$3:$P$2002,$Q229))</f>
        <v/>
      </c>
      <c r="K229" s="46" t="str">
        <f aca="false">IF($Q229="","",INDEX('Lançar Resultado'!$N$3:$N$2002,$Q229))</f>
        <v/>
      </c>
      <c r="L229" s="47" t="str">
        <f aca="false">IF($Q229="","",INDEX('Lançar Resultado'!$I$3:$I$2002,$Q229))</f>
        <v/>
      </c>
      <c r="M229" s="47" t="str">
        <f aca="false">IF($Q229="","",INDEX('Lançar Resultado'!$J$3:$J$2002,$Q229))</f>
        <v/>
      </c>
      <c r="N229" s="44" t="str">
        <f aca="false">IF($Q229="","",INDEX('Lançar Resultado'!$K$3:$K$2002,$Q229))</f>
        <v/>
      </c>
      <c r="O229" s="46" t="str">
        <f aca="false">IF($Q229="","",INDEX('Lançar Resultado'!$L$3:$L$2002,$Q229))</f>
        <v/>
      </c>
      <c r="P229" s="45" t="str">
        <f aca="false">IF($Q229="","",IF(OR($O229="Concluída",$N229=""),"",IF($N229&lt;INT(Parâmetros!$C$4),INT(Parâmetros!$C$4)-$N229,"")))</f>
        <v/>
      </c>
      <c r="Q229" s="45" t="str">
        <f aca="false">IFERROR(MATCH(227,'Lançar Resultado'!$Q$3:$Q$2002,0),"")</f>
        <v/>
      </c>
    </row>
    <row r="230" customFormat="false" ht="18" hidden="false" customHeight="true" outlineLevel="0" collapsed="false">
      <c r="A230" s="39" t="n">
        <v>228</v>
      </c>
      <c r="B230" s="47" t="str">
        <f aca="false">IF($Q230="","",INDEX('Lançar Resultado'!$A$3:$A$2002,$Q230))</f>
        <v/>
      </c>
      <c r="C230" s="44" t="str">
        <f aca="false">IF($Q230="","",INDEX('Lançar Resultado'!$B$3:$B$2002,$Q230))</f>
        <v/>
      </c>
      <c r="D230" s="46" t="str">
        <f aca="false">IF($Q230="","",IF(SUMPRODUCT((Inspeções!$B$3:$B$122=$B230)*(Inspeções!$A$3:$A$122=$C230)*(ROW(Inspeções!$B$3:$B$122)-3+1))=0,"",INDEX(Inspeções!$C$3:$C$122,SUMPRODUCT((Inspeções!$B$3:$B$122=$B230)*(Inspeções!$A$3:$A$122=$C230)*(ROW(Inspeções!$B$3:$B$122)-3+1)))))</f>
        <v/>
      </c>
      <c r="E230" s="47" t="str">
        <f aca="false">IF($Q230="","",INDEX('Lançar Resultado'!$C$3:$C$2002,$Q230))</f>
        <v/>
      </c>
      <c r="F230" s="47" t="str">
        <f aca="false">IF($Q230="","",IFERROR(INDEX(Equipamentos!$E$3:$E$52,MATCH($B230,Equipamentos!$A$3:$A$52,0)),""))</f>
        <v/>
      </c>
      <c r="G230" s="47" t="str">
        <f aca="false">IF($Q230="","",INDEX('Lançar Resultado'!$D$3:$D$2002,$Q230))</f>
        <v/>
      </c>
      <c r="H230" s="47" t="str">
        <f aca="false">IF($Q230="","",INDEX('Lançar Resultado'!$E$3:$E$2002,$Q230))</f>
        <v/>
      </c>
      <c r="I230" s="46" t="str">
        <f aca="false">IF($Q230="","",INDEX('Lançar Resultado'!$G$3:$G$2002,$Q230))</f>
        <v/>
      </c>
      <c r="J230" s="45" t="str">
        <f aca="false">IF($Q230="","",INDEX('Lançar Resultado'!$P$3:$P$2002,$Q230))</f>
        <v/>
      </c>
      <c r="K230" s="46" t="str">
        <f aca="false">IF($Q230="","",INDEX('Lançar Resultado'!$N$3:$N$2002,$Q230))</f>
        <v/>
      </c>
      <c r="L230" s="47" t="str">
        <f aca="false">IF($Q230="","",INDEX('Lançar Resultado'!$I$3:$I$2002,$Q230))</f>
        <v/>
      </c>
      <c r="M230" s="47" t="str">
        <f aca="false">IF($Q230="","",INDEX('Lançar Resultado'!$J$3:$J$2002,$Q230))</f>
        <v/>
      </c>
      <c r="N230" s="44" t="str">
        <f aca="false">IF($Q230="","",INDEX('Lançar Resultado'!$K$3:$K$2002,$Q230))</f>
        <v/>
      </c>
      <c r="O230" s="46" t="str">
        <f aca="false">IF($Q230="","",INDEX('Lançar Resultado'!$L$3:$L$2002,$Q230))</f>
        <v/>
      </c>
      <c r="P230" s="45" t="str">
        <f aca="false">IF($Q230="","",IF(OR($O230="Concluída",$N230=""),"",IF($N230&lt;INT(Parâmetros!$C$4),INT(Parâmetros!$C$4)-$N230,"")))</f>
        <v/>
      </c>
      <c r="Q230" s="45" t="str">
        <f aca="false">IFERROR(MATCH(228,'Lançar Resultado'!$Q$3:$Q$2002,0),"")</f>
        <v/>
      </c>
    </row>
    <row r="231" customFormat="false" ht="18" hidden="false" customHeight="true" outlineLevel="0" collapsed="false">
      <c r="A231" s="39" t="n">
        <v>229</v>
      </c>
      <c r="B231" s="47" t="str">
        <f aca="false">IF($Q231="","",INDEX('Lançar Resultado'!$A$3:$A$2002,$Q231))</f>
        <v/>
      </c>
      <c r="C231" s="44" t="str">
        <f aca="false">IF($Q231="","",INDEX('Lançar Resultado'!$B$3:$B$2002,$Q231))</f>
        <v/>
      </c>
      <c r="D231" s="46" t="str">
        <f aca="false">IF($Q231="","",IF(SUMPRODUCT((Inspeções!$B$3:$B$122=$B231)*(Inspeções!$A$3:$A$122=$C231)*(ROW(Inspeções!$B$3:$B$122)-3+1))=0,"",INDEX(Inspeções!$C$3:$C$122,SUMPRODUCT((Inspeções!$B$3:$B$122=$B231)*(Inspeções!$A$3:$A$122=$C231)*(ROW(Inspeções!$B$3:$B$122)-3+1)))))</f>
        <v/>
      </c>
      <c r="E231" s="47" t="str">
        <f aca="false">IF($Q231="","",INDEX('Lançar Resultado'!$C$3:$C$2002,$Q231))</f>
        <v/>
      </c>
      <c r="F231" s="47" t="str">
        <f aca="false">IF($Q231="","",IFERROR(INDEX(Equipamentos!$E$3:$E$52,MATCH($B231,Equipamentos!$A$3:$A$52,0)),""))</f>
        <v/>
      </c>
      <c r="G231" s="47" t="str">
        <f aca="false">IF($Q231="","",INDEX('Lançar Resultado'!$D$3:$D$2002,$Q231))</f>
        <v/>
      </c>
      <c r="H231" s="47" t="str">
        <f aca="false">IF($Q231="","",INDEX('Lançar Resultado'!$E$3:$E$2002,$Q231))</f>
        <v/>
      </c>
      <c r="I231" s="46" t="str">
        <f aca="false">IF($Q231="","",INDEX('Lançar Resultado'!$G$3:$G$2002,$Q231))</f>
        <v/>
      </c>
      <c r="J231" s="45" t="str">
        <f aca="false">IF($Q231="","",INDEX('Lançar Resultado'!$P$3:$P$2002,$Q231))</f>
        <v/>
      </c>
      <c r="K231" s="46" t="str">
        <f aca="false">IF($Q231="","",INDEX('Lançar Resultado'!$N$3:$N$2002,$Q231))</f>
        <v/>
      </c>
      <c r="L231" s="47" t="str">
        <f aca="false">IF($Q231="","",INDEX('Lançar Resultado'!$I$3:$I$2002,$Q231))</f>
        <v/>
      </c>
      <c r="M231" s="47" t="str">
        <f aca="false">IF($Q231="","",INDEX('Lançar Resultado'!$J$3:$J$2002,$Q231))</f>
        <v/>
      </c>
      <c r="N231" s="44" t="str">
        <f aca="false">IF($Q231="","",INDEX('Lançar Resultado'!$K$3:$K$2002,$Q231))</f>
        <v/>
      </c>
      <c r="O231" s="46" t="str">
        <f aca="false">IF($Q231="","",INDEX('Lançar Resultado'!$L$3:$L$2002,$Q231))</f>
        <v/>
      </c>
      <c r="P231" s="45" t="str">
        <f aca="false">IF($Q231="","",IF(OR($O231="Concluída",$N231=""),"",IF($N231&lt;INT(Parâmetros!$C$4),INT(Parâmetros!$C$4)-$N231,"")))</f>
        <v/>
      </c>
      <c r="Q231" s="45" t="str">
        <f aca="false">IFERROR(MATCH(229,'Lançar Resultado'!$Q$3:$Q$2002,0),"")</f>
        <v/>
      </c>
    </row>
    <row r="232" customFormat="false" ht="18" hidden="false" customHeight="true" outlineLevel="0" collapsed="false">
      <c r="A232" s="39" t="n">
        <v>230</v>
      </c>
      <c r="B232" s="47" t="str">
        <f aca="false">IF($Q232="","",INDEX('Lançar Resultado'!$A$3:$A$2002,$Q232))</f>
        <v/>
      </c>
      <c r="C232" s="44" t="str">
        <f aca="false">IF($Q232="","",INDEX('Lançar Resultado'!$B$3:$B$2002,$Q232))</f>
        <v/>
      </c>
      <c r="D232" s="46" t="str">
        <f aca="false">IF($Q232="","",IF(SUMPRODUCT((Inspeções!$B$3:$B$122=$B232)*(Inspeções!$A$3:$A$122=$C232)*(ROW(Inspeções!$B$3:$B$122)-3+1))=0,"",INDEX(Inspeções!$C$3:$C$122,SUMPRODUCT((Inspeções!$B$3:$B$122=$B232)*(Inspeções!$A$3:$A$122=$C232)*(ROW(Inspeções!$B$3:$B$122)-3+1)))))</f>
        <v/>
      </c>
      <c r="E232" s="47" t="str">
        <f aca="false">IF($Q232="","",INDEX('Lançar Resultado'!$C$3:$C$2002,$Q232))</f>
        <v/>
      </c>
      <c r="F232" s="47" t="str">
        <f aca="false">IF($Q232="","",IFERROR(INDEX(Equipamentos!$E$3:$E$52,MATCH($B232,Equipamentos!$A$3:$A$52,0)),""))</f>
        <v/>
      </c>
      <c r="G232" s="47" t="str">
        <f aca="false">IF($Q232="","",INDEX('Lançar Resultado'!$D$3:$D$2002,$Q232))</f>
        <v/>
      </c>
      <c r="H232" s="47" t="str">
        <f aca="false">IF($Q232="","",INDEX('Lançar Resultado'!$E$3:$E$2002,$Q232))</f>
        <v/>
      </c>
      <c r="I232" s="46" t="str">
        <f aca="false">IF($Q232="","",INDEX('Lançar Resultado'!$G$3:$G$2002,$Q232))</f>
        <v/>
      </c>
      <c r="J232" s="45" t="str">
        <f aca="false">IF($Q232="","",INDEX('Lançar Resultado'!$P$3:$P$2002,$Q232))</f>
        <v/>
      </c>
      <c r="K232" s="46" t="str">
        <f aca="false">IF($Q232="","",INDEX('Lançar Resultado'!$N$3:$N$2002,$Q232))</f>
        <v/>
      </c>
      <c r="L232" s="47" t="str">
        <f aca="false">IF($Q232="","",INDEX('Lançar Resultado'!$I$3:$I$2002,$Q232))</f>
        <v/>
      </c>
      <c r="M232" s="47" t="str">
        <f aca="false">IF($Q232="","",INDEX('Lançar Resultado'!$J$3:$J$2002,$Q232))</f>
        <v/>
      </c>
      <c r="N232" s="44" t="str">
        <f aca="false">IF($Q232="","",INDEX('Lançar Resultado'!$K$3:$K$2002,$Q232))</f>
        <v/>
      </c>
      <c r="O232" s="46" t="str">
        <f aca="false">IF($Q232="","",INDEX('Lançar Resultado'!$L$3:$L$2002,$Q232))</f>
        <v/>
      </c>
      <c r="P232" s="45" t="str">
        <f aca="false">IF($Q232="","",IF(OR($O232="Concluída",$N232=""),"",IF($N232&lt;INT(Parâmetros!$C$4),INT(Parâmetros!$C$4)-$N232,"")))</f>
        <v/>
      </c>
      <c r="Q232" s="45" t="str">
        <f aca="false">IFERROR(MATCH(230,'Lançar Resultado'!$Q$3:$Q$2002,0),"")</f>
        <v/>
      </c>
    </row>
    <row r="233" customFormat="false" ht="18" hidden="false" customHeight="true" outlineLevel="0" collapsed="false">
      <c r="A233" s="39" t="n">
        <v>231</v>
      </c>
      <c r="B233" s="47" t="str">
        <f aca="false">IF($Q233="","",INDEX('Lançar Resultado'!$A$3:$A$2002,$Q233))</f>
        <v/>
      </c>
      <c r="C233" s="44" t="str">
        <f aca="false">IF($Q233="","",INDEX('Lançar Resultado'!$B$3:$B$2002,$Q233))</f>
        <v/>
      </c>
      <c r="D233" s="46" t="str">
        <f aca="false">IF($Q233="","",IF(SUMPRODUCT((Inspeções!$B$3:$B$122=$B233)*(Inspeções!$A$3:$A$122=$C233)*(ROW(Inspeções!$B$3:$B$122)-3+1))=0,"",INDEX(Inspeções!$C$3:$C$122,SUMPRODUCT((Inspeções!$B$3:$B$122=$B233)*(Inspeções!$A$3:$A$122=$C233)*(ROW(Inspeções!$B$3:$B$122)-3+1)))))</f>
        <v/>
      </c>
      <c r="E233" s="47" t="str">
        <f aca="false">IF($Q233="","",INDEX('Lançar Resultado'!$C$3:$C$2002,$Q233))</f>
        <v/>
      </c>
      <c r="F233" s="47" t="str">
        <f aca="false">IF($Q233="","",IFERROR(INDEX(Equipamentos!$E$3:$E$52,MATCH($B233,Equipamentos!$A$3:$A$52,0)),""))</f>
        <v/>
      </c>
      <c r="G233" s="47" t="str">
        <f aca="false">IF($Q233="","",INDEX('Lançar Resultado'!$D$3:$D$2002,$Q233))</f>
        <v/>
      </c>
      <c r="H233" s="47" t="str">
        <f aca="false">IF($Q233="","",INDEX('Lançar Resultado'!$E$3:$E$2002,$Q233))</f>
        <v/>
      </c>
      <c r="I233" s="46" t="str">
        <f aca="false">IF($Q233="","",INDEX('Lançar Resultado'!$G$3:$G$2002,$Q233))</f>
        <v/>
      </c>
      <c r="J233" s="45" t="str">
        <f aca="false">IF($Q233="","",INDEX('Lançar Resultado'!$P$3:$P$2002,$Q233))</f>
        <v/>
      </c>
      <c r="K233" s="46" t="str">
        <f aca="false">IF($Q233="","",INDEX('Lançar Resultado'!$N$3:$N$2002,$Q233))</f>
        <v/>
      </c>
      <c r="L233" s="47" t="str">
        <f aca="false">IF($Q233="","",INDEX('Lançar Resultado'!$I$3:$I$2002,$Q233))</f>
        <v/>
      </c>
      <c r="M233" s="47" t="str">
        <f aca="false">IF($Q233="","",INDEX('Lançar Resultado'!$J$3:$J$2002,$Q233))</f>
        <v/>
      </c>
      <c r="N233" s="44" t="str">
        <f aca="false">IF($Q233="","",INDEX('Lançar Resultado'!$K$3:$K$2002,$Q233))</f>
        <v/>
      </c>
      <c r="O233" s="46" t="str">
        <f aca="false">IF($Q233="","",INDEX('Lançar Resultado'!$L$3:$L$2002,$Q233))</f>
        <v/>
      </c>
      <c r="P233" s="45" t="str">
        <f aca="false">IF($Q233="","",IF(OR($O233="Concluída",$N233=""),"",IF($N233&lt;INT(Parâmetros!$C$4),INT(Parâmetros!$C$4)-$N233,"")))</f>
        <v/>
      </c>
      <c r="Q233" s="45" t="str">
        <f aca="false">IFERROR(MATCH(231,'Lançar Resultado'!$Q$3:$Q$2002,0),"")</f>
        <v/>
      </c>
    </row>
    <row r="234" customFormat="false" ht="18" hidden="false" customHeight="true" outlineLevel="0" collapsed="false">
      <c r="A234" s="39" t="n">
        <v>232</v>
      </c>
      <c r="B234" s="47" t="str">
        <f aca="false">IF($Q234="","",INDEX('Lançar Resultado'!$A$3:$A$2002,$Q234))</f>
        <v/>
      </c>
      <c r="C234" s="44" t="str">
        <f aca="false">IF($Q234="","",INDEX('Lançar Resultado'!$B$3:$B$2002,$Q234))</f>
        <v/>
      </c>
      <c r="D234" s="46" t="str">
        <f aca="false">IF($Q234="","",IF(SUMPRODUCT((Inspeções!$B$3:$B$122=$B234)*(Inspeções!$A$3:$A$122=$C234)*(ROW(Inspeções!$B$3:$B$122)-3+1))=0,"",INDEX(Inspeções!$C$3:$C$122,SUMPRODUCT((Inspeções!$B$3:$B$122=$B234)*(Inspeções!$A$3:$A$122=$C234)*(ROW(Inspeções!$B$3:$B$122)-3+1)))))</f>
        <v/>
      </c>
      <c r="E234" s="47" t="str">
        <f aca="false">IF($Q234="","",INDEX('Lançar Resultado'!$C$3:$C$2002,$Q234))</f>
        <v/>
      </c>
      <c r="F234" s="47" t="str">
        <f aca="false">IF($Q234="","",IFERROR(INDEX(Equipamentos!$E$3:$E$52,MATCH($B234,Equipamentos!$A$3:$A$52,0)),""))</f>
        <v/>
      </c>
      <c r="G234" s="47" t="str">
        <f aca="false">IF($Q234="","",INDEX('Lançar Resultado'!$D$3:$D$2002,$Q234))</f>
        <v/>
      </c>
      <c r="H234" s="47" t="str">
        <f aca="false">IF($Q234="","",INDEX('Lançar Resultado'!$E$3:$E$2002,$Q234))</f>
        <v/>
      </c>
      <c r="I234" s="46" t="str">
        <f aca="false">IF($Q234="","",INDEX('Lançar Resultado'!$G$3:$G$2002,$Q234))</f>
        <v/>
      </c>
      <c r="J234" s="45" t="str">
        <f aca="false">IF($Q234="","",INDEX('Lançar Resultado'!$P$3:$P$2002,$Q234))</f>
        <v/>
      </c>
      <c r="K234" s="46" t="str">
        <f aca="false">IF($Q234="","",INDEX('Lançar Resultado'!$N$3:$N$2002,$Q234))</f>
        <v/>
      </c>
      <c r="L234" s="47" t="str">
        <f aca="false">IF($Q234="","",INDEX('Lançar Resultado'!$I$3:$I$2002,$Q234))</f>
        <v/>
      </c>
      <c r="M234" s="47" t="str">
        <f aca="false">IF($Q234="","",INDEX('Lançar Resultado'!$J$3:$J$2002,$Q234))</f>
        <v/>
      </c>
      <c r="N234" s="44" t="str">
        <f aca="false">IF($Q234="","",INDEX('Lançar Resultado'!$K$3:$K$2002,$Q234))</f>
        <v/>
      </c>
      <c r="O234" s="46" t="str">
        <f aca="false">IF($Q234="","",INDEX('Lançar Resultado'!$L$3:$L$2002,$Q234))</f>
        <v/>
      </c>
      <c r="P234" s="45" t="str">
        <f aca="false">IF($Q234="","",IF(OR($O234="Concluída",$N234=""),"",IF($N234&lt;INT(Parâmetros!$C$4),INT(Parâmetros!$C$4)-$N234,"")))</f>
        <v/>
      </c>
      <c r="Q234" s="45" t="str">
        <f aca="false">IFERROR(MATCH(232,'Lançar Resultado'!$Q$3:$Q$2002,0),"")</f>
        <v/>
      </c>
    </row>
    <row r="235" customFormat="false" ht="18" hidden="false" customHeight="true" outlineLevel="0" collapsed="false">
      <c r="A235" s="39" t="n">
        <v>233</v>
      </c>
      <c r="B235" s="47" t="str">
        <f aca="false">IF($Q235="","",INDEX('Lançar Resultado'!$A$3:$A$2002,$Q235))</f>
        <v/>
      </c>
      <c r="C235" s="44" t="str">
        <f aca="false">IF($Q235="","",INDEX('Lançar Resultado'!$B$3:$B$2002,$Q235))</f>
        <v/>
      </c>
      <c r="D235" s="46" t="str">
        <f aca="false">IF($Q235="","",IF(SUMPRODUCT((Inspeções!$B$3:$B$122=$B235)*(Inspeções!$A$3:$A$122=$C235)*(ROW(Inspeções!$B$3:$B$122)-3+1))=0,"",INDEX(Inspeções!$C$3:$C$122,SUMPRODUCT((Inspeções!$B$3:$B$122=$B235)*(Inspeções!$A$3:$A$122=$C235)*(ROW(Inspeções!$B$3:$B$122)-3+1)))))</f>
        <v/>
      </c>
      <c r="E235" s="47" t="str">
        <f aca="false">IF($Q235="","",INDEX('Lançar Resultado'!$C$3:$C$2002,$Q235))</f>
        <v/>
      </c>
      <c r="F235" s="47" t="str">
        <f aca="false">IF($Q235="","",IFERROR(INDEX(Equipamentos!$E$3:$E$52,MATCH($B235,Equipamentos!$A$3:$A$52,0)),""))</f>
        <v/>
      </c>
      <c r="G235" s="47" t="str">
        <f aca="false">IF($Q235="","",INDEX('Lançar Resultado'!$D$3:$D$2002,$Q235))</f>
        <v/>
      </c>
      <c r="H235" s="47" t="str">
        <f aca="false">IF($Q235="","",INDEX('Lançar Resultado'!$E$3:$E$2002,$Q235))</f>
        <v/>
      </c>
      <c r="I235" s="46" t="str">
        <f aca="false">IF($Q235="","",INDEX('Lançar Resultado'!$G$3:$G$2002,$Q235))</f>
        <v/>
      </c>
      <c r="J235" s="45" t="str">
        <f aca="false">IF($Q235="","",INDEX('Lançar Resultado'!$P$3:$P$2002,$Q235))</f>
        <v/>
      </c>
      <c r="K235" s="46" t="str">
        <f aca="false">IF($Q235="","",INDEX('Lançar Resultado'!$N$3:$N$2002,$Q235))</f>
        <v/>
      </c>
      <c r="L235" s="47" t="str">
        <f aca="false">IF($Q235="","",INDEX('Lançar Resultado'!$I$3:$I$2002,$Q235))</f>
        <v/>
      </c>
      <c r="M235" s="47" t="str">
        <f aca="false">IF($Q235="","",INDEX('Lançar Resultado'!$J$3:$J$2002,$Q235))</f>
        <v/>
      </c>
      <c r="N235" s="44" t="str">
        <f aca="false">IF($Q235="","",INDEX('Lançar Resultado'!$K$3:$K$2002,$Q235))</f>
        <v/>
      </c>
      <c r="O235" s="46" t="str">
        <f aca="false">IF($Q235="","",INDEX('Lançar Resultado'!$L$3:$L$2002,$Q235))</f>
        <v/>
      </c>
      <c r="P235" s="45" t="str">
        <f aca="false">IF($Q235="","",IF(OR($O235="Concluída",$N235=""),"",IF($N235&lt;INT(Parâmetros!$C$4),INT(Parâmetros!$C$4)-$N235,"")))</f>
        <v/>
      </c>
      <c r="Q235" s="45" t="str">
        <f aca="false">IFERROR(MATCH(233,'Lançar Resultado'!$Q$3:$Q$2002,0),"")</f>
        <v/>
      </c>
    </row>
    <row r="236" customFormat="false" ht="18" hidden="false" customHeight="true" outlineLevel="0" collapsed="false">
      <c r="A236" s="39" t="n">
        <v>234</v>
      </c>
      <c r="B236" s="47" t="str">
        <f aca="false">IF($Q236="","",INDEX('Lançar Resultado'!$A$3:$A$2002,$Q236))</f>
        <v/>
      </c>
      <c r="C236" s="44" t="str">
        <f aca="false">IF($Q236="","",INDEX('Lançar Resultado'!$B$3:$B$2002,$Q236))</f>
        <v/>
      </c>
      <c r="D236" s="46" t="str">
        <f aca="false">IF($Q236="","",IF(SUMPRODUCT((Inspeções!$B$3:$B$122=$B236)*(Inspeções!$A$3:$A$122=$C236)*(ROW(Inspeções!$B$3:$B$122)-3+1))=0,"",INDEX(Inspeções!$C$3:$C$122,SUMPRODUCT((Inspeções!$B$3:$B$122=$B236)*(Inspeções!$A$3:$A$122=$C236)*(ROW(Inspeções!$B$3:$B$122)-3+1)))))</f>
        <v/>
      </c>
      <c r="E236" s="47" t="str">
        <f aca="false">IF($Q236="","",INDEX('Lançar Resultado'!$C$3:$C$2002,$Q236))</f>
        <v/>
      </c>
      <c r="F236" s="47" t="str">
        <f aca="false">IF($Q236="","",IFERROR(INDEX(Equipamentos!$E$3:$E$52,MATCH($B236,Equipamentos!$A$3:$A$52,0)),""))</f>
        <v/>
      </c>
      <c r="G236" s="47" t="str">
        <f aca="false">IF($Q236="","",INDEX('Lançar Resultado'!$D$3:$D$2002,$Q236))</f>
        <v/>
      </c>
      <c r="H236" s="47" t="str">
        <f aca="false">IF($Q236="","",INDEX('Lançar Resultado'!$E$3:$E$2002,$Q236))</f>
        <v/>
      </c>
      <c r="I236" s="46" t="str">
        <f aca="false">IF($Q236="","",INDEX('Lançar Resultado'!$G$3:$G$2002,$Q236))</f>
        <v/>
      </c>
      <c r="J236" s="45" t="str">
        <f aca="false">IF($Q236="","",INDEX('Lançar Resultado'!$P$3:$P$2002,$Q236))</f>
        <v/>
      </c>
      <c r="K236" s="46" t="str">
        <f aca="false">IF($Q236="","",INDEX('Lançar Resultado'!$N$3:$N$2002,$Q236))</f>
        <v/>
      </c>
      <c r="L236" s="47" t="str">
        <f aca="false">IF($Q236="","",INDEX('Lançar Resultado'!$I$3:$I$2002,$Q236))</f>
        <v/>
      </c>
      <c r="M236" s="47" t="str">
        <f aca="false">IF($Q236="","",INDEX('Lançar Resultado'!$J$3:$J$2002,$Q236))</f>
        <v/>
      </c>
      <c r="N236" s="44" t="str">
        <f aca="false">IF($Q236="","",INDEX('Lançar Resultado'!$K$3:$K$2002,$Q236))</f>
        <v/>
      </c>
      <c r="O236" s="46" t="str">
        <f aca="false">IF($Q236="","",INDEX('Lançar Resultado'!$L$3:$L$2002,$Q236))</f>
        <v/>
      </c>
      <c r="P236" s="45" t="str">
        <f aca="false">IF($Q236="","",IF(OR($O236="Concluída",$N236=""),"",IF($N236&lt;INT(Parâmetros!$C$4),INT(Parâmetros!$C$4)-$N236,"")))</f>
        <v/>
      </c>
      <c r="Q236" s="45" t="str">
        <f aca="false">IFERROR(MATCH(234,'Lançar Resultado'!$Q$3:$Q$2002,0),"")</f>
        <v/>
      </c>
    </row>
    <row r="237" customFormat="false" ht="18" hidden="false" customHeight="true" outlineLevel="0" collapsed="false">
      <c r="A237" s="39" t="n">
        <v>235</v>
      </c>
      <c r="B237" s="47" t="str">
        <f aca="false">IF($Q237="","",INDEX('Lançar Resultado'!$A$3:$A$2002,$Q237))</f>
        <v/>
      </c>
      <c r="C237" s="44" t="str">
        <f aca="false">IF($Q237="","",INDEX('Lançar Resultado'!$B$3:$B$2002,$Q237))</f>
        <v/>
      </c>
      <c r="D237" s="46" t="str">
        <f aca="false">IF($Q237="","",IF(SUMPRODUCT((Inspeções!$B$3:$B$122=$B237)*(Inspeções!$A$3:$A$122=$C237)*(ROW(Inspeções!$B$3:$B$122)-3+1))=0,"",INDEX(Inspeções!$C$3:$C$122,SUMPRODUCT((Inspeções!$B$3:$B$122=$B237)*(Inspeções!$A$3:$A$122=$C237)*(ROW(Inspeções!$B$3:$B$122)-3+1)))))</f>
        <v/>
      </c>
      <c r="E237" s="47" t="str">
        <f aca="false">IF($Q237="","",INDEX('Lançar Resultado'!$C$3:$C$2002,$Q237))</f>
        <v/>
      </c>
      <c r="F237" s="47" t="str">
        <f aca="false">IF($Q237="","",IFERROR(INDEX(Equipamentos!$E$3:$E$52,MATCH($B237,Equipamentos!$A$3:$A$52,0)),""))</f>
        <v/>
      </c>
      <c r="G237" s="47" t="str">
        <f aca="false">IF($Q237="","",INDEX('Lançar Resultado'!$D$3:$D$2002,$Q237))</f>
        <v/>
      </c>
      <c r="H237" s="47" t="str">
        <f aca="false">IF($Q237="","",INDEX('Lançar Resultado'!$E$3:$E$2002,$Q237))</f>
        <v/>
      </c>
      <c r="I237" s="46" t="str">
        <f aca="false">IF($Q237="","",INDEX('Lançar Resultado'!$G$3:$G$2002,$Q237))</f>
        <v/>
      </c>
      <c r="J237" s="45" t="str">
        <f aca="false">IF($Q237="","",INDEX('Lançar Resultado'!$P$3:$P$2002,$Q237))</f>
        <v/>
      </c>
      <c r="K237" s="46" t="str">
        <f aca="false">IF($Q237="","",INDEX('Lançar Resultado'!$N$3:$N$2002,$Q237))</f>
        <v/>
      </c>
      <c r="L237" s="47" t="str">
        <f aca="false">IF($Q237="","",INDEX('Lançar Resultado'!$I$3:$I$2002,$Q237))</f>
        <v/>
      </c>
      <c r="M237" s="47" t="str">
        <f aca="false">IF($Q237="","",INDEX('Lançar Resultado'!$J$3:$J$2002,$Q237))</f>
        <v/>
      </c>
      <c r="N237" s="44" t="str">
        <f aca="false">IF($Q237="","",INDEX('Lançar Resultado'!$K$3:$K$2002,$Q237))</f>
        <v/>
      </c>
      <c r="O237" s="46" t="str">
        <f aca="false">IF($Q237="","",INDEX('Lançar Resultado'!$L$3:$L$2002,$Q237))</f>
        <v/>
      </c>
      <c r="P237" s="45" t="str">
        <f aca="false">IF($Q237="","",IF(OR($O237="Concluída",$N237=""),"",IF($N237&lt;INT(Parâmetros!$C$4),INT(Parâmetros!$C$4)-$N237,"")))</f>
        <v/>
      </c>
      <c r="Q237" s="45" t="str">
        <f aca="false">IFERROR(MATCH(235,'Lançar Resultado'!$Q$3:$Q$2002,0),"")</f>
        <v/>
      </c>
    </row>
    <row r="238" customFormat="false" ht="18" hidden="false" customHeight="true" outlineLevel="0" collapsed="false">
      <c r="A238" s="39" t="n">
        <v>236</v>
      </c>
      <c r="B238" s="47" t="str">
        <f aca="false">IF($Q238="","",INDEX('Lançar Resultado'!$A$3:$A$2002,$Q238))</f>
        <v/>
      </c>
      <c r="C238" s="44" t="str">
        <f aca="false">IF($Q238="","",INDEX('Lançar Resultado'!$B$3:$B$2002,$Q238))</f>
        <v/>
      </c>
      <c r="D238" s="46" t="str">
        <f aca="false">IF($Q238="","",IF(SUMPRODUCT((Inspeções!$B$3:$B$122=$B238)*(Inspeções!$A$3:$A$122=$C238)*(ROW(Inspeções!$B$3:$B$122)-3+1))=0,"",INDEX(Inspeções!$C$3:$C$122,SUMPRODUCT((Inspeções!$B$3:$B$122=$B238)*(Inspeções!$A$3:$A$122=$C238)*(ROW(Inspeções!$B$3:$B$122)-3+1)))))</f>
        <v/>
      </c>
      <c r="E238" s="47" t="str">
        <f aca="false">IF($Q238="","",INDEX('Lançar Resultado'!$C$3:$C$2002,$Q238))</f>
        <v/>
      </c>
      <c r="F238" s="47" t="str">
        <f aca="false">IF($Q238="","",IFERROR(INDEX(Equipamentos!$E$3:$E$52,MATCH($B238,Equipamentos!$A$3:$A$52,0)),""))</f>
        <v/>
      </c>
      <c r="G238" s="47" t="str">
        <f aca="false">IF($Q238="","",INDEX('Lançar Resultado'!$D$3:$D$2002,$Q238))</f>
        <v/>
      </c>
      <c r="H238" s="47" t="str">
        <f aca="false">IF($Q238="","",INDEX('Lançar Resultado'!$E$3:$E$2002,$Q238))</f>
        <v/>
      </c>
      <c r="I238" s="46" t="str">
        <f aca="false">IF($Q238="","",INDEX('Lançar Resultado'!$G$3:$G$2002,$Q238))</f>
        <v/>
      </c>
      <c r="J238" s="45" t="str">
        <f aca="false">IF($Q238="","",INDEX('Lançar Resultado'!$P$3:$P$2002,$Q238))</f>
        <v/>
      </c>
      <c r="K238" s="46" t="str">
        <f aca="false">IF($Q238="","",INDEX('Lançar Resultado'!$N$3:$N$2002,$Q238))</f>
        <v/>
      </c>
      <c r="L238" s="47" t="str">
        <f aca="false">IF($Q238="","",INDEX('Lançar Resultado'!$I$3:$I$2002,$Q238))</f>
        <v/>
      </c>
      <c r="M238" s="47" t="str">
        <f aca="false">IF($Q238="","",INDEX('Lançar Resultado'!$J$3:$J$2002,$Q238))</f>
        <v/>
      </c>
      <c r="N238" s="44" t="str">
        <f aca="false">IF($Q238="","",INDEX('Lançar Resultado'!$K$3:$K$2002,$Q238))</f>
        <v/>
      </c>
      <c r="O238" s="46" t="str">
        <f aca="false">IF($Q238="","",INDEX('Lançar Resultado'!$L$3:$L$2002,$Q238))</f>
        <v/>
      </c>
      <c r="P238" s="45" t="str">
        <f aca="false">IF($Q238="","",IF(OR($O238="Concluída",$N238=""),"",IF($N238&lt;INT(Parâmetros!$C$4),INT(Parâmetros!$C$4)-$N238,"")))</f>
        <v/>
      </c>
      <c r="Q238" s="45" t="str">
        <f aca="false">IFERROR(MATCH(236,'Lançar Resultado'!$Q$3:$Q$2002,0),"")</f>
        <v/>
      </c>
    </row>
    <row r="239" customFormat="false" ht="18" hidden="false" customHeight="true" outlineLevel="0" collapsed="false">
      <c r="A239" s="39" t="n">
        <v>237</v>
      </c>
      <c r="B239" s="47" t="str">
        <f aca="false">IF($Q239="","",INDEX('Lançar Resultado'!$A$3:$A$2002,$Q239))</f>
        <v/>
      </c>
      <c r="C239" s="44" t="str">
        <f aca="false">IF($Q239="","",INDEX('Lançar Resultado'!$B$3:$B$2002,$Q239))</f>
        <v/>
      </c>
      <c r="D239" s="46" t="str">
        <f aca="false">IF($Q239="","",IF(SUMPRODUCT((Inspeções!$B$3:$B$122=$B239)*(Inspeções!$A$3:$A$122=$C239)*(ROW(Inspeções!$B$3:$B$122)-3+1))=0,"",INDEX(Inspeções!$C$3:$C$122,SUMPRODUCT((Inspeções!$B$3:$B$122=$B239)*(Inspeções!$A$3:$A$122=$C239)*(ROW(Inspeções!$B$3:$B$122)-3+1)))))</f>
        <v/>
      </c>
      <c r="E239" s="47" t="str">
        <f aca="false">IF($Q239="","",INDEX('Lançar Resultado'!$C$3:$C$2002,$Q239))</f>
        <v/>
      </c>
      <c r="F239" s="47" t="str">
        <f aca="false">IF($Q239="","",IFERROR(INDEX(Equipamentos!$E$3:$E$52,MATCH($B239,Equipamentos!$A$3:$A$52,0)),""))</f>
        <v/>
      </c>
      <c r="G239" s="47" t="str">
        <f aca="false">IF($Q239="","",INDEX('Lançar Resultado'!$D$3:$D$2002,$Q239))</f>
        <v/>
      </c>
      <c r="H239" s="47" t="str">
        <f aca="false">IF($Q239="","",INDEX('Lançar Resultado'!$E$3:$E$2002,$Q239))</f>
        <v/>
      </c>
      <c r="I239" s="46" t="str">
        <f aca="false">IF($Q239="","",INDEX('Lançar Resultado'!$G$3:$G$2002,$Q239))</f>
        <v/>
      </c>
      <c r="J239" s="45" t="str">
        <f aca="false">IF($Q239="","",INDEX('Lançar Resultado'!$P$3:$P$2002,$Q239))</f>
        <v/>
      </c>
      <c r="K239" s="46" t="str">
        <f aca="false">IF($Q239="","",INDEX('Lançar Resultado'!$N$3:$N$2002,$Q239))</f>
        <v/>
      </c>
      <c r="L239" s="47" t="str">
        <f aca="false">IF($Q239="","",INDEX('Lançar Resultado'!$I$3:$I$2002,$Q239))</f>
        <v/>
      </c>
      <c r="M239" s="47" t="str">
        <f aca="false">IF($Q239="","",INDEX('Lançar Resultado'!$J$3:$J$2002,$Q239))</f>
        <v/>
      </c>
      <c r="N239" s="44" t="str">
        <f aca="false">IF($Q239="","",INDEX('Lançar Resultado'!$K$3:$K$2002,$Q239))</f>
        <v/>
      </c>
      <c r="O239" s="46" t="str">
        <f aca="false">IF($Q239="","",INDEX('Lançar Resultado'!$L$3:$L$2002,$Q239))</f>
        <v/>
      </c>
      <c r="P239" s="45" t="str">
        <f aca="false">IF($Q239="","",IF(OR($O239="Concluída",$N239=""),"",IF($N239&lt;INT(Parâmetros!$C$4),INT(Parâmetros!$C$4)-$N239,"")))</f>
        <v/>
      </c>
      <c r="Q239" s="45" t="str">
        <f aca="false">IFERROR(MATCH(237,'Lançar Resultado'!$Q$3:$Q$2002,0),"")</f>
        <v/>
      </c>
    </row>
    <row r="240" customFormat="false" ht="18" hidden="false" customHeight="true" outlineLevel="0" collapsed="false">
      <c r="A240" s="39" t="n">
        <v>238</v>
      </c>
      <c r="B240" s="47" t="str">
        <f aca="false">IF($Q240="","",INDEX('Lançar Resultado'!$A$3:$A$2002,$Q240))</f>
        <v/>
      </c>
      <c r="C240" s="44" t="str">
        <f aca="false">IF($Q240="","",INDEX('Lançar Resultado'!$B$3:$B$2002,$Q240))</f>
        <v/>
      </c>
      <c r="D240" s="46" t="str">
        <f aca="false">IF($Q240="","",IF(SUMPRODUCT((Inspeções!$B$3:$B$122=$B240)*(Inspeções!$A$3:$A$122=$C240)*(ROW(Inspeções!$B$3:$B$122)-3+1))=0,"",INDEX(Inspeções!$C$3:$C$122,SUMPRODUCT((Inspeções!$B$3:$B$122=$B240)*(Inspeções!$A$3:$A$122=$C240)*(ROW(Inspeções!$B$3:$B$122)-3+1)))))</f>
        <v/>
      </c>
      <c r="E240" s="47" t="str">
        <f aca="false">IF($Q240="","",INDEX('Lançar Resultado'!$C$3:$C$2002,$Q240))</f>
        <v/>
      </c>
      <c r="F240" s="47" t="str">
        <f aca="false">IF($Q240="","",IFERROR(INDEX(Equipamentos!$E$3:$E$52,MATCH($B240,Equipamentos!$A$3:$A$52,0)),""))</f>
        <v/>
      </c>
      <c r="G240" s="47" t="str">
        <f aca="false">IF($Q240="","",INDEX('Lançar Resultado'!$D$3:$D$2002,$Q240))</f>
        <v/>
      </c>
      <c r="H240" s="47" t="str">
        <f aca="false">IF($Q240="","",INDEX('Lançar Resultado'!$E$3:$E$2002,$Q240))</f>
        <v/>
      </c>
      <c r="I240" s="46" t="str">
        <f aca="false">IF($Q240="","",INDEX('Lançar Resultado'!$G$3:$G$2002,$Q240))</f>
        <v/>
      </c>
      <c r="J240" s="45" t="str">
        <f aca="false">IF($Q240="","",INDEX('Lançar Resultado'!$P$3:$P$2002,$Q240))</f>
        <v/>
      </c>
      <c r="K240" s="46" t="str">
        <f aca="false">IF($Q240="","",INDEX('Lançar Resultado'!$N$3:$N$2002,$Q240))</f>
        <v/>
      </c>
      <c r="L240" s="47" t="str">
        <f aca="false">IF($Q240="","",INDEX('Lançar Resultado'!$I$3:$I$2002,$Q240))</f>
        <v/>
      </c>
      <c r="M240" s="47" t="str">
        <f aca="false">IF($Q240="","",INDEX('Lançar Resultado'!$J$3:$J$2002,$Q240))</f>
        <v/>
      </c>
      <c r="N240" s="44" t="str">
        <f aca="false">IF($Q240="","",INDEX('Lançar Resultado'!$K$3:$K$2002,$Q240))</f>
        <v/>
      </c>
      <c r="O240" s="46" t="str">
        <f aca="false">IF($Q240="","",INDEX('Lançar Resultado'!$L$3:$L$2002,$Q240))</f>
        <v/>
      </c>
      <c r="P240" s="45" t="str">
        <f aca="false">IF($Q240="","",IF(OR($O240="Concluída",$N240=""),"",IF($N240&lt;INT(Parâmetros!$C$4),INT(Parâmetros!$C$4)-$N240,"")))</f>
        <v/>
      </c>
      <c r="Q240" s="45" t="str">
        <f aca="false">IFERROR(MATCH(238,'Lançar Resultado'!$Q$3:$Q$2002,0),"")</f>
        <v/>
      </c>
    </row>
    <row r="241" customFormat="false" ht="18" hidden="false" customHeight="true" outlineLevel="0" collapsed="false">
      <c r="A241" s="39" t="n">
        <v>239</v>
      </c>
      <c r="B241" s="47" t="str">
        <f aca="false">IF($Q241="","",INDEX('Lançar Resultado'!$A$3:$A$2002,$Q241))</f>
        <v/>
      </c>
      <c r="C241" s="44" t="str">
        <f aca="false">IF($Q241="","",INDEX('Lançar Resultado'!$B$3:$B$2002,$Q241))</f>
        <v/>
      </c>
      <c r="D241" s="46" t="str">
        <f aca="false">IF($Q241="","",IF(SUMPRODUCT((Inspeções!$B$3:$B$122=$B241)*(Inspeções!$A$3:$A$122=$C241)*(ROW(Inspeções!$B$3:$B$122)-3+1))=0,"",INDEX(Inspeções!$C$3:$C$122,SUMPRODUCT((Inspeções!$B$3:$B$122=$B241)*(Inspeções!$A$3:$A$122=$C241)*(ROW(Inspeções!$B$3:$B$122)-3+1)))))</f>
        <v/>
      </c>
      <c r="E241" s="47" t="str">
        <f aca="false">IF($Q241="","",INDEX('Lançar Resultado'!$C$3:$C$2002,$Q241))</f>
        <v/>
      </c>
      <c r="F241" s="47" t="str">
        <f aca="false">IF($Q241="","",IFERROR(INDEX(Equipamentos!$E$3:$E$52,MATCH($B241,Equipamentos!$A$3:$A$52,0)),""))</f>
        <v/>
      </c>
      <c r="G241" s="47" t="str">
        <f aca="false">IF($Q241="","",INDEX('Lançar Resultado'!$D$3:$D$2002,$Q241))</f>
        <v/>
      </c>
      <c r="H241" s="47" t="str">
        <f aca="false">IF($Q241="","",INDEX('Lançar Resultado'!$E$3:$E$2002,$Q241))</f>
        <v/>
      </c>
      <c r="I241" s="46" t="str">
        <f aca="false">IF($Q241="","",INDEX('Lançar Resultado'!$G$3:$G$2002,$Q241))</f>
        <v/>
      </c>
      <c r="J241" s="45" t="str">
        <f aca="false">IF($Q241="","",INDEX('Lançar Resultado'!$P$3:$P$2002,$Q241))</f>
        <v/>
      </c>
      <c r="K241" s="46" t="str">
        <f aca="false">IF($Q241="","",INDEX('Lançar Resultado'!$N$3:$N$2002,$Q241))</f>
        <v/>
      </c>
      <c r="L241" s="47" t="str">
        <f aca="false">IF($Q241="","",INDEX('Lançar Resultado'!$I$3:$I$2002,$Q241))</f>
        <v/>
      </c>
      <c r="M241" s="47" t="str">
        <f aca="false">IF($Q241="","",INDEX('Lançar Resultado'!$J$3:$J$2002,$Q241))</f>
        <v/>
      </c>
      <c r="N241" s="44" t="str">
        <f aca="false">IF($Q241="","",INDEX('Lançar Resultado'!$K$3:$K$2002,$Q241))</f>
        <v/>
      </c>
      <c r="O241" s="46" t="str">
        <f aca="false">IF($Q241="","",INDEX('Lançar Resultado'!$L$3:$L$2002,$Q241))</f>
        <v/>
      </c>
      <c r="P241" s="45" t="str">
        <f aca="false">IF($Q241="","",IF(OR($O241="Concluída",$N241=""),"",IF($N241&lt;INT(Parâmetros!$C$4),INT(Parâmetros!$C$4)-$N241,"")))</f>
        <v/>
      </c>
      <c r="Q241" s="45" t="str">
        <f aca="false">IFERROR(MATCH(239,'Lançar Resultado'!$Q$3:$Q$2002,0),"")</f>
        <v/>
      </c>
    </row>
    <row r="242" customFormat="false" ht="18" hidden="false" customHeight="true" outlineLevel="0" collapsed="false">
      <c r="A242" s="39" t="n">
        <v>240</v>
      </c>
      <c r="B242" s="47" t="str">
        <f aca="false">IF($Q242="","",INDEX('Lançar Resultado'!$A$3:$A$2002,$Q242))</f>
        <v/>
      </c>
      <c r="C242" s="44" t="str">
        <f aca="false">IF($Q242="","",INDEX('Lançar Resultado'!$B$3:$B$2002,$Q242))</f>
        <v/>
      </c>
      <c r="D242" s="46" t="str">
        <f aca="false">IF($Q242="","",IF(SUMPRODUCT((Inspeções!$B$3:$B$122=$B242)*(Inspeções!$A$3:$A$122=$C242)*(ROW(Inspeções!$B$3:$B$122)-3+1))=0,"",INDEX(Inspeções!$C$3:$C$122,SUMPRODUCT((Inspeções!$B$3:$B$122=$B242)*(Inspeções!$A$3:$A$122=$C242)*(ROW(Inspeções!$B$3:$B$122)-3+1)))))</f>
        <v/>
      </c>
      <c r="E242" s="47" t="str">
        <f aca="false">IF($Q242="","",INDEX('Lançar Resultado'!$C$3:$C$2002,$Q242))</f>
        <v/>
      </c>
      <c r="F242" s="47" t="str">
        <f aca="false">IF($Q242="","",IFERROR(INDEX(Equipamentos!$E$3:$E$52,MATCH($B242,Equipamentos!$A$3:$A$52,0)),""))</f>
        <v/>
      </c>
      <c r="G242" s="47" t="str">
        <f aca="false">IF($Q242="","",INDEX('Lançar Resultado'!$D$3:$D$2002,$Q242))</f>
        <v/>
      </c>
      <c r="H242" s="47" t="str">
        <f aca="false">IF($Q242="","",INDEX('Lançar Resultado'!$E$3:$E$2002,$Q242))</f>
        <v/>
      </c>
      <c r="I242" s="46" t="str">
        <f aca="false">IF($Q242="","",INDEX('Lançar Resultado'!$G$3:$G$2002,$Q242))</f>
        <v/>
      </c>
      <c r="J242" s="45" t="str">
        <f aca="false">IF($Q242="","",INDEX('Lançar Resultado'!$P$3:$P$2002,$Q242))</f>
        <v/>
      </c>
      <c r="K242" s="46" t="str">
        <f aca="false">IF($Q242="","",INDEX('Lançar Resultado'!$N$3:$N$2002,$Q242))</f>
        <v/>
      </c>
      <c r="L242" s="47" t="str">
        <f aca="false">IF($Q242="","",INDEX('Lançar Resultado'!$I$3:$I$2002,$Q242))</f>
        <v/>
      </c>
      <c r="M242" s="47" t="str">
        <f aca="false">IF($Q242="","",INDEX('Lançar Resultado'!$J$3:$J$2002,$Q242))</f>
        <v/>
      </c>
      <c r="N242" s="44" t="str">
        <f aca="false">IF($Q242="","",INDEX('Lançar Resultado'!$K$3:$K$2002,$Q242))</f>
        <v/>
      </c>
      <c r="O242" s="46" t="str">
        <f aca="false">IF($Q242="","",INDEX('Lançar Resultado'!$L$3:$L$2002,$Q242))</f>
        <v/>
      </c>
      <c r="P242" s="45" t="str">
        <f aca="false">IF($Q242="","",IF(OR($O242="Concluída",$N242=""),"",IF($N242&lt;INT(Parâmetros!$C$4),INT(Parâmetros!$C$4)-$N242,"")))</f>
        <v/>
      </c>
      <c r="Q242" s="45" t="str">
        <f aca="false">IFERROR(MATCH(240,'Lançar Resultado'!$Q$3:$Q$2002,0),"")</f>
        <v/>
      </c>
    </row>
    <row r="243" customFormat="false" ht="18" hidden="false" customHeight="true" outlineLevel="0" collapsed="false">
      <c r="A243" s="39" t="n">
        <v>241</v>
      </c>
      <c r="B243" s="47" t="str">
        <f aca="false">IF($Q243="","",INDEX('Lançar Resultado'!$A$3:$A$2002,$Q243))</f>
        <v/>
      </c>
      <c r="C243" s="44" t="str">
        <f aca="false">IF($Q243="","",INDEX('Lançar Resultado'!$B$3:$B$2002,$Q243))</f>
        <v/>
      </c>
      <c r="D243" s="46" t="str">
        <f aca="false">IF($Q243="","",IF(SUMPRODUCT((Inspeções!$B$3:$B$122=$B243)*(Inspeções!$A$3:$A$122=$C243)*(ROW(Inspeções!$B$3:$B$122)-3+1))=0,"",INDEX(Inspeções!$C$3:$C$122,SUMPRODUCT((Inspeções!$B$3:$B$122=$B243)*(Inspeções!$A$3:$A$122=$C243)*(ROW(Inspeções!$B$3:$B$122)-3+1)))))</f>
        <v/>
      </c>
      <c r="E243" s="47" t="str">
        <f aca="false">IF($Q243="","",INDEX('Lançar Resultado'!$C$3:$C$2002,$Q243))</f>
        <v/>
      </c>
      <c r="F243" s="47" t="str">
        <f aca="false">IF($Q243="","",IFERROR(INDEX(Equipamentos!$E$3:$E$52,MATCH($B243,Equipamentos!$A$3:$A$52,0)),""))</f>
        <v/>
      </c>
      <c r="G243" s="47" t="str">
        <f aca="false">IF($Q243="","",INDEX('Lançar Resultado'!$D$3:$D$2002,$Q243))</f>
        <v/>
      </c>
      <c r="H243" s="47" t="str">
        <f aca="false">IF($Q243="","",INDEX('Lançar Resultado'!$E$3:$E$2002,$Q243))</f>
        <v/>
      </c>
      <c r="I243" s="46" t="str">
        <f aca="false">IF($Q243="","",INDEX('Lançar Resultado'!$G$3:$G$2002,$Q243))</f>
        <v/>
      </c>
      <c r="J243" s="45" t="str">
        <f aca="false">IF($Q243="","",INDEX('Lançar Resultado'!$P$3:$P$2002,$Q243))</f>
        <v/>
      </c>
      <c r="K243" s="46" t="str">
        <f aca="false">IF($Q243="","",INDEX('Lançar Resultado'!$N$3:$N$2002,$Q243))</f>
        <v/>
      </c>
      <c r="L243" s="47" t="str">
        <f aca="false">IF($Q243="","",INDEX('Lançar Resultado'!$I$3:$I$2002,$Q243))</f>
        <v/>
      </c>
      <c r="M243" s="47" t="str">
        <f aca="false">IF($Q243="","",INDEX('Lançar Resultado'!$J$3:$J$2002,$Q243))</f>
        <v/>
      </c>
      <c r="N243" s="44" t="str">
        <f aca="false">IF($Q243="","",INDEX('Lançar Resultado'!$K$3:$K$2002,$Q243))</f>
        <v/>
      </c>
      <c r="O243" s="46" t="str">
        <f aca="false">IF($Q243="","",INDEX('Lançar Resultado'!$L$3:$L$2002,$Q243))</f>
        <v/>
      </c>
      <c r="P243" s="45" t="str">
        <f aca="false">IF($Q243="","",IF(OR($O243="Concluída",$N243=""),"",IF($N243&lt;INT(Parâmetros!$C$4),INT(Parâmetros!$C$4)-$N243,"")))</f>
        <v/>
      </c>
      <c r="Q243" s="45" t="str">
        <f aca="false">IFERROR(MATCH(241,'Lançar Resultado'!$Q$3:$Q$2002,0),"")</f>
        <v/>
      </c>
    </row>
    <row r="244" customFormat="false" ht="18" hidden="false" customHeight="true" outlineLevel="0" collapsed="false">
      <c r="A244" s="39" t="n">
        <v>242</v>
      </c>
      <c r="B244" s="47" t="str">
        <f aca="false">IF($Q244="","",INDEX('Lançar Resultado'!$A$3:$A$2002,$Q244))</f>
        <v/>
      </c>
      <c r="C244" s="44" t="str">
        <f aca="false">IF($Q244="","",INDEX('Lançar Resultado'!$B$3:$B$2002,$Q244))</f>
        <v/>
      </c>
      <c r="D244" s="46" t="str">
        <f aca="false">IF($Q244="","",IF(SUMPRODUCT((Inspeções!$B$3:$B$122=$B244)*(Inspeções!$A$3:$A$122=$C244)*(ROW(Inspeções!$B$3:$B$122)-3+1))=0,"",INDEX(Inspeções!$C$3:$C$122,SUMPRODUCT((Inspeções!$B$3:$B$122=$B244)*(Inspeções!$A$3:$A$122=$C244)*(ROW(Inspeções!$B$3:$B$122)-3+1)))))</f>
        <v/>
      </c>
      <c r="E244" s="47" t="str">
        <f aca="false">IF($Q244="","",INDEX('Lançar Resultado'!$C$3:$C$2002,$Q244))</f>
        <v/>
      </c>
      <c r="F244" s="47" t="str">
        <f aca="false">IF($Q244="","",IFERROR(INDEX(Equipamentos!$E$3:$E$52,MATCH($B244,Equipamentos!$A$3:$A$52,0)),""))</f>
        <v/>
      </c>
      <c r="G244" s="47" t="str">
        <f aca="false">IF($Q244="","",INDEX('Lançar Resultado'!$D$3:$D$2002,$Q244))</f>
        <v/>
      </c>
      <c r="H244" s="47" t="str">
        <f aca="false">IF($Q244="","",INDEX('Lançar Resultado'!$E$3:$E$2002,$Q244))</f>
        <v/>
      </c>
      <c r="I244" s="46" t="str">
        <f aca="false">IF($Q244="","",INDEX('Lançar Resultado'!$G$3:$G$2002,$Q244))</f>
        <v/>
      </c>
      <c r="J244" s="45" t="str">
        <f aca="false">IF($Q244="","",INDEX('Lançar Resultado'!$P$3:$P$2002,$Q244))</f>
        <v/>
      </c>
      <c r="K244" s="46" t="str">
        <f aca="false">IF($Q244="","",INDEX('Lançar Resultado'!$N$3:$N$2002,$Q244))</f>
        <v/>
      </c>
      <c r="L244" s="47" t="str">
        <f aca="false">IF($Q244="","",INDEX('Lançar Resultado'!$I$3:$I$2002,$Q244))</f>
        <v/>
      </c>
      <c r="M244" s="47" t="str">
        <f aca="false">IF($Q244="","",INDEX('Lançar Resultado'!$J$3:$J$2002,$Q244))</f>
        <v/>
      </c>
      <c r="N244" s="44" t="str">
        <f aca="false">IF($Q244="","",INDEX('Lançar Resultado'!$K$3:$K$2002,$Q244))</f>
        <v/>
      </c>
      <c r="O244" s="46" t="str">
        <f aca="false">IF($Q244="","",INDEX('Lançar Resultado'!$L$3:$L$2002,$Q244))</f>
        <v/>
      </c>
      <c r="P244" s="45" t="str">
        <f aca="false">IF($Q244="","",IF(OR($O244="Concluída",$N244=""),"",IF($N244&lt;INT(Parâmetros!$C$4),INT(Parâmetros!$C$4)-$N244,"")))</f>
        <v/>
      </c>
      <c r="Q244" s="45" t="str">
        <f aca="false">IFERROR(MATCH(242,'Lançar Resultado'!$Q$3:$Q$2002,0),"")</f>
        <v/>
      </c>
    </row>
    <row r="245" customFormat="false" ht="18" hidden="false" customHeight="true" outlineLevel="0" collapsed="false">
      <c r="A245" s="39" t="n">
        <v>243</v>
      </c>
      <c r="B245" s="47" t="str">
        <f aca="false">IF($Q245="","",INDEX('Lançar Resultado'!$A$3:$A$2002,$Q245))</f>
        <v/>
      </c>
      <c r="C245" s="44" t="str">
        <f aca="false">IF($Q245="","",INDEX('Lançar Resultado'!$B$3:$B$2002,$Q245))</f>
        <v/>
      </c>
      <c r="D245" s="46" t="str">
        <f aca="false">IF($Q245="","",IF(SUMPRODUCT((Inspeções!$B$3:$B$122=$B245)*(Inspeções!$A$3:$A$122=$C245)*(ROW(Inspeções!$B$3:$B$122)-3+1))=0,"",INDEX(Inspeções!$C$3:$C$122,SUMPRODUCT((Inspeções!$B$3:$B$122=$B245)*(Inspeções!$A$3:$A$122=$C245)*(ROW(Inspeções!$B$3:$B$122)-3+1)))))</f>
        <v/>
      </c>
      <c r="E245" s="47" t="str">
        <f aca="false">IF($Q245="","",INDEX('Lançar Resultado'!$C$3:$C$2002,$Q245))</f>
        <v/>
      </c>
      <c r="F245" s="47" t="str">
        <f aca="false">IF($Q245="","",IFERROR(INDEX(Equipamentos!$E$3:$E$52,MATCH($B245,Equipamentos!$A$3:$A$52,0)),""))</f>
        <v/>
      </c>
      <c r="G245" s="47" t="str">
        <f aca="false">IF($Q245="","",INDEX('Lançar Resultado'!$D$3:$D$2002,$Q245))</f>
        <v/>
      </c>
      <c r="H245" s="47" t="str">
        <f aca="false">IF($Q245="","",INDEX('Lançar Resultado'!$E$3:$E$2002,$Q245))</f>
        <v/>
      </c>
      <c r="I245" s="46" t="str">
        <f aca="false">IF($Q245="","",INDEX('Lançar Resultado'!$G$3:$G$2002,$Q245))</f>
        <v/>
      </c>
      <c r="J245" s="45" t="str">
        <f aca="false">IF($Q245="","",INDEX('Lançar Resultado'!$P$3:$P$2002,$Q245))</f>
        <v/>
      </c>
      <c r="K245" s="46" t="str">
        <f aca="false">IF($Q245="","",INDEX('Lançar Resultado'!$N$3:$N$2002,$Q245))</f>
        <v/>
      </c>
      <c r="L245" s="47" t="str">
        <f aca="false">IF($Q245="","",INDEX('Lançar Resultado'!$I$3:$I$2002,$Q245))</f>
        <v/>
      </c>
      <c r="M245" s="47" t="str">
        <f aca="false">IF($Q245="","",INDEX('Lançar Resultado'!$J$3:$J$2002,$Q245))</f>
        <v/>
      </c>
      <c r="N245" s="44" t="str">
        <f aca="false">IF($Q245="","",INDEX('Lançar Resultado'!$K$3:$K$2002,$Q245))</f>
        <v/>
      </c>
      <c r="O245" s="46" t="str">
        <f aca="false">IF($Q245="","",INDEX('Lançar Resultado'!$L$3:$L$2002,$Q245))</f>
        <v/>
      </c>
      <c r="P245" s="45" t="str">
        <f aca="false">IF($Q245="","",IF(OR($O245="Concluída",$N245=""),"",IF($N245&lt;INT(Parâmetros!$C$4),INT(Parâmetros!$C$4)-$N245,"")))</f>
        <v/>
      </c>
      <c r="Q245" s="45" t="str">
        <f aca="false">IFERROR(MATCH(243,'Lançar Resultado'!$Q$3:$Q$2002,0),"")</f>
        <v/>
      </c>
    </row>
    <row r="246" customFormat="false" ht="18" hidden="false" customHeight="true" outlineLevel="0" collapsed="false">
      <c r="A246" s="39" t="n">
        <v>244</v>
      </c>
      <c r="B246" s="47" t="str">
        <f aca="false">IF($Q246="","",INDEX('Lançar Resultado'!$A$3:$A$2002,$Q246))</f>
        <v/>
      </c>
      <c r="C246" s="44" t="str">
        <f aca="false">IF($Q246="","",INDEX('Lançar Resultado'!$B$3:$B$2002,$Q246))</f>
        <v/>
      </c>
      <c r="D246" s="46" t="str">
        <f aca="false">IF($Q246="","",IF(SUMPRODUCT((Inspeções!$B$3:$B$122=$B246)*(Inspeções!$A$3:$A$122=$C246)*(ROW(Inspeções!$B$3:$B$122)-3+1))=0,"",INDEX(Inspeções!$C$3:$C$122,SUMPRODUCT((Inspeções!$B$3:$B$122=$B246)*(Inspeções!$A$3:$A$122=$C246)*(ROW(Inspeções!$B$3:$B$122)-3+1)))))</f>
        <v/>
      </c>
      <c r="E246" s="47" t="str">
        <f aca="false">IF($Q246="","",INDEX('Lançar Resultado'!$C$3:$C$2002,$Q246))</f>
        <v/>
      </c>
      <c r="F246" s="47" t="str">
        <f aca="false">IF($Q246="","",IFERROR(INDEX(Equipamentos!$E$3:$E$52,MATCH($B246,Equipamentos!$A$3:$A$52,0)),""))</f>
        <v/>
      </c>
      <c r="G246" s="47" t="str">
        <f aca="false">IF($Q246="","",INDEX('Lançar Resultado'!$D$3:$D$2002,$Q246))</f>
        <v/>
      </c>
      <c r="H246" s="47" t="str">
        <f aca="false">IF($Q246="","",INDEX('Lançar Resultado'!$E$3:$E$2002,$Q246))</f>
        <v/>
      </c>
      <c r="I246" s="46" t="str">
        <f aca="false">IF($Q246="","",INDEX('Lançar Resultado'!$G$3:$G$2002,$Q246))</f>
        <v/>
      </c>
      <c r="J246" s="45" t="str">
        <f aca="false">IF($Q246="","",INDEX('Lançar Resultado'!$P$3:$P$2002,$Q246))</f>
        <v/>
      </c>
      <c r="K246" s="46" t="str">
        <f aca="false">IF($Q246="","",INDEX('Lançar Resultado'!$N$3:$N$2002,$Q246))</f>
        <v/>
      </c>
      <c r="L246" s="47" t="str">
        <f aca="false">IF($Q246="","",INDEX('Lançar Resultado'!$I$3:$I$2002,$Q246))</f>
        <v/>
      </c>
      <c r="M246" s="47" t="str">
        <f aca="false">IF($Q246="","",INDEX('Lançar Resultado'!$J$3:$J$2002,$Q246))</f>
        <v/>
      </c>
      <c r="N246" s="44" t="str">
        <f aca="false">IF($Q246="","",INDEX('Lançar Resultado'!$K$3:$K$2002,$Q246))</f>
        <v/>
      </c>
      <c r="O246" s="46" t="str">
        <f aca="false">IF($Q246="","",INDEX('Lançar Resultado'!$L$3:$L$2002,$Q246))</f>
        <v/>
      </c>
      <c r="P246" s="45" t="str">
        <f aca="false">IF($Q246="","",IF(OR($O246="Concluída",$N246=""),"",IF($N246&lt;INT(Parâmetros!$C$4),INT(Parâmetros!$C$4)-$N246,"")))</f>
        <v/>
      </c>
      <c r="Q246" s="45" t="str">
        <f aca="false">IFERROR(MATCH(244,'Lançar Resultado'!$Q$3:$Q$2002,0),"")</f>
        <v/>
      </c>
    </row>
    <row r="247" customFormat="false" ht="18" hidden="false" customHeight="true" outlineLevel="0" collapsed="false">
      <c r="A247" s="39" t="n">
        <v>245</v>
      </c>
      <c r="B247" s="47" t="str">
        <f aca="false">IF($Q247="","",INDEX('Lançar Resultado'!$A$3:$A$2002,$Q247))</f>
        <v/>
      </c>
      <c r="C247" s="44" t="str">
        <f aca="false">IF($Q247="","",INDEX('Lançar Resultado'!$B$3:$B$2002,$Q247))</f>
        <v/>
      </c>
      <c r="D247" s="46" t="str">
        <f aca="false">IF($Q247="","",IF(SUMPRODUCT((Inspeções!$B$3:$B$122=$B247)*(Inspeções!$A$3:$A$122=$C247)*(ROW(Inspeções!$B$3:$B$122)-3+1))=0,"",INDEX(Inspeções!$C$3:$C$122,SUMPRODUCT((Inspeções!$B$3:$B$122=$B247)*(Inspeções!$A$3:$A$122=$C247)*(ROW(Inspeções!$B$3:$B$122)-3+1)))))</f>
        <v/>
      </c>
      <c r="E247" s="47" t="str">
        <f aca="false">IF($Q247="","",INDEX('Lançar Resultado'!$C$3:$C$2002,$Q247))</f>
        <v/>
      </c>
      <c r="F247" s="47" t="str">
        <f aca="false">IF($Q247="","",IFERROR(INDEX(Equipamentos!$E$3:$E$52,MATCH($B247,Equipamentos!$A$3:$A$52,0)),""))</f>
        <v/>
      </c>
      <c r="G247" s="47" t="str">
        <f aca="false">IF($Q247="","",INDEX('Lançar Resultado'!$D$3:$D$2002,$Q247))</f>
        <v/>
      </c>
      <c r="H247" s="47" t="str">
        <f aca="false">IF($Q247="","",INDEX('Lançar Resultado'!$E$3:$E$2002,$Q247))</f>
        <v/>
      </c>
      <c r="I247" s="46" t="str">
        <f aca="false">IF($Q247="","",INDEX('Lançar Resultado'!$G$3:$G$2002,$Q247))</f>
        <v/>
      </c>
      <c r="J247" s="45" t="str">
        <f aca="false">IF($Q247="","",INDEX('Lançar Resultado'!$P$3:$P$2002,$Q247))</f>
        <v/>
      </c>
      <c r="K247" s="46" t="str">
        <f aca="false">IF($Q247="","",INDEX('Lançar Resultado'!$N$3:$N$2002,$Q247))</f>
        <v/>
      </c>
      <c r="L247" s="47" t="str">
        <f aca="false">IF($Q247="","",INDEX('Lançar Resultado'!$I$3:$I$2002,$Q247))</f>
        <v/>
      </c>
      <c r="M247" s="47" t="str">
        <f aca="false">IF($Q247="","",INDEX('Lançar Resultado'!$J$3:$J$2002,$Q247))</f>
        <v/>
      </c>
      <c r="N247" s="44" t="str">
        <f aca="false">IF($Q247="","",INDEX('Lançar Resultado'!$K$3:$K$2002,$Q247))</f>
        <v/>
      </c>
      <c r="O247" s="46" t="str">
        <f aca="false">IF($Q247="","",INDEX('Lançar Resultado'!$L$3:$L$2002,$Q247))</f>
        <v/>
      </c>
      <c r="P247" s="45" t="str">
        <f aca="false">IF($Q247="","",IF(OR($O247="Concluída",$N247=""),"",IF($N247&lt;INT(Parâmetros!$C$4),INT(Parâmetros!$C$4)-$N247,"")))</f>
        <v/>
      </c>
      <c r="Q247" s="45" t="str">
        <f aca="false">IFERROR(MATCH(245,'Lançar Resultado'!$Q$3:$Q$2002,0),"")</f>
        <v/>
      </c>
    </row>
    <row r="248" customFormat="false" ht="18" hidden="false" customHeight="true" outlineLevel="0" collapsed="false">
      <c r="A248" s="39" t="n">
        <v>246</v>
      </c>
      <c r="B248" s="47" t="str">
        <f aca="false">IF($Q248="","",INDEX('Lançar Resultado'!$A$3:$A$2002,$Q248))</f>
        <v/>
      </c>
      <c r="C248" s="44" t="str">
        <f aca="false">IF($Q248="","",INDEX('Lançar Resultado'!$B$3:$B$2002,$Q248))</f>
        <v/>
      </c>
      <c r="D248" s="46" t="str">
        <f aca="false">IF($Q248="","",IF(SUMPRODUCT((Inspeções!$B$3:$B$122=$B248)*(Inspeções!$A$3:$A$122=$C248)*(ROW(Inspeções!$B$3:$B$122)-3+1))=0,"",INDEX(Inspeções!$C$3:$C$122,SUMPRODUCT((Inspeções!$B$3:$B$122=$B248)*(Inspeções!$A$3:$A$122=$C248)*(ROW(Inspeções!$B$3:$B$122)-3+1)))))</f>
        <v/>
      </c>
      <c r="E248" s="47" t="str">
        <f aca="false">IF($Q248="","",INDEX('Lançar Resultado'!$C$3:$C$2002,$Q248))</f>
        <v/>
      </c>
      <c r="F248" s="47" t="str">
        <f aca="false">IF($Q248="","",IFERROR(INDEX(Equipamentos!$E$3:$E$52,MATCH($B248,Equipamentos!$A$3:$A$52,0)),""))</f>
        <v/>
      </c>
      <c r="G248" s="47" t="str">
        <f aca="false">IF($Q248="","",INDEX('Lançar Resultado'!$D$3:$D$2002,$Q248))</f>
        <v/>
      </c>
      <c r="H248" s="47" t="str">
        <f aca="false">IF($Q248="","",INDEX('Lançar Resultado'!$E$3:$E$2002,$Q248))</f>
        <v/>
      </c>
      <c r="I248" s="46" t="str">
        <f aca="false">IF($Q248="","",INDEX('Lançar Resultado'!$G$3:$G$2002,$Q248))</f>
        <v/>
      </c>
      <c r="J248" s="45" t="str">
        <f aca="false">IF($Q248="","",INDEX('Lançar Resultado'!$P$3:$P$2002,$Q248))</f>
        <v/>
      </c>
      <c r="K248" s="46" t="str">
        <f aca="false">IF($Q248="","",INDEX('Lançar Resultado'!$N$3:$N$2002,$Q248))</f>
        <v/>
      </c>
      <c r="L248" s="47" t="str">
        <f aca="false">IF($Q248="","",INDEX('Lançar Resultado'!$I$3:$I$2002,$Q248))</f>
        <v/>
      </c>
      <c r="M248" s="47" t="str">
        <f aca="false">IF($Q248="","",INDEX('Lançar Resultado'!$J$3:$J$2002,$Q248))</f>
        <v/>
      </c>
      <c r="N248" s="44" t="str">
        <f aca="false">IF($Q248="","",INDEX('Lançar Resultado'!$K$3:$K$2002,$Q248))</f>
        <v/>
      </c>
      <c r="O248" s="46" t="str">
        <f aca="false">IF($Q248="","",INDEX('Lançar Resultado'!$L$3:$L$2002,$Q248))</f>
        <v/>
      </c>
      <c r="P248" s="45" t="str">
        <f aca="false">IF($Q248="","",IF(OR($O248="Concluída",$N248=""),"",IF($N248&lt;INT(Parâmetros!$C$4),INT(Parâmetros!$C$4)-$N248,"")))</f>
        <v/>
      </c>
      <c r="Q248" s="45" t="str">
        <f aca="false">IFERROR(MATCH(246,'Lançar Resultado'!$Q$3:$Q$2002,0),"")</f>
        <v/>
      </c>
    </row>
    <row r="249" customFormat="false" ht="18" hidden="false" customHeight="true" outlineLevel="0" collapsed="false">
      <c r="A249" s="39" t="n">
        <v>247</v>
      </c>
      <c r="B249" s="47" t="str">
        <f aca="false">IF($Q249="","",INDEX('Lançar Resultado'!$A$3:$A$2002,$Q249))</f>
        <v/>
      </c>
      <c r="C249" s="44" t="str">
        <f aca="false">IF($Q249="","",INDEX('Lançar Resultado'!$B$3:$B$2002,$Q249))</f>
        <v/>
      </c>
      <c r="D249" s="46" t="str">
        <f aca="false">IF($Q249="","",IF(SUMPRODUCT((Inspeções!$B$3:$B$122=$B249)*(Inspeções!$A$3:$A$122=$C249)*(ROW(Inspeções!$B$3:$B$122)-3+1))=0,"",INDEX(Inspeções!$C$3:$C$122,SUMPRODUCT((Inspeções!$B$3:$B$122=$B249)*(Inspeções!$A$3:$A$122=$C249)*(ROW(Inspeções!$B$3:$B$122)-3+1)))))</f>
        <v/>
      </c>
      <c r="E249" s="47" t="str">
        <f aca="false">IF($Q249="","",INDEX('Lançar Resultado'!$C$3:$C$2002,$Q249))</f>
        <v/>
      </c>
      <c r="F249" s="47" t="str">
        <f aca="false">IF($Q249="","",IFERROR(INDEX(Equipamentos!$E$3:$E$52,MATCH($B249,Equipamentos!$A$3:$A$52,0)),""))</f>
        <v/>
      </c>
      <c r="G249" s="47" t="str">
        <f aca="false">IF($Q249="","",INDEX('Lançar Resultado'!$D$3:$D$2002,$Q249))</f>
        <v/>
      </c>
      <c r="H249" s="47" t="str">
        <f aca="false">IF($Q249="","",INDEX('Lançar Resultado'!$E$3:$E$2002,$Q249))</f>
        <v/>
      </c>
      <c r="I249" s="46" t="str">
        <f aca="false">IF($Q249="","",INDEX('Lançar Resultado'!$G$3:$G$2002,$Q249))</f>
        <v/>
      </c>
      <c r="J249" s="45" t="str">
        <f aca="false">IF($Q249="","",INDEX('Lançar Resultado'!$P$3:$P$2002,$Q249))</f>
        <v/>
      </c>
      <c r="K249" s="46" t="str">
        <f aca="false">IF($Q249="","",INDEX('Lançar Resultado'!$N$3:$N$2002,$Q249))</f>
        <v/>
      </c>
      <c r="L249" s="47" t="str">
        <f aca="false">IF($Q249="","",INDEX('Lançar Resultado'!$I$3:$I$2002,$Q249))</f>
        <v/>
      </c>
      <c r="M249" s="47" t="str">
        <f aca="false">IF($Q249="","",INDEX('Lançar Resultado'!$J$3:$J$2002,$Q249))</f>
        <v/>
      </c>
      <c r="N249" s="44" t="str">
        <f aca="false">IF($Q249="","",INDEX('Lançar Resultado'!$K$3:$K$2002,$Q249))</f>
        <v/>
      </c>
      <c r="O249" s="46" t="str">
        <f aca="false">IF($Q249="","",INDEX('Lançar Resultado'!$L$3:$L$2002,$Q249))</f>
        <v/>
      </c>
      <c r="P249" s="45" t="str">
        <f aca="false">IF($Q249="","",IF(OR($O249="Concluída",$N249=""),"",IF($N249&lt;INT(Parâmetros!$C$4),INT(Parâmetros!$C$4)-$N249,"")))</f>
        <v/>
      </c>
      <c r="Q249" s="45" t="str">
        <f aca="false">IFERROR(MATCH(247,'Lançar Resultado'!$Q$3:$Q$2002,0),"")</f>
        <v/>
      </c>
    </row>
    <row r="250" customFormat="false" ht="18" hidden="false" customHeight="true" outlineLevel="0" collapsed="false">
      <c r="A250" s="39" t="n">
        <v>248</v>
      </c>
      <c r="B250" s="47" t="str">
        <f aca="false">IF($Q250="","",INDEX('Lançar Resultado'!$A$3:$A$2002,$Q250))</f>
        <v/>
      </c>
      <c r="C250" s="44" t="str">
        <f aca="false">IF($Q250="","",INDEX('Lançar Resultado'!$B$3:$B$2002,$Q250))</f>
        <v/>
      </c>
      <c r="D250" s="46" t="str">
        <f aca="false">IF($Q250="","",IF(SUMPRODUCT((Inspeções!$B$3:$B$122=$B250)*(Inspeções!$A$3:$A$122=$C250)*(ROW(Inspeções!$B$3:$B$122)-3+1))=0,"",INDEX(Inspeções!$C$3:$C$122,SUMPRODUCT((Inspeções!$B$3:$B$122=$B250)*(Inspeções!$A$3:$A$122=$C250)*(ROW(Inspeções!$B$3:$B$122)-3+1)))))</f>
        <v/>
      </c>
      <c r="E250" s="47" t="str">
        <f aca="false">IF($Q250="","",INDEX('Lançar Resultado'!$C$3:$C$2002,$Q250))</f>
        <v/>
      </c>
      <c r="F250" s="47" t="str">
        <f aca="false">IF($Q250="","",IFERROR(INDEX(Equipamentos!$E$3:$E$52,MATCH($B250,Equipamentos!$A$3:$A$52,0)),""))</f>
        <v/>
      </c>
      <c r="G250" s="47" t="str">
        <f aca="false">IF($Q250="","",INDEX('Lançar Resultado'!$D$3:$D$2002,$Q250))</f>
        <v/>
      </c>
      <c r="H250" s="47" t="str">
        <f aca="false">IF($Q250="","",INDEX('Lançar Resultado'!$E$3:$E$2002,$Q250))</f>
        <v/>
      </c>
      <c r="I250" s="46" t="str">
        <f aca="false">IF($Q250="","",INDEX('Lançar Resultado'!$G$3:$G$2002,$Q250))</f>
        <v/>
      </c>
      <c r="J250" s="45" t="str">
        <f aca="false">IF($Q250="","",INDEX('Lançar Resultado'!$P$3:$P$2002,$Q250))</f>
        <v/>
      </c>
      <c r="K250" s="46" t="str">
        <f aca="false">IF($Q250="","",INDEX('Lançar Resultado'!$N$3:$N$2002,$Q250))</f>
        <v/>
      </c>
      <c r="L250" s="47" t="str">
        <f aca="false">IF($Q250="","",INDEX('Lançar Resultado'!$I$3:$I$2002,$Q250))</f>
        <v/>
      </c>
      <c r="M250" s="47" t="str">
        <f aca="false">IF($Q250="","",INDEX('Lançar Resultado'!$J$3:$J$2002,$Q250))</f>
        <v/>
      </c>
      <c r="N250" s="44" t="str">
        <f aca="false">IF($Q250="","",INDEX('Lançar Resultado'!$K$3:$K$2002,$Q250))</f>
        <v/>
      </c>
      <c r="O250" s="46" t="str">
        <f aca="false">IF($Q250="","",INDEX('Lançar Resultado'!$L$3:$L$2002,$Q250))</f>
        <v/>
      </c>
      <c r="P250" s="45" t="str">
        <f aca="false">IF($Q250="","",IF(OR($O250="Concluída",$N250=""),"",IF($N250&lt;INT(Parâmetros!$C$4),INT(Parâmetros!$C$4)-$N250,"")))</f>
        <v/>
      </c>
      <c r="Q250" s="45" t="str">
        <f aca="false">IFERROR(MATCH(248,'Lançar Resultado'!$Q$3:$Q$2002,0),"")</f>
        <v/>
      </c>
    </row>
    <row r="251" customFormat="false" ht="18" hidden="false" customHeight="true" outlineLevel="0" collapsed="false">
      <c r="A251" s="39" t="n">
        <v>249</v>
      </c>
      <c r="B251" s="47" t="str">
        <f aca="false">IF($Q251="","",INDEX('Lançar Resultado'!$A$3:$A$2002,$Q251))</f>
        <v/>
      </c>
      <c r="C251" s="44" t="str">
        <f aca="false">IF($Q251="","",INDEX('Lançar Resultado'!$B$3:$B$2002,$Q251))</f>
        <v/>
      </c>
      <c r="D251" s="46" t="str">
        <f aca="false">IF($Q251="","",IF(SUMPRODUCT((Inspeções!$B$3:$B$122=$B251)*(Inspeções!$A$3:$A$122=$C251)*(ROW(Inspeções!$B$3:$B$122)-3+1))=0,"",INDEX(Inspeções!$C$3:$C$122,SUMPRODUCT((Inspeções!$B$3:$B$122=$B251)*(Inspeções!$A$3:$A$122=$C251)*(ROW(Inspeções!$B$3:$B$122)-3+1)))))</f>
        <v/>
      </c>
      <c r="E251" s="47" t="str">
        <f aca="false">IF($Q251="","",INDEX('Lançar Resultado'!$C$3:$C$2002,$Q251))</f>
        <v/>
      </c>
      <c r="F251" s="47" t="str">
        <f aca="false">IF($Q251="","",IFERROR(INDEX(Equipamentos!$E$3:$E$52,MATCH($B251,Equipamentos!$A$3:$A$52,0)),""))</f>
        <v/>
      </c>
      <c r="G251" s="47" t="str">
        <f aca="false">IF($Q251="","",INDEX('Lançar Resultado'!$D$3:$D$2002,$Q251))</f>
        <v/>
      </c>
      <c r="H251" s="47" t="str">
        <f aca="false">IF($Q251="","",INDEX('Lançar Resultado'!$E$3:$E$2002,$Q251))</f>
        <v/>
      </c>
      <c r="I251" s="46" t="str">
        <f aca="false">IF($Q251="","",INDEX('Lançar Resultado'!$G$3:$G$2002,$Q251))</f>
        <v/>
      </c>
      <c r="J251" s="45" t="str">
        <f aca="false">IF($Q251="","",INDEX('Lançar Resultado'!$P$3:$P$2002,$Q251))</f>
        <v/>
      </c>
      <c r="K251" s="46" t="str">
        <f aca="false">IF($Q251="","",INDEX('Lançar Resultado'!$N$3:$N$2002,$Q251))</f>
        <v/>
      </c>
      <c r="L251" s="47" t="str">
        <f aca="false">IF($Q251="","",INDEX('Lançar Resultado'!$I$3:$I$2002,$Q251))</f>
        <v/>
      </c>
      <c r="M251" s="47" t="str">
        <f aca="false">IF($Q251="","",INDEX('Lançar Resultado'!$J$3:$J$2002,$Q251))</f>
        <v/>
      </c>
      <c r="N251" s="44" t="str">
        <f aca="false">IF($Q251="","",INDEX('Lançar Resultado'!$K$3:$K$2002,$Q251))</f>
        <v/>
      </c>
      <c r="O251" s="46" t="str">
        <f aca="false">IF($Q251="","",INDEX('Lançar Resultado'!$L$3:$L$2002,$Q251))</f>
        <v/>
      </c>
      <c r="P251" s="45" t="str">
        <f aca="false">IF($Q251="","",IF(OR($O251="Concluída",$N251=""),"",IF($N251&lt;INT(Parâmetros!$C$4),INT(Parâmetros!$C$4)-$N251,"")))</f>
        <v/>
      </c>
      <c r="Q251" s="45" t="str">
        <f aca="false">IFERROR(MATCH(249,'Lançar Resultado'!$Q$3:$Q$2002,0),"")</f>
        <v/>
      </c>
    </row>
    <row r="252" customFormat="false" ht="18" hidden="false" customHeight="true" outlineLevel="0" collapsed="false">
      <c r="A252" s="39" t="n">
        <v>250</v>
      </c>
      <c r="B252" s="47" t="str">
        <f aca="false">IF($Q252="","",INDEX('Lançar Resultado'!$A$3:$A$2002,$Q252))</f>
        <v/>
      </c>
      <c r="C252" s="44" t="str">
        <f aca="false">IF($Q252="","",INDEX('Lançar Resultado'!$B$3:$B$2002,$Q252))</f>
        <v/>
      </c>
      <c r="D252" s="46" t="str">
        <f aca="false">IF($Q252="","",IF(SUMPRODUCT((Inspeções!$B$3:$B$122=$B252)*(Inspeções!$A$3:$A$122=$C252)*(ROW(Inspeções!$B$3:$B$122)-3+1))=0,"",INDEX(Inspeções!$C$3:$C$122,SUMPRODUCT((Inspeções!$B$3:$B$122=$B252)*(Inspeções!$A$3:$A$122=$C252)*(ROW(Inspeções!$B$3:$B$122)-3+1)))))</f>
        <v/>
      </c>
      <c r="E252" s="47" t="str">
        <f aca="false">IF($Q252="","",INDEX('Lançar Resultado'!$C$3:$C$2002,$Q252))</f>
        <v/>
      </c>
      <c r="F252" s="47" t="str">
        <f aca="false">IF($Q252="","",IFERROR(INDEX(Equipamentos!$E$3:$E$52,MATCH($B252,Equipamentos!$A$3:$A$52,0)),""))</f>
        <v/>
      </c>
      <c r="G252" s="47" t="str">
        <f aca="false">IF($Q252="","",INDEX('Lançar Resultado'!$D$3:$D$2002,$Q252))</f>
        <v/>
      </c>
      <c r="H252" s="47" t="str">
        <f aca="false">IF($Q252="","",INDEX('Lançar Resultado'!$E$3:$E$2002,$Q252))</f>
        <v/>
      </c>
      <c r="I252" s="46" t="str">
        <f aca="false">IF($Q252="","",INDEX('Lançar Resultado'!$G$3:$G$2002,$Q252))</f>
        <v/>
      </c>
      <c r="J252" s="45" t="str">
        <f aca="false">IF($Q252="","",INDEX('Lançar Resultado'!$P$3:$P$2002,$Q252))</f>
        <v/>
      </c>
      <c r="K252" s="46" t="str">
        <f aca="false">IF($Q252="","",INDEX('Lançar Resultado'!$N$3:$N$2002,$Q252))</f>
        <v/>
      </c>
      <c r="L252" s="47" t="str">
        <f aca="false">IF($Q252="","",INDEX('Lançar Resultado'!$I$3:$I$2002,$Q252))</f>
        <v/>
      </c>
      <c r="M252" s="47" t="str">
        <f aca="false">IF($Q252="","",INDEX('Lançar Resultado'!$J$3:$J$2002,$Q252))</f>
        <v/>
      </c>
      <c r="N252" s="44" t="str">
        <f aca="false">IF($Q252="","",INDEX('Lançar Resultado'!$K$3:$K$2002,$Q252))</f>
        <v/>
      </c>
      <c r="O252" s="46" t="str">
        <f aca="false">IF($Q252="","",INDEX('Lançar Resultado'!$L$3:$L$2002,$Q252))</f>
        <v/>
      </c>
      <c r="P252" s="45" t="str">
        <f aca="false">IF($Q252="","",IF(OR($O252="Concluída",$N252=""),"",IF($N252&lt;INT(Parâmetros!$C$4),INT(Parâmetros!$C$4)-$N252,"")))</f>
        <v/>
      </c>
      <c r="Q252" s="45" t="str">
        <f aca="false">IFERROR(MATCH(250,'Lançar Resultado'!$Q$3:$Q$2002,0),"")</f>
        <v/>
      </c>
    </row>
    <row r="253" customFormat="false" ht="18" hidden="false" customHeight="true" outlineLevel="0" collapsed="false">
      <c r="A253" s="39" t="n">
        <v>251</v>
      </c>
      <c r="B253" s="47" t="str">
        <f aca="false">IF($Q253="","",INDEX('Lançar Resultado'!$A$3:$A$2002,$Q253))</f>
        <v/>
      </c>
      <c r="C253" s="44" t="str">
        <f aca="false">IF($Q253="","",INDEX('Lançar Resultado'!$B$3:$B$2002,$Q253))</f>
        <v/>
      </c>
      <c r="D253" s="46" t="str">
        <f aca="false">IF($Q253="","",IF(SUMPRODUCT((Inspeções!$B$3:$B$122=$B253)*(Inspeções!$A$3:$A$122=$C253)*(ROW(Inspeções!$B$3:$B$122)-3+1))=0,"",INDEX(Inspeções!$C$3:$C$122,SUMPRODUCT((Inspeções!$B$3:$B$122=$B253)*(Inspeções!$A$3:$A$122=$C253)*(ROW(Inspeções!$B$3:$B$122)-3+1)))))</f>
        <v/>
      </c>
      <c r="E253" s="47" t="str">
        <f aca="false">IF($Q253="","",INDEX('Lançar Resultado'!$C$3:$C$2002,$Q253))</f>
        <v/>
      </c>
      <c r="F253" s="47" t="str">
        <f aca="false">IF($Q253="","",IFERROR(INDEX(Equipamentos!$E$3:$E$52,MATCH($B253,Equipamentos!$A$3:$A$52,0)),""))</f>
        <v/>
      </c>
      <c r="G253" s="47" t="str">
        <f aca="false">IF($Q253="","",INDEX('Lançar Resultado'!$D$3:$D$2002,$Q253))</f>
        <v/>
      </c>
      <c r="H253" s="47" t="str">
        <f aca="false">IF($Q253="","",INDEX('Lançar Resultado'!$E$3:$E$2002,$Q253))</f>
        <v/>
      </c>
      <c r="I253" s="46" t="str">
        <f aca="false">IF($Q253="","",INDEX('Lançar Resultado'!$G$3:$G$2002,$Q253))</f>
        <v/>
      </c>
      <c r="J253" s="45" t="str">
        <f aca="false">IF($Q253="","",INDEX('Lançar Resultado'!$P$3:$P$2002,$Q253))</f>
        <v/>
      </c>
      <c r="K253" s="46" t="str">
        <f aca="false">IF($Q253="","",INDEX('Lançar Resultado'!$N$3:$N$2002,$Q253))</f>
        <v/>
      </c>
      <c r="L253" s="47" t="str">
        <f aca="false">IF($Q253="","",INDEX('Lançar Resultado'!$I$3:$I$2002,$Q253))</f>
        <v/>
      </c>
      <c r="M253" s="47" t="str">
        <f aca="false">IF($Q253="","",INDEX('Lançar Resultado'!$J$3:$J$2002,$Q253))</f>
        <v/>
      </c>
      <c r="N253" s="44" t="str">
        <f aca="false">IF($Q253="","",INDEX('Lançar Resultado'!$K$3:$K$2002,$Q253))</f>
        <v/>
      </c>
      <c r="O253" s="46" t="str">
        <f aca="false">IF($Q253="","",INDEX('Lançar Resultado'!$L$3:$L$2002,$Q253))</f>
        <v/>
      </c>
      <c r="P253" s="45" t="str">
        <f aca="false">IF($Q253="","",IF(OR($O253="Concluída",$N253=""),"",IF($N253&lt;INT(Parâmetros!$C$4),INT(Parâmetros!$C$4)-$N253,"")))</f>
        <v/>
      </c>
      <c r="Q253" s="45" t="str">
        <f aca="false">IFERROR(MATCH(251,'Lançar Resultado'!$Q$3:$Q$2002,0),"")</f>
        <v/>
      </c>
    </row>
    <row r="254" customFormat="false" ht="18" hidden="false" customHeight="true" outlineLevel="0" collapsed="false">
      <c r="A254" s="39" t="n">
        <v>252</v>
      </c>
      <c r="B254" s="47" t="str">
        <f aca="false">IF($Q254="","",INDEX('Lançar Resultado'!$A$3:$A$2002,$Q254))</f>
        <v/>
      </c>
      <c r="C254" s="44" t="str">
        <f aca="false">IF($Q254="","",INDEX('Lançar Resultado'!$B$3:$B$2002,$Q254))</f>
        <v/>
      </c>
      <c r="D254" s="46" t="str">
        <f aca="false">IF($Q254="","",IF(SUMPRODUCT((Inspeções!$B$3:$B$122=$B254)*(Inspeções!$A$3:$A$122=$C254)*(ROW(Inspeções!$B$3:$B$122)-3+1))=0,"",INDEX(Inspeções!$C$3:$C$122,SUMPRODUCT((Inspeções!$B$3:$B$122=$B254)*(Inspeções!$A$3:$A$122=$C254)*(ROW(Inspeções!$B$3:$B$122)-3+1)))))</f>
        <v/>
      </c>
      <c r="E254" s="47" t="str">
        <f aca="false">IF($Q254="","",INDEX('Lançar Resultado'!$C$3:$C$2002,$Q254))</f>
        <v/>
      </c>
      <c r="F254" s="47" t="str">
        <f aca="false">IF($Q254="","",IFERROR(INDEX(Equipamentos!$E$3:$E$52,MATCH($B254,Equipamentos!$A$3:$A$52,0)),""))</f>
        <v/>
      </c>
      <c r="G254" s="47" t="str">
        <f aca="false">IF($Q254="","",INDEX('Lançar Resultado'!$D$3:$D$2002,$Q254))</f>
        <v/>
      </c>
      <c r="H254" s="47" t="str">
        <f aca="false">IF($Q254="","",INDEX('Lançar Resultado'!$E$3:$E$2002,$Q254))</f>
        <v/>
      </c>
      <c r="I254" s="46" t="str">
        <f aca="false">IF($Q254="","",INDEX('Lançar Resultado'!$G$3:$G$2002,$Q254))</f>
        <v/>
      </c>
      <c r="J254" s="45" t="str">
        <f aca="false">IF($Q254="","",INDEX('Lançar Resultado'!$P$3:$P$2002,$Q254))</f>
        <v/>
      </c>
      <c r="K254" s="46" t="str">
        <f aca="false">IF($Q254="","",INDEX('Lançar Resultado'!$N$3:$N$2002,$Q254))</f>
        <v/>
      </c>
      <c r="L254" s="47" t="str">
        <f aca="false">IF($Q254="","",INDEX('Lançar Resultado'!$I$3:$I$2002,$Q254))</f>
        <v/>
      </c>
      <c r="M254" s="47" t="str">
        <f aca="false">IF($Q254="","",INDEX('Lançar Resultado'!$J$3:$J$2002,$Q254))</f>
        <v/>
      </c>
      <c r="N254" s="44" t="str">
        <f aca="false">IF($Q254="","",INDEX('Lançar Resultado'!$K$3:$K$2002,$Q254))</f>
        <v/>
      </c>
      <c r="O254" s="46" t="str">
        <f aca="false">IF($Q254="","",INDEX('Lançar Resultado'!$L$3:$L$2002,$Q254))</f>
        <v/>
      </c>
      <c r="P254" s="45" t="str">
        <f aca="false">IF($Q254="","",IF(OR($O254="Concluída",$N254=""),"",IF($N254&lt;INT(Parâmetros!$C$4),INT(Parâmetros!$C$4)-$N254,"")))</f>
        <v/>
      </c>
      <c r="Q254" s="45" t="str">
        <f aca="false">IFERROR(MATCH(252,'Lançar Resultado'!$Q$3:$Q$2002,0),"")</f>
        <v/>
      </c>
    </row>
    <row r="255" customFormat="false" ht="18" hidden="false" customHeight="true" outlineLevel="0" collapsed="false">
      <c r="A255" s="39" t="n">
        <v>253</v>
      </c>
      <c r="B255" s="47" t="str">
        <f aca="false">IF($Q255="","",INDEX('Lançar Resultado'!$A$3:$A$2002,$Q255))</f>
        <v/>
      </c>
      <c r="C255" s="44" t="str">
        <f aca="false">IF($Q255="","",INDEX('Lançar Resultado'!$B$3:$B$2002,$Q255))</f>
        <v/>
      </c>
      <c r="D255" s="46" t="str">
        <f aca="false">IF($Q255="","",IF(SUMPRODUCT((Inspeções!$B$3:$B$122=$B255)*(Inspeções!$A$3:$A$122=$C255)*(ROW(Inspeções!$B$3:$B$122)-3+1))=0,"",INDEX(Inspeções!$C$3:$C$122,SUMPRODUCT((Inspeções!$B$3:$B$122=$B255)*(Inspeções!$A$3:$A$122=$C255)*(ROW(Inspeções!$B$3:$B$122)-3+1)))))</f>
        <v/>
      </c>
      <c r="E255" s="47" t="str">
        <f aca="false">IF($Q255="","",INDEX('Lançar Resultado'!$C$3:$C$2002,$Q255))</f>
        <v/>
      </c>
      <c r="F255" s="47" t="str">
        <f aca="false">IF($Q255="","",IFERROR(INDEX(Equipamentos!$E$3:$E$52,MATCH($B255,Equipamentos!$A$3:$A$52,0)),""))</f>
        <v/>
      </c>
      <c r="G255" s="47" t="str">
        <f aca="false">IF($Q255="","",INDEX('Lançar Resultado'!$D$3:$D$2002,$Q255))</f>
        <v/>
      </c>
      <c r="H255" s="47" t="str">
        <f aca="false">IF($Q255="","",INDEX('Lançar Resultado'!$E$3:$E$2002,$Q255))</f>
        <v/>
      </c>
      <c r="I255" s="46" t="str">
        <f aca="false">IF($Q255="","",INDEX('Lançar Resultado'!$G$3:$G$2002,$Q255))</f>
        <v/>
      </c>
      <c r="J255" s="45" t="str">
        <f aca="false">IF($Q255="","",INDEX('Lançar Resultado'!$P$3:$P$2002,$Q255))</f>
        <v/>
      </c>
      <c r="K255" s="46" t="str">
        <f aca="false">IF($Q255="","",INDEX('Lançar Resultado'!$N$3:$N$2002,$Q255))</f>
        <v/>
      </c>
      <c r="L255" s="47" t="str">
        <f aca="false">IF($Q255="","",INDEX('Lançar Resultado'!$I$3:$I$2002,$Q255))</f>
        <v/>
      </c>
      <c r="M255" s="47" t="str">
        <f aca="false">IF($Q255="","",INDEX('Lançar Resultado'!$J$3:$J$2002,$Q255))</f>
        <v/>
      </c>
      <c r="N255" s="44" t="str">
        <f aca="false">IF($Q255="","",INDEX('Lançar Resultado'!$K$3:$K$2002,$Q255))</f>
        <v/>
      </c>
      <c r="O255" s="46" t="str">
        <f aca="false">IF($Q255="","",INDEX('Lançar Resultado'!$L$3:$L$2002,$Q255))</f>
        <v/>
      </c>
      <c r="P255" s="45" t="str">
        <f aca="false">IF($Q255="","",IF(OR($O255="Concluída",$N255=""),"",IF($N255&lt;INT(Parâmetros!$C$4),INT(Parâmetros!$C$4)-$N255,"")))</f>
        <v/>
      </c>
      <c r="Q255" s="45" t="str">
        <f aca="false">IFERROR(MATCH(253,'Lançar Resultado'!$Q$3:$Q$2002,0),"")</f>
        <v/>
      </c>
    </row>
    <row r="256" customFormat="false" ht="18" hidden="false" customHeight="true" outlineLevel="0" collapsed="false">
      <c r="A256" s="39" t="n">
        <v>254</v>
      </c>
      <c r="B256" s="47" t="str">
        <f aca="false">IF($Q256="","",INDEX('Lançar Resultado'!$A$3:$A$2002,$Q256))</f>
        <v/>
      </c>
      <c r="C256" s="44" t="str">
        <f aca="false">IF($Q256="","",INDEX('Lançar Resultado'!$B$3:$B$2002,$Q256))</f>
        <v/>
      </c>
      <c r="D256" s="46" t="str">
        <f aca="false">IF($Q256="","",IF(SUMPRODUCT((Inspeções!$B$3:$B$122=$B256)*(Inspeções!$A$3:$A$122=$C256)*(ROW(Inspeções!$B$3:$B$122)-3+1))=0,"",INDEX(Inspeções!$C$3:$C$122,SUMPRODUCT((Inspeções!$B$3:$B$122=$B256)*(Inspeções!$A$3:$A$122=$C256)*(ROW(Inspeções!$B$3:$B$122)-3+1)))))</f>
        <v/>
      </c>
      <c r="E256" s="47" t="str">
        <f aca="false">IF($Q256="","",INDEX('Lançar Resultado'!$C$3:$C$2002,$Q256))</f>
        <v/>
      </c>
      <c r="F256" s="47" t="str">
        <f aca="false">IF($Q256="","",IFERROR(INDEX(Equipamentos!$E$3:$E$52,MATCH($B256,Equipamentos!$A$3:$A$52,0)),""))</f>
        <v/>
      </c>
      <c r="G256" s="47" t="str">
        <f aca="false">IF($Q256="","",INDEX('Lançar Resultado'!$D$3:$D$2002,$Q256))</f>
        <v/>
      </c>
      <c r="H256" s="47" t="str">
        <f aca="false">IF($Q256="","",INDEX('Lançar Resultado'!$E$3:$E$2002,$Q256))</f>
        <v/>
      </c>
      <c r="I256" s="46" t="str">
        <f aca="false">IF($Q256="","",INDEX('Lançar Resultado'!$G$3:$G$2002,$Q256))</f>
        <v/>
      </c>
      <c r="J256" s="45" t="str">
        <f aca="false">IF($Q256="","",INDEX('Lançar Resultado'!$P$3:$P$2002,$Q256))</f>
        <v/>
      </c>
      <c r="K256" s="46" t="str">
        <f aca="false">IF($Q256="","",INDEX('Lançar Resultado'!$N$3:$N$2002,$Q256))</f>
        <v/>
      </c>
      <c r="L256" s="47" t="str">
        <f aca="false">IF($Q256="","",INDEX('Lançar Resultado'!$I$3:$I$2002,$Q256))</f>
        <v/>
      </c>
      <c r="M256" s="47" t="str">
        <f aca="false">IF($Q256="","",INDEX('Lançar Resultado'!$J$3:$J$2002,$Q256))</f>
        <v/>
      </c>
      <c r="N256" s="44" t="str">
        <f aca="false">IF($Q256="","",INDEX('Lançar Resultado'!$K$3:$K$2002,$Q256))</f>
        <v/>
      </c>
      <c r="O256" s="46" t="str">
        <f aca="false">IF($Q256="","",INDEX('Lançar Resultado'!$L$3:$L$2002,$Q256))</f>
        <v/>
      </c>
      <c r="P256" s="45" t="str">
        <f aca="false">IF($Q256="","",IF(OR($O256="Concluída",$N256=""),"",IF($N256&lt;INT(Parâmetros!$C$4),INT(Parâmetros!$C$4)-$N256,"")))</f>
        <v/>
      </c>
      <c r="Q256" s="45" t="str">
        <f aca="false">IFERROR(MATCH(254,'Lançar Resultado'!$Q$3:$Q$2002,0),"")</f>
        <v/>
      </c>
    </row>
    <row r="257" customFormat="false" ht="18" hidden="false" customHeight="true" outlineLevel="0" collapsed="false">
      <c r="A257" s="39" t="n">
        <v>255</v>
      </c>
      <c r="B257" s="47" t="str">
        <f aca="false">IF($Q257="","",INDEX('Lançar Resultado'!$A$3:$A$2002,$Q257))</f>
        <v/>
      </c>
      <c r="C257" s="44" t="str">
        <f aca="false">IF($Q257="","",INDEX('Lançar Resultado'!$B$3:$B$2002,$Q257))</f>
        <v/>
      </c>
      <c r="D257" s="46" t="str">
        <f aca="false">IF($Q257="","",IF(SUMPRODUCT((Inspeções!$B$3:$B$122=$B257)*(Inspeções!$A$3:$A$122=$C257)*(ROW(Inspeções!$B$3:$B$122)-3+1))=0,"",INDEX(Inspeções!$C$3:$C$122,SUMPRODUCT((Inspeções!$B$3:$B$122=$B257)*(Inspeções!$A$3:$A$122=$C257)*(ROW(Inspeções!$B$3:$B$122)-3+1)))))</f>
        <v/>
      </c>
      <c r="E257" s="47" t="str">
        <f aca="false">IF($Q257="","",INDEX('Lançar Resultado'!$C$3:$C$2002,$Q257))</f>
        <v/>
      </c>
      <c r="F257" s="47" t="str">
        <f aca="false">IF($Q257="","",IFERROR(INDEX(Equipamentos!$E$3:$E$52,MATCH($B257,Equipamentos!$A$3:$A$52,0)),""))</f>
        <v/>
      </c>
      <c r="G257" s="47" t="str">
        <f aca="false">IF($Q257="","",INDEX('Lançar Resultado'!$D$3:$D$2002,$Q257))</f>
        <v/>
      </c>
      <c r="H257" s="47" t="str">
        <f aca="false">IF($Q257="","",INDEX('Lançar Resultado'!$E$3:$E$2002,$Q257))</f>
        <v/>
      </c>
      <c r="I257" s="46" t="str">
        <f aca="false">IF($Q257="","",INDEX('Lançar Resultado'!$G$3:$G$2002,$Q257))</f>
        <v/>
      </c>
      <c r="J257" s="45" t="str">
        <f aca="false">IF($Q257="","",INDEX('Lançar Resultado'!$P$3:$P$2002,$Q257))</f>
        <v/>
      </c>
      <c r="K257" s="46" t="str">
        <f aca="false">IF($Q257="","",INDEX('Lançar Resultado'!$N$3:$N$2002,$Q257))</f>
        <v/>
      </c>
      <c r="L257" s="47" t="str">
        <f aca="false">IF($Q257="","",INDEX('Lançar Resultado'!$I$3:$I$2002,$Q257))</f>
        <v/>
      </c>
      <c r="M257" s="47" t="str">
        <f aca="false">IF($Q257="","",INDEX('Lançar Resultado'!$J$3:$J$2002,$Q257))</f>
        <v/>
      </c>
      <c r="N257" s="44" t="str">
        <f aca="false">IF($Q257="","",INDEX('Lançar Resultado'!$K$3:$K$2002,$Q257))</f>
        <v/>
      </c>
      <c r="O257" s="46" t="str">
        <f aca="false">IF($Q257="","",INDEX('Lançar Resultado'!$L$3:$L$2002,$Q257))</f>
        <v/>
      </c>
      <c r="P257" s="45" t="str">
        <f aca="false">IF($Q257="","",IF(OR($O257="Concluída",$N257=""),"",IF($N257&lt;INT(Parâmetros!$C$4),INT(Parâmetros!$C$4)-$N257,"")))</f>
        <v/>
      </c>
      <c r="Q257" s="45" t="str">
        <f aca="false">IFERROR(MATCH(255,'Lançar Resultado'!$Q$3:$Q$2002,0),"")</f>
        <v/>
      </c>
    </row>
    <row r="258" customFormat="false" ht="18" hidden="false" customHeight="true" outlineLevel="0" collapsed="false">
      <c r="A258" s="39" t="n">
        <v>256</v>
      </c>
      <c r="B258" s="47" t="str">
        <f aca="false">IF($Q258="","",INDEX('Lançar Resultado'!$A$3:$A$2002,$Q258))</f>
        <v/>
      </c>
      <c r="C258" s="44" t="str">
        <f aca="false">IF($Q258="","",INDEX('Lançar Resultado'!$B$3:$B$2002,$Q258))</f>
        <v/>
      </c>
      <c r="D258" s="46" t="str">
        <f aca="false">IF($Q258="","",IF(SUMPRODUCT((Inspeções!$B$3:$B$122=$B258)*(Inspeções!$A$3:$A$122=$C258)*(ROW(Inspeções!$B$3:$B$122)-3+1))=0,"",INDEX(Inspeções!$C$3:$C$122,SUMPRODUCT((Inspeções!$B$3:$B$122=$B258)*(Inspeções!$A$3:$A$122=$C258)*(ROW(Inspeções!$B$3:$B$122)-3+1)))))</f>
        <v/>
      </c>
      <c r="E258" s="47" t="str">
        <f aca="false">IF($Q258="","",INDEX('Lançar Resultado'!$C$3:$C$2002,$Q258))</f>
        <v/>
      </c>
      <c r="F258" s="47" t="str">
        <f aca="false">IF($Q258="","",IFERROR(INDEX(Equipamentos!$E$3:$E$52,MATCH($B258,Equipamentos!$A$3:$A$52,0)),""))</f>
        <v/>
      </c>
      <c r="G258" s="47" t="str">
        <f aca="false">IF($Q258="","",INDEX('Lançar Resultado'!$D$3:$D$2002,$Q258))</f>
        <v/>
      </c>
      <c r="H258" s="47" t="str">
        <f aca="false">IF($Q258="","",INDEX('Lançar Resultado'!$E$3:$E$2002,$Q258))</f>
        <v/>
      </c>
      <c r="I258" s="46" t="str">
        <f aca="false">IF($Q258="","",INDEX('Lançar Resultado'!$G$3:$G$2002,$Q258))</f>
        <v/>
      </c>
      <c r="J258" s="45" t="str">
        <f aca="false">IF($Q258="","",INDEX('Lançar Resultado'!$P$3:$P$2002,$Q258))</f>
        <v/>
      </c>
      <c r="K258" s="46" t="str">
        <f aca="false">IF($Q258="","",INDEX('Lançar Resultado'!$N$3:$N$2002,$Q258))</f>
        <v/>
      </c>
      <c r="L258" s="47" t="str">
        <f aca="false">IF($Q258="","",INDEX('Lançar Resultado'!$I$3:$I$2002,$Q258))</f>
        <v/>
      </c>
      <c r="M258" s="47" t="str">
        <f aca="false">IF($Q258="","",INDEX('Lançar Resultado'!$J$3:$J$2002,$Q258))</f>
        <v/>
      </c>
      <c r="N258" s="44" t="str">
        <f aca="false">IF($Q258="","",INDEX('Lançar Resultado'!$K$3:$K$2002,$Q258))</f>
        <v/>
      </c>
      <c r="O258" s="46" t="str">
        <f aca="false">IF($Q258="","",INDEX('Lançar Resultado'!$L$3:$L$2002,$Q258))</f>
        <v/>
      </c>
      <c r="P258" s="45" t="str">
        <f aca="false">IF($Q258="","",IF(OR($O258="Concluída",$N258=""),"",IF($N258&lt;INT(Parâmetros!$C$4),INT(Parâmetros!$C$4)-$N258,"")))</f>
        <v/>
      </c>
      <c r="Q258" s="45" t="str">
        <f aca="false">IFERROR(MATCH(256,'Lançar Resultado'!$Q$3:$Q$2002,0),"")</f>
        <v/>
      </c>
    </row>
    <row r="259" customFormat="false" ht="18" hidden="false" customHeight="true" outlineLevel="0" collapsed="false">
      <c r="A259" s="39" t="n">
        <v>257</v>
      </c>
      <c r="B259" s="47" t="str">
        <f aca="false">IF($Q259="","",INDEX('Lançar Resultado'!$A$3:$A$2002,$Q259))</f>
        <v/>
      </c>
      <c r="C259" s="44" t="str">
        <f aca="false">IF($Q259="","",INDEX('Lançar Resultado'!$B$3:$B$2002,$Q259))</f>
        <v/>
      </c>
      <c r="D259" s="46" t="str">
        <f aca="false">IF($Q259="","",IF(SUMPRODUCT((Inspeções!$B$3:$B$122=$B259)*(Inspeções!$A$3:$A$122=$C259)*(ROW(Inspeções!$B$3:$B$122)-3+1))=0,"",INDEX(Inspeções!$C$3:$C$122,SUMPRODUCT((Inspeções!$B$3:$B$122=$B259)*(Inspeções!$A$3:$A$122=$C259)*(ROW(Inspeções!$B$3:$B$122)-3+1)))))</f>
        <v/>
      </c>
      <c r="E259" s="47" t="str">
        <f aca="false">IF($Q259="","",INDEX('Lançar Resultado'!$C$3:$C$2002,$Q259))</f>
        <v/>
      </c>
      <c r="F259" s="47" t="str">
        <f aca="false">IF($Q259="","",IFERROR(INDEX(Equipamentos!$E$3:$E$52,MATCH($B259,Equipamentos!$A$3:$A$52,0)),""))</f>
        <v/>
      </c>
      <c r="G259" s="47" t="str">
        <f aca="false">IF($Q259="","",INDEX('Lançar Resultado'!$D$3:$D$2002,$Q259))</f>
        <v/>
      </c>
      <c r="H259" s="47" t="str">
        <f aca="false">IF($Q259="","",INDEX('Lançar Resultado'!$E$3:$E$2002,$Q259))</f>
        <v/>
      </c>
      <c r="I259" s="46" t="str">
        <f aca="false">IF($Q259="","",INDEX('Lançar Resultado'!$G$3:$G$2002,$Q259))</f>
        <v/>
      </c>
      <c r="J259" s="45" t="str">
        <f aca="false">IF($Q259="","",INDEX('Lançar Resultado'!$P$3:$P$2002,$Q259))</f>
        <v/>
      </c>
      <c r="K259" s="46" t="str">
        <f aca="false">IF($Q259="","",INDEX('Lançar Resultado'!$N$3:$N$2002,$Q259))</f>
        <v/>
      </c>
      <c r="L259" s="47" t="str">
        <f aca="false">IF($Q259="","",INDEX('Lançar Resultado'!$I$3:$I$2002,$Q259))</f>
        <v/>
      </c>
      <c r="M259" s="47" t="str">
        <f aca="false">IF($Q259="","",INDEX('Lançar Resultado'!$J$3:$J$2002,$Q259))</f>
        <v/>
      </c>
      <c r="N259" s="44" t="str">
        <f aca="false">IF($Q259="","",INDEX('Lançar Resultado'!$K$3:$K$2002,$Q259))</f>
        <v/>
      </c>
      <c r="O259" s="46" t="str">
        <f aca="false">IF($Q259="","",INDEX('Lançar Resultado'!$L$3:$L$2002,$Q259))</f>
        <v/>
      </c>
      <c r="P259" s="45" t="str">
        <f aca="false">IF($Q259="","",IF(OR($O259="Concluída",$N259=""),"",IF($N259&lt;INT(Parâmetros!$C$4),INT(Parâmetros!$C$4)-$N259,"")))</f>
        <v/>
      </c>
      <c r="Q259" s="45" t="str">
        <f aca="false">IFERROR(MATCH(257,'Lançar Resultado'!$Q$3:$Q$2002,0),"")</f>
        <v/>
      </c>
    </row>
    <row r="260" customFormat="false" ht="18" hidden="false" customHeight="true" outlineLevel="0" collapsed="false">
      <c r="A260" s="39" t="n">
        <v>258</v>
      </c>
      <c r="B260" s="47" t="str">
        <f aca="false">IF($Q260="","",INDEX('Lançar Resultado'!$A$3:$A$2002,$Q260))</f>
        <v/>
      </c>
      <c r="C260" s="44" t="str">
        <f aca="false">IF($Q260="","",INDEX('Lançar Resultado'!$B$3:$B$2002,$Q260))</f>
        <v/>
      </c>
      <c r="D260" s="46" t="str">
        <f aca="false">IF($Q260="","",IF(SUMPRODUCT((Inspeções!$B$3:$B$122=$B260)*(Inspeções!$A$3:$A$122=$C260)*(ROW(Inspeções!$B$3:$B$122)-3+1))=0,"",INDEX(Inspeções!$C$3:$C$122,SUMPRODUCT((Inspeções!$B$3:$B$122=$B260)*(Inspeções!$A$3:$A$122=$C260)*(ROW(Inspeções!$B$3:$B$122)-3+1)))))</f>
        <v/>
      </c>
      <c r="E260" s="47" t="str">
        <f aca="false">IF($Q260="","",INDEX('Lançar Resultado'!$C$3:$C$2002,$Q260))</f>
        <v/>
      </c>
      <c r="F260" s="47" t="str">
        <f aca="false">IF($Q260="","",IFERROR(INDEX(Equipamentos!$E$3:$E$52,MATCH($B260,Equipamentos!$A$3:$A$52,0)),""))</f>
        <v/>
      </c>
      <c r="G260" s="47" t="str">
        <f aca="false">IF($Q260="","",INDEX('Lançar Resultado'!$D$3:$D$2002,$Q260))</f>
        <v/>
      </c>
      <c r="H260" s="47" t="str">
        <f aca="false">IF($Q260="","",INDEX('Lançar Resultado'!$E$3:$E$2002,$Q260))</f>
        <v/>
      </c>
      <c r="I260" s="46" t="str">
        <f aca="false">IF($Q260="","",INDEX('Lançar Resultado'!$G$3:$G$2002,$Q260))</f>
        <v/>
      </c>
      <c r="J260" s="45" t="str">
        <f aca="false">IF($Q260="","",INDEX('Lançar Resultado'!$P$3:$P$2002,$Q260))</f>
        <v/>
      </c>
      <c r="K260" s="46" t="str">
        <f aca="false">IF($Q260="","",INDEX('Lançar Resultado'!$N$3:$N$2002,$Q260))</f>
        <v/>
      </c>
      <c r="L260" s="47" t="str">
        <f aca="false">IF($Q260="","",INDEX('Lançar Resultado'!$I$3:$I$2002,$Q260))</f>
        <v/>
      </c>
      <c r="M260" s="47" t="str">
        <f aca="false">IF($Q260="","",INDEX('Lançar Resultado'!$J$3:$J$2002,$Q260))</f>
        <v/>
      </c>
      <c r="N260" s="44" t="str">
        <f aca="false">IF($Q260="","",INDEX('Lançar Resultado'!$K$3:$K$2002,$Q260))</f>
        <v/>
      </c>
      <c r="O260" s="46" t="str">
        <f aca="false">IF($Q260="","",INDEX('Lançar Resultado'!$L$3:$L$2002,$Q260))</f>
        <v/>
      </c>
      <c r="P260" s="45" t="str">
        <f aca="false">IF($Q260="","",IF(OR($O260="Concluída",$N260=""),"",IF($N260&lt;INT(Parâmetros!$C$4),INT(Parâmetros!$C$4)-$N260,"")))</f>
        <v/>
      </c>
      <c r="Q260" s="45" t="str">
        <f aca="false">IFERROR(MATCH(258,'Lançar Resultado'!$Q$3:$Q$2002,0),"")</f>
        <v/>
      </c>
    </row>
    <row r="261" customFormat="false" ht="18" hidden="false" customHeight="true" outlineLevel="0" collapsed="false">
      <c r="A261" s="39" t="n">
        <v>259</v>
      </c>
      <c r="B261" s="47" t="str">
        <f aca="false">IF($Q261="","",INDEX('Lançar Resultado'!$A$3:$A$2002,$Q261))</f>
        <v/>
      </c>
      <c r="C261" s="44" t="str">
        <f aca="false">IF($Q261="","",INDEX('Lançar Resultado'!$B$3:$B$2002,$Q261))</f>
        <v/>
      </c>
      <c r="D261" s="46" t="str">
        <f aca="false">IF($Q261="","",IF(SUMPRODUCT((Inspeções!$B$3:$B$122=$B261)*(Inspeções!$A$3:$A$122=$C261)*(ROW(Inspeções!$B$3:$B$122)-3+1))=0,"",INDEX(Inspeções!$C$3:$C$122,SUMPRODUCT((Inspeções!$B$3:$B$122=$B261)*(Inspeções!$A$3:$A$122=$C261)*(ROW(Inspeções!$B$3:$B$122)-3+1)))))</f>
        <v/>
      </c>
      <c r="E261" s="47" t="str">
        <f aca="false">IF($Q261="","",INDEX('Lançar Resultado'!$C$3:$C$2002,$Q261))</f>
        <v/>
      </c>
      <c r="F261" s="47" t="str">
        <f aca="false">IF($Q261="","",IFERROR(INDEX(Equipamentos!$E$3:$E$52,MATCH($B261,Equipamentos!$A$3:$A$52,0)),""))</f>
        <v/>
      </c>
      <c r="G261" s="47" t="str">
        <f aca="false">IF($Q261="","",INDEX('Lançar Resultado'!$D$3:$D$2002,$Q261))</f>
        <v/>
      </c>
      <c r="H261" s="47" t="str">
        <f aca="false">IF($Q261="","",INDEX('Lançar Resultado'!$E$3:$E$2002,$Q261))</f>
        <v/>
      </c>
      <c r="I261" s="46" t="str">
        <f aca="false">IF($Q261="","",INDEX('Lançar Resultado'!$G$3:$G$2002,$Q261))</f>
        <v/>
      </c>
      <c r="J261" s="45" t="str">
        <f aca="false">IF($Q261="","",INDEX('Lançar Resultado'!$P$3:$P$2002,$Q261))</f>
        <v/>
      </c>
      <c r="K261" s="46" t="str">
        <f aca="false">IF($Q261="","",INDEX('Lançar Resultado'!$N$3:$N$2002,$Q261))</f>
        <v/>
      </c>
      <c r="L261" s="47" t="str">
        <f aca="false">IF($Q261="","",INDEX('Lançar Resultado'!$I$3:$I$2002,$Q261))</f>
        <v/>
      </c>
      <c r="M261" s="47" t="str">
        <f aca="false">IF($Q261="","",INDEX('Lançar Resultado'!$J$3:$J$2002,$Q261))</f>
        <v/>
      </c>
      <c r="N261" s="44" t="str">
        <f aca="false">IF($Q261="","",INDEX('Lançar Resultado'!$K$3:$K$2002,$Q261))</f>
        <v/>
      </c>
      <c r="O261" s="46" t="str">
        <f aca="false">IF($Q261="","",INDEX('Lançar Resultado'!$L$3:$L$2002,$Q261))</f>
        <v/>
      </c>
      <c r="P261" s="45" t="str">
        <f aca="false">IF($Q261="","",IF(OR($O261="Concluída",$N261=""),"",IF($N261&lt;INT(Parâmetros!$C$4),INT(Parâmetros!$C$4)-$N261,"")))</f>
        <v/>
      </c>
      <c r="Q261" s="45" t="str">
        <f aca="false">IFERROR(MATCH(259,'Lançar Resultado'!$Q$3:$Q$2002,0),"")</f>
        <v/>
      </c>
    </row>
    <row r="262" customFormat="false" ht="18" hidden="false" customHeight="true" outlineLevel="0" collapsed="false">
      <c r="A262" s="39" t="n">
        <v>260</v>
      </c>
      <c r="B262" s="47" t="str">
        <f aca="false">IF($Q262="","",INDEX('Lançar Resultado'!$A$3:$A$2002,$Q262))</f>
        <v/>
      </c>
      <c r="C262" s="44" t="str">
        <f aca="false">IF($Q262="","",INDEX('Lançar Resultado'!$B$3:$B$2002,$Q262))</f>
        <v/>
      </c>
      <c r="D262" s="46" t="str">
        <f aca="false">IF($Q262="","",IF(SUMPRODUCT((Inspeções!$B$3:$B$122=$B262)*(Inspeções!$A$3:$A$122=$C262)*(ROW(Inspeções!$B$3:$B$122)-3+1))=0,"",INDEX(Inspeções!$C$3:$C$122,SUMPRODUCT((Inspeções!$B$3:$B$122=$B262)*(Inspeções!$A$3:$A$122=$C262)*(ROW(Inspeções!$B$3:$B$122)-3+1)))))</f>
        <v/>
      </c>
      <c r="E262" s="47" t="str">
        <f aca="false">IF($Q262="","",INDEX('Lançar Resultado'!$C$3:$C$2002,$Q262))</f>
        <v/>
      </c>
      <c r="F262" s="47" t="str">
        <f aca="false">IF($Q262="","",IFERROR(INDEX(Equipamentos!$E$3:$E$52,MATCH($B262,Equipamentos!$A$3:$A$52,0)),""))</f>
        <v/>
      </c>
      <c r="G262" s="47" t="str">
        <f aca="false">IF($Q262="","",INDEX('Lançar Resultado'!$D$3:$D$2002,$Q262))</f>
        <v/>
      </c>
      <c r="H262" s="47" t="str">
        <f aca="false">IF($Q262="","",INDEX('Lançar Resultado'!$E$3:$E$2002,$Q262))</f>
        <v/>
      </c>
      <c r="I262" s="46" t="str">
        <f aca="false">IF($Q262="","",INDEX('Lançar Resultado'!$G$3:$G$2002,$Q262))</f>
        <v/>
      </c>
      <c r="J262" s="45" t="str">
        <f aca="false">IF($Q262="","",INDEX('Lançar Resultado'!$P$3:$P$2002,$Q262))</f>
        <v/>
      </c>
      <c r="K262" s="46" t="str">
        <f aca="false">IF($Q262="","",INDEX('Lançar Resultado'!$N$3:$N$2002,$Q262))</f>
        <v/>
      </c>
      <c r="L262" s="47" t="str">
        <f aca="false">IF($Q262="","",INDEX('Lançar Resultado'!$I$3:$I$2002,$Q262))</f>
        <v/>
      </c>
      <c r="M262" s="47" t="str">
        <f aca="false">IF($Q262="","",INDEX('Lançar Resultado'!$J$3:$J$2002,$Q262))</f>
        <v/>
      </c>
      <c r="N262" s="44" t="str">
        <f aca="false">IF($Q262="","",INDEX('Lançar Resultado'!$K$3:$K$2002,$Q262))</f>
        <v/>
      </c>
      <c r="O262" s="46" t="str">
        <f aca="false">IF($Q262="","",INDEX('Lançar Resultado'!$L$3:$L$2002,$Q262))</f>
        <v/>
      </c>
      <c r="P262" s="45" t="str">
        <f aca="false">IF($Q262="","",IF(OR($O262="Concluída",$N262=""),"",IF($N262&lt;INT(Parâmetros!$C$4),INT(Parâmetros!$C$4)-$N262,"")))</f>
        <v/>
      </c>
      <c r="Q262" s="45" t="str">
        <f aca="false">IFERROR(MATCH(260,'Lançar Resultado'!$Q$3:$Q$2002,0),"")</f>
        <v/>
      </c>
    </row>
    <row r="263" customFormat="false" ht="18" hidden="false" customHeight="true" outlineLevel="0" collapsed="false">
      <c r="A263" s="39" t="n">
        <v>261</v>
      </c>
      <c r="B263" s="47" t="str">
        <f aca="false">IF($Q263="","",INDEX('Lançar Resultado'!$A$3:$A$2002,$Q263))</f>
        <v/>
      </c>
      <c r="C263" s="44" t="str">
        <f aca="false">IF($Q263="","",INDEX('Lançar Resultado'!$B$3:$B$2002,$Q263))</f>
        <v/>
      </c>
      <c r="D263" s="46" t="str">
        <f aca="false">IF($Q263="","",IF(SUMPRODUCT((Inspeções!$B$3:$B$122=$B263)*(Inspeções!$A$3:$A$122=$C263)*(ROW(Inspeções!$B$3:$B$122)-3+1))=0,"",INDEX(Inspeções!$C$3:$C$122,SUMPRODUCT((Inspeções!$B$3:$B$122=$B263)*(Inspeções!$A$3:$A$122=$C263)*(ROW(Inspeções!$B$3:$B$122)-3+1)))))</f>
        <v/>
      </c>
      <c r="E263" s="47" t="str">
        <f aca="false">IF($Q263="","",INDEX('Lançar Resultado'!$C$3:$C$2002,$Q263))</f>
        <v/>
      </c>
      <c r="F263" s="47" t="str">
        <f aca="false">IF($Q263="","",IFERROR(INDEX(Equipamentos!$E$3:$E$52,MATCH($B263,Equipamentos!$A$3:$A$52,0)),""))</f>
        <v/>
      </c>
      <c r="G263" s="47" t="str">
        <f aca="false">IF($Q263="","",INDEX('Lançar Resultado'!$D$3:$D$2002,$Q263))</f>
        <v/>
      </c>
      <c r="H263" s="47" t="str">
        <f aca="false">IF($Q263="","",INDEX('Lançar Resultado'!$E$3:$E$2002,$Q263))</f>
        <v/>
      </c>
      <c r="I263" s="46" t="str">
        <f aca="false">IF($Q263="","",INDEX('Lançar Resultado'!$G$3:$G$2002,$Q263))</f>
        <v/>
      </c>
      <c r="J263" s="45" t="str">
        <f aca="false">IF($Q263="","",INDEX('Lançar Resultado'!$P$3:$P$2002,$Q263))</f>
        <v/>
      </c>
      <c r="K263" s="46" t="str">
        <f aca="false">IF($Q263="","",INDEX('Lançar Resultado'!$N$3:$N$2002,$Q263))</f>
        <v/>
      </c>
      <c r="L263" s="47" t="str">
        <f aca="false">IF($Q263="","",INDEX('Lançar Resultado'!$I$3:$I$2002,$Q263))</f>
        <v/>
      </c>
      <c r="M263" s="47" t="str">
        <f aca="false">IF($Q263="","",INDEX('Lançar Resultado'!$J$3:$J$2002,$Q263))</f>
        <v/>
      </c>
      <c r="N263" s="44" t="str">
        <f aca="false">IF($Q263="","",INDEX('Lançar Resultado'!$K$3:$K$2002,$Q263))</f>
        <v/>
      </c>
      <c r="O263" s="46" t="str">
        <f aca="false">IF($Q263="","",INDEX('Lançar Resultado'!$L$3:$L$2002,$Q263))</f>
        <v/>
      </c>
      <c r="P263" s="45" t="str">
        <f aca="false">IF($Q263="","",IF(OR($O263="Concluída",$N263=""),"",IF($N263&lt;INT(Parâmetros!$C$4),INT(Parâmetros!$C$4)-$N263,"")))</f>
        <v/>
      </c>
      <c r="Q263" s="45" t="str">
        <f aca="false">IFERROR(MATCH(261,'Lançar Resultado'!$Q$3:$Q$2002,0),"")</f>
        <v/>
      </c>
    </row>
    <row r="264" customFormat="false" ht="18" hidden="false" customHeight="true" outlineLevel="0" collapsed="false">
      <c r="A264" s="39" t="n">
        <v>262</v>
      </c>
      <c r="B264" s="47" t="str">
        <f aca="false">IF($Q264="","",INDEX('Lançar Resultado'!$A$3:$A$2002,$Q264))</f>
        <v/>
      </c>
      <c r="C264" s="44" t="str">
        <f aca="false">IF($Q264="","",INDEX('Lançar Resultado'!$B$3:$B$2002,$Q264))</f>
        <v/>
      </c>
      <c r="D264" s="46" t="str">
        <f aca="false">IF($Q264="","",IF(SUMPRODUCT((Inspeções!$B$3:$B$122=$B264)*(Inspeções!$A$3:$A$122=$C264)*(ROW(Inspeções!$B$3:$B$122)-3+1))=0,"",INDEX(Inspeções!$C$3:$C$122,SUMPRODUCT((Inspeções!$B$3:$B$122=$B264)*(Inspeções!$A$3:$A$122=$C264)*(ROW(Inspeções!$B$3:$B$122)-3+1)))))</f>
        <v/>
      </c>
      <c r="E264" s="47" t="str">
        <f aca="false">IF($Q264="","",INDEX('Lançar Resultado'!$C$3:$C$2002,$Q264))</f>
        <v/>
      </c>
      <c r="F264" s="47" t="str">
        <f aca="false">IF($Q264="","",IFERROR(INDEX(Equipamentos!$E$3:$E$52,MATCH($B264,Equipamentos!$A$3:$A$52,0)),""))</f>
        <v/>
      </c>
      <c r="G264" s="47" t="str">
        <f aca="false">IF($Q264="","",INDEX('Lançar Resultado'!$D$3:$D$2002,$Q264))</f>
        <v/>
      </c>
      <c r="H264" s="47" t="str">
        <f aca="false">IF($Q264="","",INDEX('Lançar Resultado'!$E$3:$E$2002,$Q264))</f>
        <v/>
      </c>
      <c r="I264" s="46" t="str">
        <f aca="false">IF($Q264="","",INDEX('Lançar Resultado'!$G$3:$G$2002,$Q264))</f>
        <v/>
      </c>
      <c r="J264" s="45" t="str">
        <f aca="false">IF($Q264="","",INDEX('Lançar Resultado'!$P$3:$P$2002,$Q264))</f>
        <v/>
      </c>
      <c r="K264" s="46" t="str">
        <f aca="false">IF($Q264="","",INDEX('Lançar Resultado'!$N$3:$N$2002,$Q264))</f>
        <v/>
      </c>
      <c r="L264" s="47" t="str">
        <f aca="false">IF($Q264="","",INDEX('Lançar Resultado'!$I$3:$I$2002,$Q264))</f>
        <v/>
      </c>
      <c r="M264" s="47" t="str">
        <f aca="false">IF($Q264="","",INDEX('Lançar Resultado'!$J$3:$J$2002,$Q264))</f>
        <v/>
      </c>
      <c r="N264" s="44" t="str">
        <f aca="false">IF($Q264="","",INDEX('Lançar Resultado'!$K$3:$K$2002,$Q264))</f>
        <v/>
      </c>
      <c r="O264" s="46" t="str">
        <f aca="false">IF($Q264="","",INDEX('Lançar Resultado'!$L$3:$L$2002,$Q264))</f>
        <v/>
      </c>
      <c r="P264" s="45" t="str">
        <f aca="false">IF($Q264="","",IF(OR($O264="Concluída",$N264=""),"",IF($N264&lt;INT(Parâmetros!$C$4),INT(Parâmetros!$C$4)-$N264,"")))</f>
        <v/>
      </c>
      <c r="Q264" s="45" t="str">
        <f aca="false">IFERROR(MATCH(262,'Lançar Resultado'!$Q$3:$Q$2002,0),"")</f>
        <v/>
      </c>
    </row>
    <row r="265" customFormat="false" ht="18" hidden="false" customHeight="true" outlineLevel="0" collapsed="false">
      <c r="A265" s="39" t="n">
        <v>263</v>
      </c>
      <c r="B265" s="47" t="str">
        <f aca="false">IF($Q265="","",INDEX('Lançar Resultado'!$A$3:$A$2002,$Q265))</f>
        <v/>
      </c>
      <c r="C265" s="44" t="str">
        <f aca="false">IF($Q265="","",INDEX('Lançar Resultado'!$B$3:$B$2002,$Q265))</f>
        <v/>
      </c>
      <c r="D265" s="46" t="str">
        <f aca="false">IF($Q265="","",IF(SUMPRODUCT((Inspeções!$B$3:$B$122=$B265)*(Inspeções!$A$3:$A$122=$C265)*(ROW(Inspeções!$B$3:$B$122)-3+1))=0,"",INDEX(Inspeções!$C$3:$C$122,SUMPRODUCT((Inspeções!$B$3:$B$122=$B265)*(Inspeções!$A$3:$A$122=$C265)*(ROW(Inspeções!$B$3:$B$122)-3+1)))))</f>
        <v/>
      </c>
      <c r="E265" s="47" t="str">
        <f aca="false">IF($Q265="","",INDEX('Lançar Resultado'!$C$3:$C$2002,$Q265))</f>
        <v/>
      </c>
      <c r="F265" s="47" t="str">
        <f aca="false">IF($Q265="","",IFERROR(INDEX(Equipamentos!$E$3:$E$52,MATCH($B265,Equipamentos!$A$3:$A$52,0)),""))</f>
        <v/>
      </c>
      <c r="G265" s="47" t="str">
        <f aca="false">IF($Q265="","",INDEX('Lançar Resultado'!$D$3:$D$2002,$Q265))</f>
        <v/>
      </c>
      <c r="H265" s="47" t="str">
        <f aca="false">IF($Q265="","",INDEX('Lançar Resultado'!$E$3:$E$2002,$Q265))</f>
        <v/>
      </c>
      <c r="I265" s="46" t="str">
        <f aca="false">IF($Q265="","",INDEX('Lançar Resultado'!$G$3:$G$2002,$Q265))</f>
        <v/>
      </c>
      <c r="J265" s="45" t="str">
        <f aca="false">IF($Q265="","",INDEX('Lançar Resultado'!$P$3:$P$2002,$Q265))</f>
        <v/>
      </c>
      <c r="K265" s="46" t="str">
        <f aca="false">IF($Q265="","",INDEX('Lançar Resultado'!$N$3:$N$2002,$Q265))</f>
        <v/>
      </c>
      <c r="L265" s="47" t="str">
        <f aca="false">IF($Q265="","",INDEX('Lançar Resultado'!$I$3:$I$2002,$Q265))</f>
        <v/>
      </c>
      <c r="M265" s="47" t="str">
        <f aca="false">IF($Q265="","",INDEX('Lançar Resultado'!$J$3:$J$2002,$Q265))</f>
        <v/>
      </c>
      <c r="N265" s="44" t="str">
        <f aca="false">IF($Q265="","",INDEX('Lançar Resultado'!$K$3:$K$2002,$Q265))</f>
        <v/>
      </c>
      <c r="O265" s="46" t="str">
        <f aca="false">IF($Q265="","",INDEX('Lançar Resultado'!$L$3:$L$2002,$Q265))</f>
        <v/>
      </c>
      <c r="P265" s="45" t="str">
        <f aca="false">IF($Q265="","",IF(OR($O265="Concluída",$N265=""),"",IF($N265&lt;INT(Parâmetros!$C$4),INT(Parâmetros!$C$4)-$N265,"")))</f>
        <v/>
      </c>
      <c r="Q265" s="45" t="str">
        <f aca="false">IFERROR(MATCH(263,'Lançar Resultado'!$Q$3:$Q$2002,0),"")</f>
        <v/>
      </c>
    </row>
    <row r="266" customFormat="false" ht="18" hidden="false" customHeight="true" outlineLevel="0" collapsed="false">
      <c r="A266" s="39" t="n">
        <v>264</v>
      </c>
      <c r="B266" s="47" t="str">
        <f aca="false">IF($Q266="","",INDEX('Lançar Resultado'!$A$3:$A$2002,$Q266))</f>
        <v/>
      </c>
      <c r="C266" s="44" t="str">
        <f aca="false">IF($Q266="","",INDEX('Lançar Resultado'!$B$3:$B$2002,$Q266))</f>
        <v/>
      </c>
      <c r="D266" s="46" t="str">
        <f aca="false">IF($Q266="","",IF(SUMPRODUCT((Inspeções!$B$3:$B$122=$B266)*(Inspeções!$A$3:$A$122=$C266)*(ROW(Inspeções!$B$3:$B$122)-3+1))=0,"",INDEX(Inspeções!$C$3:$C$122,SUMPRODUCT((Inspeções!$B$3:$B$122=$B266)*(Inspeções!$A$3:$A$122=$C266)*(ROW(Inspeções!$B$3:$B$122)-3+1)))))</f>
        <v/>
      </c>
      <c r="E266" s="47" t="str">
        <f aca="false">IF($Q266="","",INDEX('Lançar Resultado'!$C$3:$C$2002,$Q266))</f>
        <v/>
      </c>
      <c r="F266" s="47" t="str">
        <f aca="false">IF($Q266="","",IFERROR(INDEX(Equipamentos!$E$3:$E$52,MATCH($B266,Equipamentos!$A$3:$A$52,0)),""))</f>
        <v/>
      </c>
      <c r="G266" s="47" t="str">
        <f aca="false">IF($Q266="","",INDEX('Lançar Resultado'!$D$3:$D$2002,$Q266))</f>
        <v/>
      </c>
      <c r="H266" s="47" t="str">
        <f aca="false">IF($Q266="","",INDEX('Lançar Resultado'!$E$3:$E$2002,$Q266))</f>
        <v/>
      </c>
      <c r="I266" s="46" t="str">
        <f aca="false">IF($Q266="","",INDEX('Lançar Resultado'!$G$3:$G$2002,$Q266))</f>
        <v/>
      </c>
      <c r="J266" s="45" t="str">
        <f aca="false">IF($Q266="","",INDEX('Lançar Resultado'!$P$3:$P$2002,$Q266))</f>
        <v/>
      </c>
      <c r="K266" s="46" t="str">
        <f aca="false">IF($Q266="","",INDEX('Lançar Resultado'!$N$3:$N$2002,$Q266))</f>
        <v/>
      </c>
      <c r="L266" s="47" t="str">
        <f aca="false">IF($Q266="","",INDEX('Lançar Resultado'!$I$3:$I$2002,$Q266))</f>
        <v/>
      </c>
      <c r="M266" s="47" t="str">
        <f aca="false">IF($Q266="","",INDEX('Lançar Resultado'!$J$3:$J$2002,$Q266))</f>
        <v/>
      </c>
      <c r="N266" s="44" t="str">
        <f aca="false">IF($Q266="","",INDEX('Lançar Resultado'!$K$3:$K$2002,$Q266))</f>
        <v/>
      </c>
      <c r="O266" s="46" t="str">
        <f aca="false">IF($Q266="","",INDEX('Lançar Resultado'!$L$3:$L$2002,$Q266))</f>
        <v/>
      </c>
      <c r="P266" s="45" t="str">
        <f aca="false">IF($Q266="","",IF(OR($O266="Concluída",$N266=""),"",IF($N266&lt;INT(Parâmetros!$C$4),INT(Parâmetros!$C$4)-$N266,"")))</f>
        <v/>
      </c>
      <c r="Q266" s="45" t="str">
        <f aca="false">IFERROR(MATCH(264,'Lançar Resultado'!$Q$3:$Q$2002,0),"")</f>
        <v/>
      </c>
    </row>
    <row r="267" customFormat="false" ht="18" hidden="false" customHeight="true" outlineLevel="0" collapsed="false">
      <c r="A267" s="39" t="n">
        <v>265</v>
      </c>
      <c r="B267" s="47" t="str">
        <f aca="false">IF($Q267="","",INDEX('Lançar Resultado'!$A$3:$A$2002,$Q267))</f>
        <v/>
      </c>
      <c r="C267" s="44" t="str">
        <f aca="false">IF($Q267="","",INDEX('Lançar Resultado'!$B$3:$B$2002,$Q267))</f>
        <v/>
      </c>
      <c r="D267" s="46" t="str">
        <f aca="false">IF($Q267="","",IF(SUMPRODUCT((Inspeções!$B$3:$B$122=$B267)*(Inspeções!$A$3:$A$122=$C267)*(ROW(Inspeções!$B$3:$B$122)-3+1))=0,"",INDEX(Inspeções!$C$3:$C$122,SUMPRODUCT((Inspeções!$B$3:$B$122=$B267)*(Inspeções!$A$3:$A$122=$C267)*(ROW(Inspeções!$B$3:$B$122)-3+1)))))</f>
        <v/>
      </c>
      <c r="E267" s="47" t="str">
        <f aca="false">IF($Q267="","",INDEX('Lançar Resultado'!$C$3:$C$2002,$Q267))</f>
        <v/>
      </c>
      <c r="F267" s="47" t="str">
        <f aca="false">IF($Q267="","",IFERROR(INDEX(Equipamentos!$E$3:$E$52,MATCH($B267,Equipamentos!$A$3:$A$52,0)),""))</f>
        <v/>
      </c>
      <c r="G267" s="47" t="str">
        <f aca="false">IF($Q267="","",INDEX('Lançar Resultado'!$D$3:$D$2002,$Q267))</f>
        <v/>
      </c>
      <c r="H267" s="47" t="str">
        <f aca="false">IF($Q267="","",INDEX('Lançar Resultado'!$E$3:$E$2002,$Q267))</f>
        <v/>
      </c>
      <c r="I267" s="46" t="str">
        <f aca="false">IF($Q267="","",INDEX('Lançar Resultado'!$G$3:$G$2002,$Q267))</f>
        <v/>
      </c>
      <c r="J267" s="45" t="str">
        <f aca="false">IF($Q267="","",INDEX('Lançar Resultado'!$P$3:$P$2002,$Q267))</f>
        <v/>
      </c>
      <c r="K267" s="46" t="str">
        <f aca="false">IF($Q267="","",INDEX('Lançar Resultado'!$N$3:$N$2002,$Q267))</f>
        <v/>
      </c>
      <c r="L267" s="47" t="str">
        <f aca="false">IF($Q267="","",INDEX('Lançar Resultado'!$I$3:$I$2002,$Q267))</f>
        <v/>
      </c>
      <c r="M267" s="47" t="str">
        <f aca="false">IF($Q267="","",INDEX('Lançar Resultado'!$J$3:$J$2002,$Q267))</f>
        <v/>
      </c>
      <c r="N267" s="44" t="str">
        <f aca="false">IF($Q267="","",INDEX('Lançar Resultado'!$K$3:$K$2002,$Q267))</f>
        <v/>
      </c>
      <c r="O267" s="46" t="str">
        <f aca="false">IF($Q267="","",INDEX('Lançar Resultado'!$L$3:$L$2002,$Q267))</f>
        <v/>
      </c>
      <c r="P267" s="45" t="str">
        <f aca="false">IF($Q267="","",IF(OR($O267="Concluída",$N267=""),"",IF($N267&lt;INT(Parâmetros!$C$4),INT(Parâmetros!$C$4)-$N267,"")))</f>
        <v/>
      </c>
      <c r="Q267" s="45" t="str">
        <f aca="false">IFERROR(MATCH(265,'Lançar Resultado'!$Q$3:$Q$2002,0),"")</f>
        <v/>
      </c>
    </row>
    <row r="268" customFormat="false" ht="18" hidden="false" customHeight="true" outlineLevel="0" collapsed="false">
      <c r="A268" s="39" t="n">
        <v>266</v>
      </c>
      <c r="B268" s="47" t="str">
        <f aca="false">IF($Q268="","",INDEX('Lançar Resultado'!$A$3:$A$2002,$Q268))</f>
        <v/>
      </c>
      <c r="C268" s="44" t="str">
        <f aca="false">IF($Q268="","",INDEX('Lançar Resultado'!$B$3:$B$2002,$Q268))</f>
        <v/>
      </c>
      <c r="D268" s="46" t="str">
        <f aca="false">IF($Q268="","",IF(SUMPRODUCT((Inspeções!$B$3:$B$122=$B268)*(Inspeções!$A$3:$A$122=$C268)*(ROW(Inspeções!$B$3:$B$122)-3+1))=0,"",INDEX(Inspeções!$C$3:$C$122,SUMPRODUCT((Inspeções!$B$3:$B$122=$B268)*(Inspeções!$A$3:$A$122=$C268)*(ROW(Inspeções!$B$3:$B$122)-3+1)))))</f>
        <v/>
      </c>
      <c r="E268" s="47" t="str">
        <f aca="false">IF($Q268="","",INDEX('Lançar Resultado'!$C$3:$C$2002,$Q268))</f>
        <v/>
      </c>
      <c r="F268" s="47" t="str">
        <f aca="false">IF($Q268="","",IFERROR(INDEX(Equipamentos!$E$3:$E$52,MATCH($B268,Equipamentos!$A$3:$A$52,0)),""))</f>
        <v/>
      </c>
      <c r="G268" s="47" t="str">
        <f aca="false">IF($Q268="","",INDEX('Lançar Resultado'!$D$3:$D$2002,$Q268))</f>
        <v/>
      </c>
      <c r="H268" s="47" t="str">
        <f aca="false">IF($Q268="","",INDEX('Lançar Resultado'!$E$3:$E$2002,$Q268))</f>
        <v/>
      </c>
      <c r="I268" s="46" t="str">
        <f aca="false">IF($Q268="","",INDEX('Lançar Resultado'!$G$3:$G$2002,$Q268))</f>
        <v/>
      </c>
      <c r="J268" s="45" t="str">
        <f aca="false">IF($Q268="","",INDEX('Lançar Resultado'!$P$3:$P$2002,$Q268))</f>
        <v/>
      </c>
      <c r="K268" s="46" t="str">
        <f aca="false">IF($Q268="","",INDEX('Lançar Resultado'!$N$3:$N$2002,$Q268))</f>
        <v/>
      </c>
      <c r="L268" s="47" t="str">
        <f aca="false">IF($Q268="","",INDEX('Lançar Resultado'!$I$3:$I$2002,$Q268))</f>
        <v/>
      </c>
      <c r="M268" s="47" t="str">
        <f aca="false">IF($Q268="","",INDEX('Lançar Resultado'!$J$3:$J$2002,$Q268))</f>
        <v/>
      </c>
      <c r="N268" s="44" t="str">
        <f aca="false">IF($Q268="","",INDEX('Lançar Resultado'!$K$3:$K$2002,$Q268))</f>
        <v/>
      </c>
      <c r="O268" s="46" t="str">
        <f aca="false">IF($Q268="","",INDEX('Lançar Resultado'!$L$3:$L$2002,$Q268))</f>
        <v/>
      </c>
      <c r="P268" s="45" t="str">
        <f aca="false">IF($Q268="","",IF(OR($O268="Concluída",$N268=""),"",IF($N268&lt;INT(Parâmetros!$C$4),INT(Parâmetros!$C$4)-$N268,"")))</f>
        <v/>
      </c>
      <c r="Q268" s="45" t="str">
        <f aca="false">IFERROR(MATCH(266,'Lançar Resultado'!$Q$3:$Q$2002,0),"")</f>
        <v/>
      </c>
    </row>
    <row r="269" customFormat="false" ht="18" hidden="false" customHeight="true" outlineLevel="0" collapsed="false">
      <c r="A269" s="39" t="n">
        <v>267</v>
      </c>
      <c r="B269" s="47" t="str">
        <f aca="false">IF($Q269="","",INDEX('Lançar Resultado'!$A$3:$A$2002,$Q269))</f>
        <v/>
      </c>
      <c r="C269" s="44" t="str">
        <f aca="false">IF($Q269="","",INDEX('Lançar Resultado'!$B$3:$B$2002,$Q269))</f>
        <v/>
      </c>
      <c r="D269" s="46" t="str">
        <f aca="false">IF($Q269="","",IF(SUMPRODUCT((Inspeções!$B$3:$B$122=$B269)*(Inspeções!$A$3:$A$122=$C269)*(ROW(Inspeções!$B$3:$B$122)-3+1))=0,"",INDEX(Inspeções!$C$3:$C$122,SUMPRODUCT((Inspeções!$B$3:$B$122=$B269)*(Inspeções!$A$3:$A$122=$C269)*(ROW(Inspeções!$B$3:$B$122)-3+1)))))</f>
        <v/>
      </c>
      <c r="E269" s="47" t="str">
        <f aca="false">IF($Q269="","",INDEX('Lançar Resultado'!$C$3:$C$2002,$Q269))</f>
        <v/>
      </c>
      <c r="F269" s="47" t="str">
        <f aca="false">IF($Q269="","",IFERROR(INDEX(Equipamentos!$E$3:$E$52,MATCH($B269,Equipamentos!$A$3:$A$52,0)),""))</f>
        <v/>
      </c>
      <c r="G269" s="47" t="str">
        <f aca="false">IF($Q269="","",INDEX('Lançar Resultado'!$D$3:$D$2002,$Q269))</f>
        <v/>
      </c>
      <c r="H269" s="47" t="str">
        <f aca="false">IF($Q269="","",INDEX('Lançar Resultado'!$E$3:$E$2002,$Q269))</f>
        <v/>
      </c>
      <c r="I269" s="46" t="str">
        <f aca="false">IF($Q269="","",INDEX('Lançar Resultado'!$G$3:$G$2002,$Q269))</f>
        <v/>
      </c>
      <c r="J269" s="45" t="str">
        <f aca="false">IF($Q269="","",INDEX('Lançar Resultado'!$P$3:$P$2002,$Q269))</f>
        <v/>
      </c>
      <c r="K269" s="46" t="str">
        <f aca="false">IF($Q269="","",INDEX('Lançar Resultado'!$N$3:$N$2002,$Q269))</f>
        <v/>
      </c>
      <c r="L269" s="47" t="str">
        <f aca="false">IF($Q269="","",INDEX('Lançar Resultado'!$I$3:$I$2002,$Q269))</f>
        <v/>
      </c>
      <c r="M269" s="47" t="str">
        <f aca="false">IF($Q269="","",INDEX('Lançar Resultado'!$J$3:$J$2002,$Q269))</f>
        <v/>
      </c>
      <c r="N269" s="44" t="str">
        <f aca="false">IF($Q269="","",INDEX('Lançar Resultado'!$K$3:$K$2002,$Q269))</f>
        <v/>
      </c>
      <c r="O269" s="46" t="str">
        <f aca="false">IF($Q269="","",INDEX('Lançar Resultado'!$L$3:$L$2002,$Q269))</f>
        <v/>
      </c>
      <c r="P269" s="45" t="str">
        <f aca="false">IF($Q269="","",IF(OR($O269="Concluída",$N269=""),"",IF($N269&lt;INT(Parâmetros!$C$4),INT(Parâmetros!$C$4)-$N269,"")))</f>
        <v/>
      </c>
      <c r="Q269" s="45" t="str">
        <f aca="false">IFERROR(MATCH(267,'Lançar Resultado'!$Q$3:$Q$2002,0),"")</f>
        <v/>
      </c>
    </row>
    <row r="270" customFormat="false" ht="18" hidden="false" customHeight="true" outlineLevel="0" collapsed="false">
      <c r="A270" s="39" t="n">
        <v>268</v>
      </c>
      <c r="B270" s="47" t="str">
        <f aca="false">IF($Q270="","",INDEX('Lançar Resultado'!$A$3:$A$2002,$Q270))</f>
        <v/>
      </c>
      <c r="C270" s="44" t="str">
        <f aca="false">IF($Q270="","",INDEX('Lançar Resultado'!$B$3:$B$2002,$Q270))</f>
        <v/>
      </c>
      <c r="D270" s="46" t="str">
        <f aca="false">IF($Q270="","",IF(SUMPRODUCT((Inspeções!$B$3:$B$122=$B270)*(Inspeções!$A$3:$A$122=$C270)*(ROW(Inspeções!$B$3:$B$122)-3+1))=0,"",INDEX(Inspeções!$C$3:$C$122,SUMPRODUCT((Inspeções!$B$3:$B$122=$B270)*(Inspeções!$A$3:$A$122=$C270)*(ROW(Inspeções!$B$3:$B$122)-3+1)))))</f>
        <v/>
      </c>
      <c r="E270" s="47" t="str">
        <f aca="false">IF($Q270="","",INDEX('Lançar Resultado'!$C$3:$C$2002,$Q270))</f>
        <v/>
      </c>
      <c r="F270" s="47" t="str">
        <f aca="false">IF($Q270="","",IFERROR(INDEX(Equipamentos!$E$3:$E$52,MATCH($B270,Equipamentos!$A$3:$A$52,0)),""))</f>
        <v/>
      </c>
      <c r="G270" s="47" t="str">
        <f aca="false">IF($Q270="","",INDEX('Lançar Resultado'!$D$3:$D$2002,$Q270))</f>
        <v/>
      </c>
      <c r="H270" s="47" t="str">
        <f aca="false">IF($Q270="","",INDEX('Lançar Resultado'!$E$3:$E$2002,$Q270))</f>
        <v/>
      </c>
      <c r="I270" s="46" t="str">
        <f aca="false">IF($Q270="","",INDEX('Lançar Resultado'!$G$3:$G$2002,$Q270))</f>
        <v/>
      </c>
      <c r="J270" s="45" t="str">
        <f aca="false">IF($Q270="","",INDEX('Lançar Resultado'!$P$3:$P$2002,$Q270))</f>
        <v/>
      </c>
      <c r="K270" s="46" t="str">
        <f aca="false">IF($Q270="","",INDEX('Lançar Resultado'!$N$3:$N$2002,$Q270))</f>
        <v/>
      </c>
      <c r="L270" s="47" t="str">
        <f aca="false">IF($Q270="","",INDEX('Lançar Resultado'!$I$3:$I$2002,$Q270))</f>
        <v/>
      </c>
      <c r="M270" s="47" t="str">
        <f aca="false">IF($Q270="","",INDEX('Lançar Resultado'!$J$3:$J$2002,$Q270))</f>
        <v/>
      </c>
      <c r="N270" s="44" t="str">
        <f aca="false">IF($Q270="","",INDEX('Lançar Resultado'!$K$3:$K$2002,$Q270))</f>
        <v/>
      </c>
      <c r="O270" s="46" t="str">
        <f aca="false">IF($Q270="","",INDEX('Lançar Resultado'!$L$3:$L$2002,$Q270))</f>
        <v/>
      </c>
      <c r="P270" s="45" t="str">
        <f aca="false">IF($Q270="","",IF(OR($O270="Concluída",$N270=""),"",IF($N270&lt;INT(Parâmetros!$C$4),INT(Parâmetros!$C$4)-$N270,"")))</f>
        <v/>
      </c>
      <c r="Q270" s="45" t="str">
        <f aca="false">IFERROR(MATCH(268,'Lançar Resultado'!$Q$3:$Q$2002,0),"")</f>
        <v/>
      </c>
    </row>
    <row r="271" customFormat="false" ht="18" hidden="false" customHeight="true" outlineLevel="0" collapsed="false">
      <c r="A271" s="39" t="n">
        <v>269</v>
      </c>
      <c r="B271" s="47" t="str">
        <f aca="false">IF($Q271="","",INDEX('Lançar Resultado'!$A$3:$A$2002,$Q271))</f>
        <v/>
      </c>
      <c r="C271" s="44" t="str">
        <f aca="false">IF($Q271="","",INDEX('Lançar Resultado'!$B$3:$B$2002,$Q271))</f>
        <v/>
      </c>
      <c r="D271" s="46" t="str">
        <f aca="false">IF($Q271="","",IF(SUMPRODUCT((Inspeções!$B$3:$B$122=$B271)*(Inspeções!$A$3:$A$122=$C271)*(ROW(Inspeções!$B$3:$B$122)-3+1))=0,"",INDEX(Inspeções!$C$3:$C$122,SUMPRODUCT((Inspeções!$B$3:$B$122=$B271)*(Inspeções!$A$3:$A$122=$C271)*(ROW(Inspeções!$B$3:$B$122)-3+1)))))</f>
        <v/>
      </c>
      <c r="E271" s="47" t="str">
        <f aca="false">IF($Q271="","",INDEX('Lançar Resultado'!$C$3:$C$2002,$Q271))</f>
        <v/>
      </c>
      <c r="F271" s="47" t="str">
        <f aca="false">IF($Q271="","",IFERROR(INDEX(Equipamentos!$E$3:$E$52,MATCH($B271,Equipamentos!$A$3:$A$52,0)),""))</f>
        <v/>
      </c>
      <c r="G271" s="47" t="str">
        <f aca="false">IF($Q271="","",INDEX('Lançar Resultado'!$D$3:$D$2002,$Q271))</f>
        <v/>
      </c>
      <c r="H271" s="47" t="str">
        <f aca="false">IF($Q271="","",INDEX('Lançar Resultado'!$E$3:$E$2002,$Q271))</f>
        <v/>
      </c>
      <c r="I271" s="46" t="str">
        <f aca="false">IF($Q271="","",INDEX('Lançar Resultado'!$G$3:$G$2002,$Q271))</f>
        <v/>
      </c>
      <c r="J271" s="45" t="str">
        <f aca="false">IF($Q271="","",INDEX('Lançar Resultado'!$P$3:$P$2002,$Q271))</f>
        <v/>
      </c>
      <c r="K271" s="46" t="str">
        <f aca="false">IF($Q271="","",INDEX('Lançar Resultado'!$N$3:$N$2002,$Q271))</f>
        <v/>
      </c>
      <c r="L271" s="47" t="str">
        <f aca="false">IF($Q271="","",INDEX('Lançar Resultado'!$I$3:$I$2002,$Q271))</f>
        <v/>
      </c>
      <c r="M271" s="47" t="str">
        <f aca="false">IF($Q271="","",INDEX('Lançar Resultado'!$J$3:$J$2002,$Q271))</f>
        <v/>
      </c>
      <c r="N271" s="44" t="str">
        <f aca="false">IF($Q271="","",INDEX('Lançar Resultado'!$K$3:$K$2002,$Q271))</f>
        <v/>
      </c>
      <c r="O271" s="46" t="str">
        <f aca="false">IF($Q271="","",INDEX('Lançar Resultado'!$L$3:$L$2002,$Q271))</f>
        <v/>
      </c>
      <c r="P271" s="45" t="str">
        <f aca="false">IF($Q271="","",IF(OR($O271="Concluída",$N271=""),"",IF($N271&lt;INT(Parâmetros!$C$4),INT(Parâmetros!$C$4)-$N271,"")))</f>
        <v/>
      </c>
      <c r="Q271" s="45" t="str">
        <f aca="false">IFERROR(MATCH(269,'Lançar Resultado'!$Q$3:$Q$2002,0),"")</f>
        <v/>
      </c>
    </row>
    <row r="272" customFormat="false" ht="18" hidden="false" customHeight="true" outlineLevel="0" collapsed="false">
      <c r="A272" s="39" t="n">
        <v>270</v>
      </c>
      <c r="B272" s="47" t="str">
        <f aca="false">IF($Q272="","",INDEX('Lançar Resultado'!$A$3:$A$2002,$Q272))</f>
        <v/>
      </c>
      <c r="C272" s="44" t="str">
        <f aca="false">IF($Q272="","",INDEX('Lançar Resultado'!$B$3:$B$2002,$Q272))</f>
        <v/>
      </c>
      <c r="D272" s="46" t="str">
        <f aca="false">IF($Q272="","",IF(SUMPRODUCT((Inspeções!$B$3:$B$122=$B272)*(Inspeções!$A$3:$A$122=$C272)*(ROW(Inspeções!$B$3:$B$122)-3+1))=0,"",INDEX(Inspeções!$C$3:$C$122,SUMPRODUCT((Inspeções!$B$3:$B$122=$B272)*(Inspeções!$A$3:$A$122=$C272)*(ROW(Inspeções!$B$3:$B$122)-3+1)))))</f>
        <v/>
      </c>
      <c r="E272" s="47" t="str">
        <f aca="false">IF($Q272="","",INDEX('Lançar Resultado'!$C$3:$C$2002,$Q272))</f>
        <v/>
      </c>
      <c r="F272" s="47" t="str">
        <f aca="false">IF($Q272="","",IFERROR(INDEX(Equipamentos!$E$3:$E$52,MATCH($B272,Equipamentos!$A$3:$A$52,0)),""))</f>
        <v/>
      </c>
      <c r="G272" s="47" t="str">
        <f aca="false">IF($Q272="","",INDEX('Lançar Resultado'!$D$3:$D$2002,$Q272))</f>
        <v/>
      </c>
      <c r="H272" s="47" t="str">
        <f aca="false">IF($Q272="","",INDEX('Lançar Resultado'!$E$3:$E$2002,$Q272))</f>
        <v/>
      </c>
      <c r="I272" s="46" t="str">
        <f aca="false">IF($Q272="","",INDEX('Lançar Resultado'!$G$3:$G$2002,$Q272))</f>
        <v/>
      </c>
      <c r="J272" s="45" t="str">
        <f aca="false">IF($Q272="","",INDEX('Lançar Resultado'!$P$3:$P$2002,$Q272))</f>
        <v/>
      </c>
      <c r="K272" s="46" t="str">
        <f aca="false">IF($Q272="","",INDEX('Lançar Resultado'!$N$3:$N$2002,$Q272))</f>
        <v/>
      </c>
      <c r="L272" s="47" t="str">
        <f aca="false">IF($Q272="","",INDEX('Lançar Resultado'!$I$3:$I$2002,$Q272))</f>
        <v/>
      </c>
      <c r="M272" s="47" t="str">
        <f aca="false">IF($Q272="","",INDEX('Lançar Resultado'!$J$3:$J$2002,$Q272))</f>
        <v/>
      </c>
      <c r="N272" s="44" t="str">
        <f aca="false">IF($Q272="","",INDEX('Lançar Resultado'!$K$3:$K$2002,$Q272))</f>
        <v/>
      </c>
      <c r="O272" s="46" t="str">
        <f aca="false">IF($Q272="","",INDEX('Lançar Resultado'!$L$3:$L$2002,$Q272))</f>
        <v/>
      </c>
      <c r="P272" s="45" t="str">
        <f aca="false">IF($Q272="","",IF(OR($O272="Concluída",$N272=""),"",IF($N272&lt;INT(Parâmetros!$C$4),INT(Parâmetros!$C$4)-$N272,"")))</f>
        <v/>
      </c>
      <c r="Q272" s="45" t="str">
        <f aca="false">IFERROR(MATCH(270,'Lançar Resultado'!$Q$3:$Q$2002,0),"")</f>
        <v/>
      </c>
    </row>
    <row r="273" customFormat="false" ht="18" hidden="false" customHeight="true" outlineLevel="0" collapsed="false">
      <c r="A273" s="39" t="n">
        <v>271</v>
      </c>
      <c r="B273" s="47" t="str">
        <f aca="false">IF($Q273="","",INDEX('Lançar Resultado'!$A$3:$A$2002,$Q273))</f>
        <v/>
      </c>
      <c r="C273" s="44" t="str">
        <f aca="false">IF($Q273="","",INDEX('Lançar Resultado'!$B$3:$B$2002,$Q273))</f>
        <v/>
      </c>
      <c r="D273" s="46" t="str">
        <f aca="false">IF($Q273="","",IF(SUMPRODUCT((Inspeções!$B$3:$B$122=$B273)*(Inspeções!$A$3:$A$122=$C273)*(ROW(Inspeções!$B$3:$B$122)-3+1))=0,"",INDEX(Inspeções!$C$3:$C$122,SUMPRODUCT((Inspeções!$B$3:$B$122=$B273)*(Inspeções!$A$3:$A$122=$C273)*(ROW(Inspeções!$B$3:$B$122)-3+1)))))</f>
        <v/>
      </c>
      <c r="E273" s="47" t="str">
        <f aca="false">IF($Q273="","",INDEX('Lançar Resultado'!$C$3:$C$2002,$Q273))</f>
        <v/>
      </c>
      <c r="F273" s="47" t="str">
        <f aca="false">IF($Q273="","",IFERROR(INDEX(Equipamentos!$E$3:$E$52,MATCH($B273,Equipamentos!$A$3:$A$52,0)),""))</f>
        <v/>
      </c>
      <c r="G273" s="47" t="str">
        <f aca="false">IF($Q273="","",INDEX('Lançar Resultado'!$D$3:$D$2002,$Q273))</f>
        <v/>
      </c>
      <c r="H273" s="47" t="str">
        <f aca="false">IF($Q273="","",INDEX('Lançar Resultado'!$E$3:$E$2002,$Q273))</f>
        <v/>
      </c>
      <c r="I273" s="46" t="str">
        <f aca="false">IF($Q273="","",INDEX('Lançar Resultado'!$G$3:$G$2002,$Q273))</f>
        <v/>
      </c>
      <c r="J273" s="45" t="str">
        <f aca="false">IF($Q273="","",INDEX('Lançar Resultado'!$P$3:$P$2002,$Q273))</f>
        <v/>
      </c>
      <c r="K273" s="46" t="str">
        <f aca="false">IF($Q273="","",INDEX('Lançar Resultado'!$N$3:$N$2002,$Q273))</f>
        <v/>
      </c>
      <c r="L273" s="47" t="str">
        <f aca="false">IF($Q273="","",INDEX('Lançar Resultado'!$I$3:$I$2002,$Q273))</f>
        <v/>
      </c>
      <c r="M273" s="47" t="str">
        <f aca="false">IF($Q273="","",INDEX('Lançar Resultado'!$J$3:$J$2002,$Q273))</f>
        <v/>
      </c>
      <c r="N273" s="44" t="str">
        <f aca="false">IF($Q273="","",INDEX('Lançar Resultado'!$K$3:$K$2002,$Q273))</f>
        <v/>
      </c>
      <c r="O273" s="46" t="str">
        <f aca="false">IF($Q273="","",INDEX('Lançar Resultado'!$L$3:$L$2002,$Q273))</f>
        <v/>
      </c>
      <c r="P273" s="45" t="str">
        <f aca="false">IF($Q273="","",IF(OR($O273="Concluída",$N273=""),"",IF($N273&lt;INT(Parâmetros!$C$4),INT(Parâmetros!$C$4)-$N273,"")))</f>
        <v/>
      </c>
      <c r="Q273" s="45" t="str">
        <f aca="false">IFERROR(MATCH(271,'Lançar Resultado'!$Q$3:$Q$2002,0),"")</f>
        <v/>
      </c>
    </row>
    <row r="274" customFormat="false" ht="18" hidden="false" customHeight="true" outlineLevel="0" collapsed="false">
      <c r="A274" s="39" t="n">
        <v>272</v>
      </c>
      <c r="B274" s="47" t="str">
        <f aca="false">IF($Q274="","",INDEX('Lançar Resultado'!$A$3:$A$2002,$Q274))</f>
        <v/>
      </c>
      <c r="C274" s="44" t="str">
        <f aca="false">IF($Q274="","",INDEX('Lançar Resultado'!$B$3:$B$2002,$Q274))</f>
        <v/>
      </c>
      <c r="D274" s="46" t="str">
        <f aca="false">IF($Q274="","",IF(SUMPRODUCT((Inspeções!$B$3:$B$122=$B274)*(Inspeções!$A$3:$A$122=$C274)*(ROW(Inspeções!$B$3:$B$122)-3+1))=0,"",INDEX(Inspeções!$C$3:$C$122,SUMPRODUCT((Inspeções!$B$3:$B$122=$B274)*(Inspeções!$A$3:$A$122=$C274)*(ROW(Inspeções!$B$3:$B$122)-3+1)))))</f>
        <v/>
      </c>
      <c r="E274" s="47" t="str">
        <f aca="false">IF($Q274="","",INDEX('Lançar Resultado'!$C$3:$C$2002,$Q274))</f>
        <v/>
      </c>
      <c r="F274" s="47" t="str">
        <f aca="false">IF($Q274="","",IFERROR(INDEX(Equipamentos!$E$3:$E$52,MATCH($B274,Equipamentos!$A$3:$A$52,0)),""))</f>
        <v/>
      </c>
      <c r="G274" s="47" t="str">
        <f aca="false">IF($Q274="","",INDEX('Lançar Resultado'!$D$3:$D$2002,$Q274))</f>
        <v/>
      </c>
      <c r="H274" s="47" t="str">
        <f aca="false">IF($Q274="","",INDEX('Lançar Resultado'!$E$3:$E$2002,$Q274))</f>
        <v/>
      </c>
      <c r="I274" s="46" t="str">
        <f aca="false">IF($Q274="","",INDEX('Lançar Resultado'!$G$3:$G$2002,$Q274))</f>
        <v/>
      </c>
      <c r="J274" s="45" t="str">
        <f aca="false">IF($Q274="","",INDEX('Lançar Resultado'!$P$3:$P$2002,$Q274))</f>
        <v/>
      </c>
      <c r="K274" s="46" t="str">
        <f aca="false">IF($Q274="","",INDEX('Lançar Resultado'!$N$3:$N$2002,$Q274))</f>
        <v/>
      </c>
      <c r="L274" s="47" t="str">
        <f aca="false">IF($Q274="","",INDEX('Lançar Resultado'!$I$3:$I$2002,$Q274))</f>
        <v/>
      </c>
      <c r="M274" s="47" t="str">
        <f aca="false">IF($Q274="","",INDEX('Lançar Resultado'!$J$3:$J$2002,$Q274))</f>
        <v/>
      </c>
      <c r="N274" s="44" t="str">
        <f aca="false">IF($Q274="","",INDEX('Lançar Resultado'!$K$3:$K$2002,$Q274))</f>
        <v/>
      </c>
      <c r="O274" s="46" t="str">
        <f aca="false">IF($Q274="","",INDEX('Lançar Resultado'!$L$3:$L$2002,$Q274))</f>
        <v/>
      </c>
      <c r="P274" s="45" t="str">
        <f aca="false">IF($Q274="","",IF(OR($O274="Concluída",$N274=""),"",IF($N274&lt;INT(Parâmetros!$C$4),INT(Parâmetros!$C$4)-$N274,"")))</f>
        <v/>
      </c>
      <c r="Q274" s="45" t="str">
        <f aca="false">IFERROR(MATCH(272,'Lançar Resultado'!$Q$3:$Q$2002,0),"")</f>
        <v/>
      </c>
    </row>
    <row r="275" customFormat="false" ht="18" hidden="false" customHeight="true" outlineLevel="0" collapsed="false">
      <c r="A275" s="39" t="n">
        <v>273</v>
      </c>
      <c r="B275" s="47" t="str">
        <f aca="false">IF($Q275="","",INDEX('Lançar Resultado'!$A$3:$A$2002,$Q275))</f>
        <v/>
      </c>
      <c r="C275" s="44" t="str">
        <f aca="false">IF($Q275="","",INDEX('Lançar Resultado'!$B$3:$B$2002,$Q275))</f>
        <v/>
      </c>
      <c r="D275" s="46" t="str">
        <f aca="false">IF($Q275="","",IF(SUMPRODUCT((Inspeções!$B$3:$B$122=$B275)*(Inspeções!$A$3:$A$122=$C275)*(ROW(Inspeções!$B$3:$B$122)-3+1))=0,"",INDEX(Inspeções!$C$3:$C$122,SUMPRODUCT((Inspeções!$B$3:$B$122=$B275)*(Inspeções!$A$3:$A$122=$C275)*(ROW(Inspeções!$B$3:$B$122)-3+1)))))</f>
        <v/>
      </c>
      <c r="E275" s="47" t="str">
        <f aca="false">IF($Q275="","",INDEX('Lançar Resultado'!$C$3:$C$2002,$Q275))</f>
        <v/>
      </c>
      <c r="F275" s="47" t="str">
        <f aca="false">IF($Q275="","",IFERROR(INDEX(Equipamentos!$E$3:$E$52,MATCH($B275,Equipamentos!$A$3:$A$52,0)),""))</f>
        <v/>
      </c>
      <c r="G275" s="47" t="str">
        <f aca="false">IF($Q275="","",INDEX('Lançar Resultado'!$D$3:$D$2002,$Q275))</f>
        <v/>
      </c>
      <c r="H275" s="47" t="str">
        <f aca="false">IF($Q275="","",INDEX('Lançar Resultado'!$E$3:$E$2002,$Q275))</f>
        <v/>
      </c>
      <c r="I275" s="46" t="str">
        <f aca="false">IF($Q275="","",INDEX('Lançar Resultado'!$G$3:$G$2002,$Q275))</f>
        <v/>
      </c>
      <c r="J275" s="45" t="str">
        <f aca="false">IF($Q275="","",INDEX('Lançar Resultado'!$P$3:$P$2002,$Q275))</f>
        <v/>
      </c>
      <c r="K275" s="46" t="str">
        <f aca="false">IF($Q275="","",INDEX('Lançar Resultado'!$N$3:$N$2002,$Q275))</f>
        <v/>
      </c>
      <c r="L275" s="47" t="str">
        <f aca="false">IF($Q275="","",INDEX('Lançar Resultado'!$I$3:$I$2002,$Q275))</f>
        <v/>
      </c>
      <c r="M275" s="47" t="str">
        <f aca="false">IF($Q275="","",INDEX('Lançar Resultado'!$J$3:$J$2002,$Q275))</f>
        <v/>
      </c>
      <c r="N275" s="44" t="str">
        <f aca="false">IF($Q275="","",INDEX('Lançar Resultado'!$K$3:$K$2002,$Q275))</f>
        <v/>
      </c>
      <c r="O275" s="46" t="str">
        <f aca="false">IF($Q275="","",INDEX('Lançar Resultado'!$L$3:$L$2002,$Q275))</f>
        <v/>
      </c>
      <c r="P275" s="45" t="str">
        <f aca="false">IF($Q275="","",IF(OR($O275="Concluída",$N275=""),"",IF($N275&lt;INT(Parâmetros!$C$4),INT(Parâmetros!$C$4)-$N275,"")))</f>
        <v/>
      </c>
      <c r="Q275" s="45" t="str">
        <f aca="false">IFERROR(MATCH(273,'Lançar Resultado'!$Q$3:$Q$2002,0),"")</f>
        <v/>
      </c>
    </row>
    <row r="276" customFormat="false" ht="18" hidden="false" customHeight="true" outlineLevel="0" collapsed="false">
      <c r="A276" s="39" t="n">
        <v>274</v>
      </c>
      <c r="B276" s="47" t="str">
        <f aca="false">IF($Q276="","",INDEX('Lançar Resultado'!$A$3:$A$2002,$Q276))</f>
        <v/>
      </c>
      <c r="C276" s="44" t="str">
        <f aca="false">IF($Q276="","",INDEX('Lançar Resultado'!$B$3:$B$2002,$Q276))</f>
        <v/>
      </c>
      <c r="D276" s="46" t="str">
        <f aca="false">IF($Q276="","",IF(SUMPRODUCT((Inspeções!$B$3:$B$122=$B276)*(Inspeções!$A$3:$A$122=$C276)*(ROW(Inspeções!$B$3:$B$122)-3+1))=0,"",INDEX(Inspeções!$C$3:$C$122,SUMPRODUCT((Inspeções!$B$3:$B$122=$B276)*(Inspeções!$A$3:$A$122=$C276)*(ROW(Inspeções!$B$3:$B$122)-3+1)))))</f>
        <v/>
      </c>
      <c r="E276" s="47" t="str">
        <f aca="false">IF($Q276="","",INDEX('Lançar Resultado'!$C$3:$C$2002,$Q276))</f>
        <v/>
      </c>
      <c r="F276" s="47" t="str">
        <f aca="false">IF($Q276="","",IFERROR(INDEX(Equipamentos!$E$3:$E$52,MATCH($B276,Equipamentos!$A$3:$A$52,0)),""))</f>
        <v/>
      </c>
      <c r="G276" s="47" t="str">
        <f aca="false">IF($Q276="","",INDEX('Lançar Resultado'!$D$3:$D$2002,$Q276))</f>
        <v/>
      </c>
      <c r="H276" s="47" t="str">
        <f aca="false">IF($Q276="","",INDEX('Lançar Resultado'!$E$3:$E$2002,$Q276))</f>
        <v/>
      </c>
      <c r="I276" s="46" t="str">
        <f aca="false">IF($Q276="","",INDEX('Lançar Resultado'!$G$3:$G$2002,$Q276))</f>
        <v/>
      </c>
      <c r="J276" s="45" t="str">
        <f aca="false">IF($Q276="","",INDEX('Lançar Resultado'!$P$3:$P$2002,$Q276))</f>
        <v/>
      </c>
      <c r="K276" s="46" t="str">
        <f aca="false">IF($Q276="","",INDEX('Lançar Resultado'!$N$3:$N$2002,$Q276))</f>
        <v/>
      </c>
      <c r="L276" s="47" t="str">
        <f aca="false">IF($Q276="","",INDEX('Lançar Resultado'!$I$3:$I$2002,$Q276))</f>
        <v/>
      </c>
      <c r="M276" s="47" t="str">
        <f aca="false">IF($Q276="","",INDEX('Lançar Resultado'!$J$3:$J$2002,$Q276))</f>
        <v/>
      </c>
      <c r="N276" s="44" t="str">
        <f aca="false">IF($Q276="","",INDEX('Lançar Resultado'!$K$3:$K$2002,$Q276))</f>
        <v/>
      </c>
      <c r="O276" s="46" t="str">
        <f aca="false">IF($Q276="","",INDEX('Lançar Resultado'!$L$3:$L$2002,$Q276))</f>
        <v/>
      </c>
      <c r="P276" s="45" t="str">
        <f aca="false">IF($Q276="","",IF(OR($O276="Concluída",$N276=""),"",IF($N276&lt;INT(Parâmetros!$C$4),INT(Parâmetros!$C$4)-$N276,"")))</f>
        <v/>
      </c>
      <c r="Q276" s="45" t="str">
        <f aca="false">IFERROR(MATCH(274,'Lançar Resultado'!$Q$3:$Q$2002,0),"")</f>
        <v/>
      </c>
    </row>
    <row r="277" customFormat="false" ht="18" hidden="false" customHeight="true" outlineLevel="0" collapsed="false">
      <c r="A277" s="39" t="n">
        <v>275</v>
      </c>
      <c r="B277" s="47" t="str">
        <f aca="false">IF($Q277="","",INDEX('Lançar Resultado'!$A$3:$A$2002,$Q277))</f>
        <v/>
      </c>
      <c r="C277" s="44" t="str">
        <f aca="false">IF($Q277="","",INDEX('Lançar Resultado'!$B$3:$B$2002,$Q277))</f>
        <v/>
      </c>
      <c r="D277" s="46" t="str">
        <f aca="false">IF($Q277="","",IF(SUMPRODUCT((Inspeções!$B$3:$B$122=$B277)*(Inspeções!$A$3:$A$122=$C277)*(ROW(Inspeções!$B$3:$B$122)-3+1))=0,"",INDEX(Inspeções!$C$3:$C$122,SUMPRODUCT((Inspeções!$B$3:$B$122=$B277)*(Inspeções!$A$3:$A$122=$C277)*(ROW(Inspeções!$B$3:$B$122)-3+1)))))</f>
        <v/>
      </c>
      <c r="E277" s="47" t="str">
        <f aca="false">IF($Q277="","",INDEX('Lançar Resultado'!$C$3:$C$2002,$Q277))</f>
        <v/>
      </c>
      <c r="F277" s="47" t="str">
        <f aca="false">IF($Q277="","",IFERROR(INDEX(Equipamentos!$E$3:$E$52,MATCH($B277,Equipamentos!$A$3:$A$52,0)),""))</f>
        <v/>
      </c>
      <c r="G277" s="47" t="str">
        <f aca="false">IF($Q277="","",INDEX('Lançar Resultado'!$D$3:$D$2002,$Q277))</f>
        <v/>
      </c>
      <c r="H277" s="47" t="str">
        <f aca="false">IF($Q277="","",INDEX('Lançar Resultado'!$E$3:$E$2002,$Q277))</f>
        <v/>
      </c>
      <c r="I277" s="46" t="str">
        <f aca="false">IF($Q277="","",INDEX('Lançar Resultado'!$G$3:$G$2002,$Q277))</f>
        <v/>
      </c>
      <c r="J277" s="45" t="str">
        <f aca="false">IF($Q277="","",INDEX('Lançar Resultado'!$P$3:$P$2002,$Q277))</f>
        <v/>
      </c>
      <c r="K277" s="46" t="str">
        <f aca="false">IF($Q277="","",INDEX('Lançar Resultado'!$N$3:$N$2002,$Q277))</f>
        <v/>
      </c>
      <c r="L277" s="47" t="str">
        <f aca="false">IF($Q277="","",INDEX('Lançar Resultado'!$I$3:$I$2002,$Q277))</f>
        <v/>
      </c>
      <c r="M277" s="47" t="str">
        <f aca="false">IF($Q277="","",INDEX('Lançar Resultado'!$J$3:$J$2002,$Q277))</f>
        <v/>
      </c>
      <c r="N277" s="44" t="str">
        <f aca="false">IF($Q277="","",INDEX('Lançar Resultado'!$K$3:$K$2002,$Q277))</f>
        <v/>
      </c>
      <c r="O277" s="46" t="str">
        <f aca="false">IF($Q277="","",INDEX('Lançar Resultado'!$L$3:$L$2002,$Q277))</f>
        <v/>
      </c>
      <c r="P277" s="45" t="str">
        <f aca="false">IF($Q277="","",IF(OR($O277="Concluída",$N277=""),"",IF($N277&lt;INT(Parâmetros!$C$4),INT(Parâmetros!$C$4)-$N277,"")))</f>
        <v/>
      </c>
      <c r="Q277" s="45" t="str">
        <f aca="false">IFERROR(MATCH(275,'Lançar Resultado'!$Q$3:$Q$2002,0),"")</f>
        <v/>
      </c>
    </row>
    <row r="278" customFormat="false" ht="18" hidden="false" customHeight="true" outlineLevel="0" collapsed="false">
      <c r="A278" s="39" t="n">
        <v>276</v>
      </c>
      <c r="B278" s="47" t="str">
        <f aca="false">IF($Q278="","",INDEX('Lançar Resultado'!$A$3:$A$2002,$Q278))</f>
        <v/>
      </c>
      <c r="C278" s="44" t="str">
        <f aca="false">IF($Q278="","",INDEX('Lançar Resultado'!$B$3:$B$2002,$Q278))</f>
        <v/>
      </c>
      <c r="D278" s="46" t="str">
        <f aca="false">IF($Q278="","",IF(SUMPRODUCT((Inspeções!$B$3:$B$122=$B278)*(Inspeções!$A$3:$A$122=$C278)*(ROW(Inspeções!$B$3:$B$122)-3+1))=0,"",INDEX(Inspeções!$C$3:$C$122,SUMPRODUCT((Inspeções!$B$3:$B$122=$B278)*(Inspeções!$A$3:$A$122=$C278)*(ROW(Inspeções!$B$3:$B$122)-3+1)))))</f>
        <v/>
      </c>
      <c r="E278" s="47" t="str">
        <f aca="false">IF($Q278="","",INDEX('Lançar Resultado'!$C$3:$C$2002,$Q278))</f>
        <v/>
      </c>
      <c r="F278" s="47" t="str">
        <f aca="false">IF($Q278="","",IFERROR(INDEX(Equipamentos!$E$3:$E$52,MATCH($B278,Equipamentos!$A$3:$A$52,0)),""))</f>
        <v/>
      </c>
      <c r="G278" s="47" t="str">
        <f aca="false">IF($Q278="","",INDEX('Lançar Resultado'!$D$3:$D$2002,$Q278))</f>
        <v/>
      </c>
      <c r="H278" s="47" t="str">
        <f aca="false">IF($Q278="","",INDEX('Lançar Resultado'!$E$3:$E$2002,$Q278))</f>
        <v/>
      </c>
      <c r="I278" s="46" t="str">
        <f aca="false">IF($Q278="","",INDEX('Lançar Resultado'!$G$3:$G$2002,$Q278))</f>
        <v/>
      </c>
      <c r="J278" s="45" t="str">
        <f aca="false">IF($Q278="","",INDEX('Lançar Resultado'!$P$3:$P$2002,$Q278))</f>
        <v/>
      </c>
      <c r="K278" s="46" t="str">
        <f aca="false">IF($Q278="","",INDEX('Lançar Resultado'!$N$3:$N$2002,$Q278))</f>
        <v/>
      </c>
      <c r="L278" s="47" t="str">
        <f aca="false">IF($Q278="","",INDEX('Lançar Resultado'!$I$3:$I$2002,$Q278))</f>
        <v/>
      </c>
      <c r="M278" s="47" t="str">
        <f aca="false">IF($Q278="","",INDEX('Lançar Resultado'!$J$3:$J$2002,$Q278))</f>
        <v/>
      </c>
      <c r="N278" s="44" t="str">
        <f aca="false">IF($Q278="","",INDEX('Lançar Resultado'!$K$3:$K$2002,$Q278))</f>
        <v/>
      </c>
      <c r="O278" s="46" t="str">
        <f aca="false">IF($Q278="","",INDEX('Lançar Resultado'!$L$3:$L$2002,$Q278))</f>
        <v/>
      </c>
      <c r="P278" s="45" t="str">
        <f aca="false">IF($Q278="","",IF(OR($O278="Concluída",$N278=""),"",IF($N278&lt;INT(Parâmetros!$C$4),INT(Parâmetros!$C$4)-$N278,"")))</f>
        <v/>
      </c>
      <c r="Q278" s="45" t="str">
        <f aca="false">IFERROR(MATCH(276,'Lançar Resultado'!$Q$3:$Q$2002,0),"")</f>
        <v/>
      </c>
    </row>
    <row r="279" customFormat="false" ht="18" hidden="false" customHeight="true" outlineLevel="0" collapsed="false">
      <c r="A279" s="39" t="n">
        <v>277</v>
      </c>
      <c r="B279" s="47" t="str">
        <f aca="false">IF($Q279="","",INDEX('Lançar Resultado'!$A$3:$A$2002,$Q279))</f>
        <v/>
      </c>
      <c r="C279" s="44" t="str">
        <f aca="false">IF($Q279="","",INDEX('Lançar Resultado'!$B$3:$B$2002,$Q279))</f>
        <v/>
      </c>
      <c r="D279" s="46" t="str">
        <f aca="false">IF($Q279="","",IF(SUMPRODUCT((Inspeções!$B$3:$B$122=$B279)*(Inspeções!$A$3:$A$122=$C279)*(ROW(Inspeções!$B$3:$B$122)-3+1))=0,"",INDEX(Inspeções!$C$3:$C$122,SUMPRODUCT((Inspeções!$B$3:$B$122=$B279)*(Inspeções!$A$3:$A$122=$C279)*(ROW(Inspeções!$B$3:$B$122)-3+1)))))</f>
        <v/>
      </c>
      <c r="E279" s="47" t="str">
        <f aca="false">IF($Q279="","",INDEX('Lançar Resultado'!$C$3:$C$2002,$Q279))</f>
        <v/>
      </c>
      <c r="F279" s="47" t="str">
        <f aca="false">IF($Q279="","",IFERROR(INDEX(Equipamentos!$E$3:$E$52,MATCH($B279,Equipamentos!$A$3:$A$52,0)),""))</f>
        <v/>
      </c>
      <c r="G279" s="47" t="str">
        <f aca="false">IF($Q279="","",INDEX('Lançar Resultado'!$D$3:$D$2002,$Q279))</f>
        <v/>
      </c>
      <c r="H279" s="47" t="str">
        <f aca="false">IF($Q279="","",INDEX('Lançar Resultado'!$E$3:$E$2002,$Q279))</f>
        <v/>
      </c>
      <c r="I279" s="46" t="str">
        <f aca="false">IF($Q279="","",INDEX('Lançar Resultado'!$G$3:$G$2002,$Q279))</f>
        <v/>
      </c>
      <c r="J279" s="45" t="str">
        <f aca="false">IF($Q279="","",INDEX('Lançar Resultado'!$P$3:$P$2002,$Q279))</f>
        <v/>
      </c>
      <c r="K279" s="46" t="str">
        <f aca="false">IF($Q279="","",INDEX('Lançar Resultado'!$N$3:$N$2002,$Q279))</f>
        <v/>
      </c>
      <c r="L279" s="47" t="str">
        <f aca="false">IF($Q279="","",INDEX('Lançar Resultado'!$I$3:$I$2002,$Q279))</f>
        <v/>
      </c>
      <c r="M279" s="47" t="str">
        <f aca="false">IF($Q279="","",INDEX('Lançar Resultado'!$J$3:$J$2002,$Q279))</f>
        <v/>
      </c>
      <c r="N279" s="44" t="str">
        <f aca="false">IF($Q279="","",INDEX('Lançar Resultado'!$K$3:$K$2002,$Q279))</f>
        <v/>
      </c>
      <c r="O279" s="46" t="str">
        <f aca="false">IF($Q279="","",INDEX('Lançar Resultado'!$L$3:$L$2002,$Q279))</f>
        <v/>
      </c>
      <c r="P279" s="45" t="str">
        <f aca="false">IF($Q279="","",IF(OR($O279="Concluída",$N279=""),"",IF($N279&lt;INT(Parâmetros!$C$4),INT(Parâmetros!$C$4)-$N279,"")))</f>
        <v/>
      </c>
      <c r="Q279" s="45" t="str">
        <f aca="false">IFERROR(MATCH(277,'Lançar Resultado'!$Q$3:$Q$2002,0),"")</f>
        <v/>
      </c>
    </row>
    <row r="280" customFormat="false" ht="18" hidden="false" customHeight="true" outlineLevel="0" collapsed="false">
      <c r="A280" s="39" t="n">
        <v>278</v>
      </c>
      <c r="B280" s="47" t="str">
        <f aca="false">IF($Q280="","",INDEX('Lançar Resultado'!$A$3:$A$2002,$Q280))</f>
        <v/>
      </c>
      <c r="C280" s="44" t="str">
        <f aca="false">IF($Q280="","",INDEX('Lançar Resultado'!$B$3:$B$2002,$Q280))</f>
        <v/>
      </c>
      <c r="D280" s="46" t="str">
        <f aca="false">IF($Q280="","",IF(SUMPRODUCT((Inspeções!$B$3:$B$122=$B280)*(Inspeções!$A$3:$A$122=$C280)*(ROW(Inspeções!$B$3:$B$122)-3+1))=0,"",INDEX(Inspeções!$C$3:$C$122,SUMPRODUCT((Inspeções!$B$3:$B$122=$B280)*(Inspeções!$A$3:$A$122=$C280)*(ROW(Inspeções!$B$3:$B$122)-3+1)))))</f>
        <v/>
      </c>
      <c r="E280" s="47" t="str">
        <f aca="false">IF($Q280="","",INDEX('Lançar Resultado'!$C$3:$C$2002,$Q280))</f>
        <v/>
      </c>
      <c r="F280" s="47" t="str">
        <f aca="false">IF($Q280="","",IFERROR(INDEX(Equipamentos!$E$3:$E$52,MATCH($B280,Equipamentos!$A$3:$A$52,0)),""))</f>
        <v/>
      </c>
      <c r="G280" s="47" t="str">
        <f aca="false">IF($Q280="","",INDEX('Lançar Resultado'!$D$3:$D$2002,$Q280))</f>
        <v/>
      </c>
      <c r="H280" s="47" t="str">
        <f aca="false">IF($Q280="","",INDEX('Lançar Resultado'!$E$3:$E$2002,$Q280))</f>
        <v/>
      </c>
      <c r="I280" s="46" t="str">
        <f aca="false">IF($Q280="","",INDEX('Lançar Resultado'!$G$3:$G$2002,$Q280))</f>
        <v/>
      </c>
      <c r="J280" s="45" t="str">
        <f aca="false">IF($Q280="","",INDEX('Lançar Resultado'!$P$3:$P$2002,$Q280))</f>
        <v/>
      </c>
      <c r="K280" s="46" t="str">
        <f aca="false">IF($Q280="","",INDEX('Lançar Resultado'!$N$3:$N$2002,$Q280))</f>
        <v/>
      </c>
      <c r="L280" s="47" t="str">
        <f aca="false">IF($Q280="","",INDEX('Lançar Resultado'!$I$3:$I$2002,$Q280))</f>
        <v/>
      </c>
      <c r="M280" s="47" t="str">
        <f aca="false">IF($Q280="","",INDEX('Lançar Resultado'!$J$3:$J$2002,$Q280))</f>
        <v/>
      </c>
      <c r="N280" s="44" t="str">
        <f aca="false">IF($Q280="","",INDEX('Lançar Resultado'!$K$3:$K$2002,$Q280))</f>
        <v/>
      </c>
      <c r="O280" s="46" t="str">
        <f aca="false">IF($Q280="","",INDEX('Lançar Resultado'!$L$3:$L$2002,$Q280))</f>
        <v/>
      </c>
      <c r="P280" s="45" t="str">
        <f aca="false">IF($Q280="","",IF(OR($O280="Concluída",$N280=""),"",IF($N280&lt;INT(Parâmetros!$C$4),INT(Parâmetros!$C$4)-$N280,"")))</f>
        <v/>
      </c>
      <c r="Q280" s="45" t="str">
        <f aca="false">IFERROR(MATCH(278,'Lançar Resultado'!$Q$3:$Q$2002,0),"")</f>
        <v/>
      </c>
    </row>
    <row r="281" customFormat="false" ht="18" hidden="false" customHeight="true" outlineLevel="0" collapsed="false">
      <c r="A281" s="39" t="n">
        <v>279</v>
      </c>
      <c r="B281" s="47" t="str">
        <f aca="false">IF($Q281="","",INDEX('Lançar Resultado'!$A$3:$A$2002,$Q281))</f>
        <v/>
      </c>
      <c r="C281" s="44" t="str">
        <f aca="false">IF($Q281="","",INDEX('Lançar Resultado'!$B$3:$B$2002,$Q281))</f>
        <v/>
      </c>
      <c r="D281" s="46" t="str">
        <f aca="false">IF($Q281="","",IF(SUMPRODUCT((Inspeções!$B$3:$B$122=$B281)*(Inspeções!$A$3:$A$122=$C281)*(ROW(Inspeções!$B$3:$B$122)-3+1))=0,"",INDEX(Inspeções!$C$3:$C$122,SUMPRODUCT((Inspeções!$B$3:$B$122=$B281)*(Inspeções!$A$3:$A$122=$C281)*(ROW(Inspeções!$B$3:$B$122)-3+1)))))</f>
        <v/>
      </c>
      <c r="E281" s="47" t="str">
        <f aca="false">IF($Q281="","",INDEX('Lançar Resultado'!$C$3:$C$2002,$Q281))</f>
        <v/>
      </c>
      <c r="F281" s="47" t="str">
        <f aca="false">IF($Q281="","",IFERROR(INDEX(Equipamentos!$E$3:$E$52,MATCH($B281,Equipamentos!$A$3:$A$52,0)),""))</f>
        <v/>
      </c>
      <c r="G281" s="47" t="str">
        <f aca="false">IF($Q281="","",INDEX('Lançar Resultado'!$D$3:$D$2002,$Q281))</f>
        <v/>
      </c>
      <c r="H281" s="47" t="str">
        <f aca="false">IF($Q281="","",INDEX('Lançar Resultado'!$E$3:$E$2002,$Q281))</f>
        <v/>
      </c>
      <c r="I281" s="46" t="str">
        <f aca="false">IF($Q281="","",INDEX('Lançar Resultado'!$G$3:$G$2002,$Q281))</f>
        <v/>
      </c>
      <c r="J281" s="45" t="str">
        <f aca="false">IF($Q281="","",INDEX('Lançar Resultado'!$P$3:$P$2002,$Q281))</f>
        <v/>
      </c>
      <c r="K281" s="46" t="str">
        <f aca="false">IF($Q281="","",INDEX('Lançar Resultado'!$N$3:$N$2002,$Q281))</f>
        <v/>
      </c>
      <c r="L281" s="47" t="str">
        <f aca="false">IF($Q281="","",INDEX('Lançar Resultado'!$I$3:$I$2002,$Q281))</f>
        <v/>
      </c>
      <c r="M281" s="47" t="str">
        <f aca="false">IF($Q281="","",INDEX('Lançar Resultado'!$J$3:$J$2002,$Q281))</f>
        <v/>
      </c>
      <c r="N281" s="44" t="str">
        <f aca="false">IF($Q281="","",INDEX('Lançar Resultado'!$K$3:$K$2002,$Q281))</f>
        <v/>
      </c>
      <c r="O281" s="46" t="str">
        <f aca="false">IF($Q281="","",INDEX('Lançar Resultado'!$L$3:$L$2002,$Q281))</f>
        <v/>
      </c>
      <c r="P281" s="45" t="str">
        <f aca="false">IF($Q281="","",IF(OR($O281="Concluída",$N281=""),"",IF($N281&lt;INT(Parâmetros!$C$4),INT(Parâmetros!$C$4)-$N281,"")))</f>
        <v/>
      </c>
      <c r="Q281" s="45" t="str">
        <f aca="false">IFERROR(MATCH(279,'Lançar Resultado'!$Q$3:$Q$2002,0),"")</f>
        <v/>
      </c>
    </row>
    <row r="282" customFormat="false" ht="18" hidden="false" customHeight="true" outlineLevel="0" collapsed="false">
      <c r="A282" s="39" t="n">
        <v>280</v>
      </c>
      <c r="B282" s="47" t="str">
        <f aca="false">IF($Q282="","",INDEX('Lançar Resultado'!$A$3:$A$2002,$Q282))</f>
        <v/>
      </c>
      <c r="C282" s="44" t="str">
        <f aca="false">IF($Q282="","",INDEX('Lançar Resultado'!$B$3:$B$2002,$Q282))</f>
        <v/>
      </c>
      <c r="D282" s="46" t="str">
        <f aca="false">IF($Q282="","",IF(SUMPRODUCT((Inspeções!$B$3:$B$122=$B282)*(Inspeções!$A$3:$A$122=$C282)*(ROW(Inspeções!$B$3:$B$122)-3+1))=0,"",INDEX(Inspeções!$C$3:$C$122,SUMPRODUCT((Inspeções!$B$3:$B$122=$B282)*(Inspeções!$A$3:$A$122=$C282)*(ROW(Inspeções!$B$3:$B$122)-3+1)))))</f>
        <v/>
      </c>
      <c r="E282" s="47" t="str">
        <f aca="false">IF($Q282="","",INDEX('Lançar Resultado'!$C$3:$C$2002,$Q282))</f>
        <v/>
      </c>
      <c r="F282" s="47" t="str">
        <f aca="false">IF($Q282="","",IFERROR(INDEX(Equipamentos!$E$3:$E$52,MATCH($B282,Equipamentos!$A$3:$A$52,0)),""))</f>
        <v/>
      </c>
      <c r="G282" s="47" t="str">
        <f aca="false">IF($Q282="","",INDEX('Lançar Resultado'!$D$3:$D$2002,$Q282))</f>
        <v/>
      </c>
      <c r="H282" s="47" t="str">
        <f aca="false">IF($Q282="","",INDEX('Lançar Resultado'!$E$3:$E$2002,$Q282))</f>
        <v/>
      </c>
      <c r="I282" s="46" t="str">
        <f aca="false">IF($Q282="","",INDEX('Lançar Resultado'!$G$3:$G$2002,$Q282))</f>
        <v/>
      </c>
      <c r="J282" s="45" t="str">
        <f aca="false">IF($Q282="","",INDEX('Lançar Resultado'!$P$3:$P$2002,$Q282))</f>
        <v/>
      </c>
      <c r="K282" s="46" t="str">
        <f aca="false">IF($Q282="","",INDEX('Lançar Resultado'!$N$3:$N$2002,$Q282))</f>
        <v/>
      </c>
      <c r="L282" s="47" t="str">
        <f aca="false">IF($Q282="","",INDEX('Lançar Resultado'!$I$3:$I$2002,$Q282))</f>
        <v/>
      </c>
      <c r="M282" s="47" t="str">
        <f aca="false">IF($Q282="","",INDEX('Lançar Resultado'!$J$3:$J$2002,$Q282))</f>
        <v/>
      </c>
      <c r="N282" s="44" t="str">
        <f aca="false">IF($Q282="","",INDEX('Lançar Resultado'!$K$3:$K$2002,$Q282))</f>
        <v/>
      </c>
      <c r="O282" s="46" t="str">
        <f aca="false">IF($Q282="","",INDEX('Lançar Resultado'!$L$3:$L$2002,$Q282))</f>
        <v/>
      </c>
      <c r="P282" s="45" t="str">
        <f aca="false">IF($Q282="","",IF(OR($O282="Concluída",$N282=""),"",IF($N282&lt;INT(Parâmetros!$C$4),INT(Parâmetros!$C$4)-$N282,"")))</f>
        <v/>
      </c>
      <c r="Q282" s="45" t="str">
        <f aca="false">IFERROR(MATCH(280,'Lançar Resultado'!$Q$3:$Q$2002,0),"")</f>
        <v/>
      </c>
    </row>
    <row r="283" customFormat="false" ht="18" hidden="false" customHeight="true" outlineLevel="0" collapsed="false">
      <c r="A283" s="39" t="n">
        <v>281</v>
      </c>
      <c r="B283" s="47" t="str">
        <f aca="false">IF($Q283="","",INDEX('Lançar Resultado'!$A$3:$A$2002,$Q283))</f>
        <v/>
      </c>
      <c r="C283" s="44" t="str">
        <f aca="false">IF($Q283="","",INDEX('Lançar Resultado'!$B$3:$B$2002,$Q283))</f>
        <v/>
      </c>
      <c r="D283" s="46" t="str">
        <f aca="false">IF($Q283="","",IF(SUMPRODUCT((Inspeções!$B$3:$B$122=$B283)*(Inspeções!$A$3:$A$122=$C283)*(ROW(Inspeções!$B$3:$B$122)-3+1))=0,"",INDEX(Inspeções!$C$3:$C$122,SUMPRODUCT((Inspeções!$B$3:$B$122=$B283)*(Inspeções!$A$3:$A$122=$C283)*(ROW(Inspeções!$B$3:$B$122)-3+1)))))</f>
        <v/>
      </c>
      <c r="E283" s="47" t="str">
        <f aca="false">IF($Q283="","",INDEX('Lançar Resultado'!$C$3:$C$2002,$Q283))</f>
        <v/>
      </c>
      <c r="F283" s="47" t="str">
        <f aca="false">IF($Q283="","",IFERROR(INDEX(Equipamentos!$E$3:$E$52,MATCH($B283,Equipamentos!$A$3:$A$52,0)),""))</f>
        <v/>
      </c>
      <c r="G283" s="47" t="str">
        <f aca="false">IF($Q283="","",INDEX('Lançar Resultado'!$D$3:$D$2002,$Q283))</f>
        <v/>
      </c>
      <c r="H283" s="47" t="str">
        <f aca="false">IF($Q283="","",INDEX('Lançar Resultado'!$E$3:$E$2002,$Q283))</f>
        <v/>
      </c>
      <c r="I283" s="46" t="str">
        <f aca="false">IF($Q283="","",INDEX('Lançar Resultado'!$G$3:$G$2002,$Q283))</f>
        <v/>
      </c>
      <c r="J283" s="45" t="str">
        <f aca="false">IF($Q283="","",INDEX('Lançar Resultado'!$P$3:$P$2002,$Q283))</f>
        <v/>
      </c>
      <c r="K283" s="46" t="str">
        <f aca="false">IF($Q283="","",INDEX('Lançar Resultado'!$N$3:$N$2002,$Q283))</f>
        <v/>
      </c>
      <c r="L283" s="47" t="str">
        <f aca="false">IF($Q283="","",INDEX('Lançar Resultado'!$I$3:$I$2002,$Q283))</f>
        <v/>
      </c>
      <c r="M283" s="47" t="str">
        <f aca="false">IF($Q283="","",INDEX('Lançar Resultado'!$J$3:$J$2002,$Q283))</f>
        <v/>
      </c>
      <c r="N283" s="44" t="str">
        <f aca="false">IF($Q283="","",INDEX('Lançar Resultado'!$K$3:$K$2002,$Q283))</f>
        <v/>
      </c>
      <c r="O283" s="46" t="str">
        <f aca="false">IF($Q283="","",INDEX('Lançar Resultado'!$L$3:$L$2002,$Q283))</f>
        <v/>
      </c>
      <c r="P283" s="45" t="str">
        <f aca="false">IF($Q283="","",IF(OR($O283="Concluída",$N283=""),"",IF($N283&lt;INT(Parâmetros!$C$4),INT(Parâmetros!$C$4)-$N283,"")))</f>
        <v/>
      </c>
      <c r="Q283" s="45" t="str">
        <f aca="false">IFERROR(MATCH(281,'Lançar Resultado'!$Q$3:$Q$2002,0),"")</f>
        <v/>
      </c>
    </row>
    <row r="284" customFormat="false" ht="18" hidden="false" customHeight="true" outlineLevel="0" collapsed="false">
      <c r="A284" s="39" t="n">
        <v>282</v>
      </c>
      <c r="B284" s="47" t="str">
        <f aca="false">IF($Q284="","",INDEX('Lançar Resultado'!$A$3:$A$2002,$Q284))</f>
        <v/>
      </c>
      <c r="C284" s="44" t="str">
        <f aca="false">IF($Q284="","",INDEX('Lançar Resultado'!$B$3:$B$2002,$Q284))</f>
        <v/>
      </c>
      <c r="D284" s="46" t="str">
        <f aca="false">IF($Q284="","",IF(SUMPRODUCT((Inspeções!$B$3:$B$122=$B284)*(Inspeções!$A$3:$A$122=$C284)*(ROW(Inspeções!$B$3:$B$122)-3+1))=0,"",INDEX(Inspeções!$C$3:$C$122,SUMPRODUCT((Inspeções!$B$3:$B$122=$B284)*(Inspeções!$A$3:$A$122=$C284)*(ROW(Inspeções!$B$3:$B$122)-3+1)))))</f>
        <v/>
      </c>
      <c r="E284" s="47" t="str">
        <f aca="false">IF($Q284="","",INDEX('Lançar Resultado'!$C$3:$C$2002,$Q284))</f>
        <v/>
      </c>
      <c r="F284" s="47" t="str">
        <f aca="false">IF($Q284="","",IFERROR(INDEX(Equipamentos!$E$3:$E$52,MATCH($B284,Equipamentos!$A$3:$A$52,0)),""))</f>
        <v/>
      </c>
      <c r="G284" s="47" t="str">
        <f aca="false">IF($Q284="","",INDEX('Lançar Resultado'!$D$3:$D$2002,$Q284))</f>
        <v/>
      </c>
      <c r="H284" s="47" t="str">
        <f aca="false">IF($Q284="","",INDEX('Lançar Resultado'!$E$3:$E$2002,$Q284))</f>
        <v/>
      </c>
      <c r="I284" s="46" t="str">
        <f aca="false">IF($Q284="","",INDEX('Lançar Resultado'!$G$3:$G$2002,$Q284))</f>
        <v/>
      </c>
      <c r="J284" s="45" t="str">
        <f aca="false">IF($Q284="","",INDEX('Lançar Resultado'!$P$3:$P$2002,$Q284))</f>
        <v/>
      </c>
      <c r="K284" s="46" t="str">
        <f aca="false">IF($Q284="","",INDEX('Lançar Resultado'!$N$3:$N$2002,$Q284))</f>
        <v/>
      </c>
      <c r="L284" s="47" t="str">
        <f aca="false">IF($Q284="","",INDEX('Lançar Resultado'!$I$3:$I$2002,$Q284))</f>
        <v/>
      </c>
      <c r="M284" s="47" t="str">
        <f aca="false">IF($Q284="","",INDEX('Lançar Resultado'!$J$3:$J$2002,$Q284))</f>
        <v/>
      </c>
      <c r="N284" s="44" t="str">
        <f aca="false">IF($Q284="","",INDEX('Lançar Resultado'!$K$3:$K$2002,$Q284))</f>
        <v/>
      </c>
      <c r="O284" s="46" t="str">
        <f aca="false">IF($Q284="","",INDEX('Lançar Resultado'!$L$3:$L$2002,$Q284))</f>
        <v/>
      </c>
      <c r="P284" s="45" t="str">
        <f aca="false">IF($Q284="","",IF(OR($O284="Concluída",$N284=""),"",IF($N284&lt;INT(Parâmetros!$C$4),INT(Parâmetros!$C$4)-$N284,"")))</f>
        <v/>
      </c>
      <c r="Q284" s="45" t="str">
        <f aca="false">IFERROR(MATCH(282,'Lançar Resultado'!$Q$3:$Q$2002,0),"")</f>
        <v/>
      </c>
    </row>
    <row r="285" customFormat="false" ht="18" hidden="false" customHeight="true" outlineLevel="0" collapsed="false">
      <c r="A285" s="39" t="n">
        <v>283</v>
      </c>
      <c r="B285" s="47" t="str">
        <f aca="false">IF($Q285="","",INDEX('Lançar Resultado'!$A$3:$A$2002,$Q285))</f>
        <v/>
      </c>
      <c r="C285" s="44" t="str">
        <f aca="false">IF($Q285="","",INDEX('Lançar Resultado'!$B$3:$B$2002,$Q285))</f>
        <v/>
      </c>
      <c r="D285" s="46" t="str">
        <f aca="false">IF($Q285="","",IF(SUMPRODUCT((Inspeções!$B$3:$B$122=$B285)*(Inspeções!$A$3:$A$122=$C285)*(ROW(Inspeções!$B$3:$B$122)-3+1))=0,"",INDEX(Inspeções!$C$3:$C$122,SUMPRODUCT((Inspeções!$B$3:$B$122=$B285)*(Inspeções!$A$3:$A$122=$C285)*(ROW(Inspeções!$B$3:$B$122)-3+1)))))</f>
        <v/>
      </c>
      <c r="E285" s="47" t="str">
        <f aca="false">IF($Q285="","",INDEX('Lançar Resultado'!$C$3:$C$2002,$Q285))</f>
        <v/>
      </c>
      <c r="F285" s="47" t="str">
        <f aca="false">IF($Q285="","",IFERROR(INDEX(Equipamentos!$E$3:$E$52,MATCH($B285,Equipamentos!$A$3:$A$52,0)),""))</f>
        <v/>
      </c>
      <c r="G285" s="47" t="str">
        <f aca="false">IF($Q285="","",INDEX('Lançar Resultado'!$D$3:$D$2002,$Q285))</f>
        <v/>
      </c>
      <c r="H285" s="47" t="str">
        <f aca="false">IF($Q285="","",INDEX('Lançar Resultado'!$E$3:$E$2002,$Q285))</f>
        <v/>
      </c>
      <c r="I285" s="46" t="str">
        <f aca="false">IF($Q285="","",INDEX('Lançar Resultado'!$G$3:$G$2002,$Q285))</f>
        <v/>
      </c>
      <c r="J285" s="45" t="str">
        <f aca="false">IF($Q285="","",INDEX('Lançar Resultado'!$P$3:$P$2002,$Q285))</f>
        <v/>
      </c>
      <c r="K285" s="46" t="str">
        <f aca="false">IF($Q285="","",INDEX('Lançar Resultado'!$N$3:$N$2002,$Q285))</f>
        <v/>
      </c>
      <c r="L285" s="47" t="str">
        <f aca="false">IF($Q285="","",INDEX('Lançar Resultado'!$I$3:$I$2002,$Q285))</f>
        <v/>
      </c>
      <c r="M285" s="47" t="str">
        <f aca="false">IF($Q285="","",INDEX('Lançar Resultado'!$J$3:$J$2002,$Q285))</f>
        <v/>
      </c>
      <c r="N285" s="44" t="str">
        <f aca="false">IF($Q285="","",INDEX('Lançar Resultado'!$K$3:$K$2002,$Q285))</f>
        <v/>
      </c>
      <c r="O285" s="46" t="str">
        <f aca="false">IF($Q285="","",INDEX('Lançar Resultado'!$L$3:$L$2002,$Q285))</f>
        <v/>
      </c>
      <c r="P285" s="45" t="str">
        <f aca="false">IF($Q285="","",IF(OR($O285="Concluída",$N285=""),"",IF($N285&lt;INT(Parâmetros!$C$4),INT(Parâmetros!$C$4)-$N285,"")))</f>
        <v/>
      </c>
      <c r="Q285" s="45" t="str">
        <f aca="false">IFERROR(MATCH(283,'Lançar Resultado'!$Q$3:$Q$2002,0),"")</f>
        <v/>
      </c>
    </row>
    <row r="286" customFormat="false" ht="18" hidden="false" customHeight="true" outlineLevel="0" collapsed="false">
      <c r="A286" s="39" t="n">
        <v>284</v>
      </c>
      <c r="B286" s="47" t="str">
        <f aca="false">IF($Q286="","",INDEX('Lançar Resultado'!$A$3:$A$2002,$Q286))</f>
        <v/>
      </c>
      <c r="C286" s="44" t="str">
        <f aca="false">IF($Q286="","",INDEX('Lançar Resultado'!$B$3:$B$2002,$Q286))</f>
        <v/>
      </c>
      <c r="D286" s="46" t="str">
        <f aca="false">IF($Q286="","",IF(SUMPRODUCT((Inspeções!$B$3:$B$122=$B286)*(Inspeções!$A$3:$A$122=$C286)*(ROW(Inspeções!$B$3:$B$122)-3+1))=0,"",INDEX(Inspeções!$C$3:$C$122,SUMPRODUCT((Inspeções!$B$3:$B$122=$B286)*(Inspeções!$A$3:$A$122=$C286)*(ROW(Inspeções!$B$3:$B$122)-3+1)))))</f>
        <v/>
      </c>
      <c r="E286" s="47" t="str">
        <f aca="false">IF($Q286="","",INDEX('Lançar Resultado'!$C$3:$C$2002,$Q286))</f>
        <v/>
      </c>
      <c r="F286" s="47" t="str">
        <f aca="false">IF($Q286="","",IFERROR(INDEX(Equipamentos!$E$3:$E$52,MATCH($B286,Equipamentos!$A$3:$A$52,0)),""))</f>
        <v/>
      </c>
      <c r="G286" s="47" t="str">
        <f aca="false">IF($Q286="","",INDEX('Lançar Resultado'!$D$3:$D$2002,$Q286))</f>
        <v/>
      </c>
      <c r="H286" s="47" t="str">
        <f aca="false">IF($Q286="","",INDEX('Lançar Resultado'!$E$3:$E$2002,$Q286))</f>
        <v/>
      </c>
      <c r="I286" s="46" t="str">
        <f aca="false">IF($Q286="","",INDEX('Lançar Resultado'!$G$3:$G$2002,$Q286))</f>
        <v/>
      </c>
      <c r="J286" s="45" t="str">
        <f aca="false">IF($Q286="","",INDEX('Lançar Resultado'!$P$3:$P$2002,$Q286))</f>
        <v/>
      </c>
      <c r="K286" s="46" t="str">
        <f aca="false">IF($Q286="","",INDEX('Lançar Resultado'!$N$3:$N$2002,$Q286))</f>
        <v/>
      </c>
      <c r="L286" s="47" t="str">
        <f aca="false">IF($Q286="","",INDEX('Lançar Resultado'!$I$3:$I$2002,$Q286))</f>
        <v/>
      </c>
      <c r="M286" s="47" t="str">
        <f aca="false">IF($Q286="","",INDEX('Lançar Resultado'!$J$3:$J$2002,$Q286))</f>
        <v/>
      </c>
      <c r="N286" s="44" t="str">
        <f aca="false">IF($Q286="","",INDEX('Lançar Resultado'!$K$3:$K$2002,$Q286))</f>
        <v/>
      </c>
      <c r="O286" s="46" t="str">
        <f aca="false">IF($Q286="","",INDEX('Lançar Resultado'!$L$3:$L$2002,$Q286))</f>
        <v/>
      </c>
      <c r="P286" s="45" t="str">
        <f aca="false">IF($Q286="","",IF(OR($O286="Concluída",$N286=""),"",IF($N286&lt;INT(Parâmetros!$C$4),INT(Parâmetros!$C$4)-$N286,"")))</f>
        <v/>
      </c>
      <c r="Q286" s="45" t="str">
        <f aca="false">IFERROR(MATCH(284,'Lançar Resultado'!$Q$3:$Q$2002,0),"")</f>
        <v/>
      </c>
    </row>
    <row r="287" customFormat="false" ht="18" hidden="false" customHeight="true" outlineLevel="0" collapsed="false">
      <c r="A287" s="39" t="n">
        <v>285</v>
      </c>
      <c r="B287" s="47" t="str">
        <f aca="false">IF($Q287="","",INDEX('Lançar Resultado'!$A$3:$A$2002,$Q287))</f>
        <v/>
      </c>
      <c r="C287" s="44" t="str">
        <f aca="false">IF($Q287="","",INDEX('Lançar Resultado'!$B$3:$B$2002,$Q287))</f>
        <v/>
      </c>
      <c r="D287" s="46" t="str">
        <f aca="false">IF($Q287="","",IF(SUMPRODUCT((Inspeções!$B$3:$B$122=$B287)*(Inspeções!$A$3:$A$122=$C287)*(ROW(Inspeções!$B$3:$B$122)-3+1))=0,"",INDEX(Inspeções!$C$3:$C$122,SUMPRODUCT((Inspeções!$B$3:$B$122=$B287)*(Inspeções!$A$3:$A$122=$C287)*(ROW(Inspeções!$B$3:$B$122)-3+1)))))</f>
        <v/>
      </c>
      <c r="E287" s="47" t="str">
        <f aca="false">IF($Q287="","",INDEX('Lançar Resultado'!$C$3:$C$2002,$Q287))</f>
        <v/>
      </c>
      <c r="F287" s="47" t="str">
        <f aca="false">IF($Q287="","",IFERROR(INDEX(Equipamentos!$E$3:$E$52,MATCH($B287,Equipamentos!$A$3:$A$52,0)),""))</f>
        <v/>
      </c>
      <c r="G287" s="47" t="str">
        <f aca="false">IF($Q287="","",INDEX('Lançar Resultado'!$D$3:$D$2002,$Q287))</f>
        <v/>
      </c>
      <c r="H287" s="47" t="str">
        <f aca="false">IF($Q287="","",INDEX('Lançar Resultado'!$E$3:$E$2002,$Q287))</f>
        <v/>
      </c>
      <c r="I287" s="46" t="str">
        <f aca="false">IF($Q287="","",INDEX('Lançar Resultado'!$G$3:$G$2002,$Q287))</f>
        <v/>
      </c>
      <c r="J287" s="45" t="str">
        <f aca="false">IF($Q287="","",INDEX('Lançar Resultado'!$P$3:$P$2002,$Q287))</f>
        <v/>
      </c>
      <c r="K287" s="46" t="str">
        <f aca="false">IF($Q287="","",INDEX('Lançar Resultado'!$N$3:$N$2002,$Q287))</f>
        <v/>
      </c>
      <c r="L287" s="47" t="str">
        <f aca="false">IF($Q287="","",INDEX('Lançar Resultado'!$I$3:$I$2002,$Q287))</f>
        <v/>
      </c>
      <c r="M287" s="47" t="str">
        <f aca="false">IF($Q287="","",INDEX('Lançar Resultado'!$J$3:$J$2002,$Q287))</f>
        <v/>
      </c>
      <c r="N287" s="44" t="str">
        <f aca="false">IF($Q287="","",INDEX('Lançar Resultado'!$K$3:$K$2002,$Q287))</f>
        <v/>
      </c>
      <c r="O287" s="46" t="str">
        <f aca="false">IF($Q287="","",INDEX('Lançar Resultado'!$L$3:$L$2002,$Q287))</f>
        <v/>
      </c>
      <c r="P287" s="45" t="str">
        <f aca="false">IF($Q287="","",IF(OR($O287="Concluída",$N287=""),"",IF($N287&lt;INT(Parâmetros!$C$4),INT(Parâmetros!$C$4)-$N287,"")))</f>
        <v/>
      </c>
      <c r="Q287" s="45" t="str">
        <f aca="false">IFERROR(MATCH(285,'Lançar Resultado'!$Q$3:$Q$2002,0),"")</f>
        <v/>
      </c>
    </row>
    <row r="288" customFormat="false" ht="18" hidden="false" customHeight="true" outlineLevel="0" collapsed="false">
      <c r="A288" s="39" t="n">
        <v>286</v>
      </c>
      <c r="B288" s="47" t="str">
        <f aca="false">IF($Q288="","",INDEX('Lançar Resultado'!$A$3:$A$2002,$Q288))</f>
        <v/>
      </c>
      <c r="C288" s="44" t="str">
        <f aca="false">IF($Q288="","",INDEX('Lançar Resultado'!$B$3:$B$2002,$Q288))</f>
        <v/>
      </c>
      <c r="D288" s="46" t="str">
        <f aca="false">IF($Q288="","",IF(SUMPRODUCT((Inspeções!$B$3:$B$122=$B288)*(Inspeções!$A$3:$A$122=$C288)*(ROW(Inspeções!$B$3:$B$122)-3+1))=0,"",INDEX(Inspeções!$C$3:$C$122,SUMPRODUCT((Inspeções!$B$3:$B$122=$B288)*(Inspeções!$A$3:$A$122=$C288)*(ROW(Inspeções!$B$3:$B$122)-3+1)))))</f>
        <v/>
      </c>
      <c r="E288" s="47" t="str">
        <f aca="false">IF($Q288="","",INDEX('Lançar Resultado'!$C$3:$C$2002,$Q288))</f>
        <v/>
      </c>
      <c r="F288" s="47" t="str">
        <f aca="false">IF($Q288="","",IFERROR(INDEX(Equipamentos!$E$3:$E$52,MATCH($B288,Equipamentos!$A$3:$A$52,0)),""))</f>
        <v/>
      </c>
      <c r="G288" s="47" t="str">
        <f aca="false">IF($Q288="","",INDEX('Lançar Resultado'!$D$3:$D$2002,$Q288))</f>
        <v/>
      </c>
      <c r="H288" s="47" t="str">
        <f aca="false">IF($Q288="","",INDEX('Lançar Resultado'!$E$3:$E$2002,$Q288))</f>
        <v/>
      </c>
      <c r="I288" s="46" t="str">
        <f aca="false">IF($Q288="","",INDEX('Lançar Resultado'!$G$3:$G$2002,$Q288))</f>
        <v/>
      </c>
      <c r="J288" s="45" t="str">
        <f aca="false">IF($Q288="","",INDEX('Lançar Resultado'!$P$3:$P$2002,$Q288))</f>
        <v/>
      </c>
      <c r="K288" s="46" t="str">
        <f aca="false">IF($Q288="","",INDEX('Lançar Resultado'!$N$3:$N$2002,$Q288))</f>
        <v/>
      </c>
      <c r="L288" s="47" t="str">
        <f aca="false">IF($Q288="","",INDEX('Lançar Resultado'!$I$3:$I$2002,$Q288))</f>
        <v/>
      </c>
      <c r="M288" s="47" t="str">
        <f aca="false">IF($Q288="","",INDEX('Lançar Resultado'!$J$3:$J$2002,$Q288))</f>
        <v/>
      </c>
      <c r="N288" s="44" t="str">
        <f aca="false">IF($Q288="","",INDEX('Lançar Resultado'!$K$3:$K$2002,$Q288))</f>
        <v/>
      </c>
      <c r="O288" s="46" t="str">
        <f aca="false">IF($Q288="","",INDEX('Lançar Resultado'!$L$3:$L$2002,$Q288))</f>
        <v/>
      </c>
      <c r="P288" s="45" t="str">
        <f aca="false">IF($Q288="","",IF(OR($O288="Concluída",$N288=""),"",IF($N288&lt;INT(Parâmetros!$C$4),INT(Parâmetros!$C$4)-$N288,"")))</f>
        <v/>
      </c>
      <c r="Q288" s="45" t="str">
        <f aca="false">IFERROR(MATCH(286,'Lançar Resultado'!$Q$3:$Q$2002,0),"")</f>
        <v/>
      </c>
    </row>
    <row r="289" customFormat="false" ht="18" hidden="false" customHeight="true" outlineLevel="0" collapsed="false">
      <c r="A289" s="39" t="n">
        <v>287</v>
      </c>
      <c r="B289" s="47" t="str">
        <f aca="false">IF($Q289="","",INDEX('Lançar Resultado'!$A$3:$A$2002,$Q289))</f>
        <v/>
      </c>
      <c r="C289" s="44" t="str">
        <f aca="false">IF($Q289="","",INDEX('Lançar Resultado'!$B$3:$B$2002,$Q289))</f>
        <v/>
      </c>
      <c r="D289" s="46" t="str">
        <f aca="false">IF($Q289="","",IF(SUMPRODUCT((Inspeções!$B$3:$B$122=$B289)*(Inspeções!$A$3:$A$122=$C289)*(ROW(Inspeções!$B$3:$B$122)-3+1))=0,"",INDEX(Inspeções!$C$3:$C$122,SUMPRODUCT((Inspeções!$B$3:$B$122=$B289)*(Inspeções!$A$3:$A$122=$C289)*(ROW(Inspeções!$B$3:$B$122)-3+1)))))</f>
        <v/>
      </c>
      <c r="E289" s="47" t="str">
        <f aca="false">IF($Q289="","",INDEX('Lançar Resultado'!$C$3:$C$2002,$Q289))</f>
        <v/>
      </c>
      <c r="F289" s="47" t="str">
        <f aca="false">IF($Q289="","",IFERROR(INDEX(Equipamentos!$E$3:$E$52,MATCH($B289,Equipamentos!$A$3:$A$52,0)),""))</f>
        <v/>
      </c>
      <c r="G289" s="47" t="str">
        <f aca="false">IF($Q289="","",INDEX('Lançar Resultado'!$D$3:$D$2002,$Q289))</f>
        <v/>
      </c>
      <c r="H289" s="47" t="str">
        <f aca="false">IF($Q289="","",INDEX('Lançar Resultado'!$E$3:$E$2002,$Q289))</f>
        <v/>
      </c>
      <c r="I289" s="46" t="str">
        <f aca="false">IF($Q289="","",INDEX('Lançar Resultado'!$G$3:$G$2002,$Q289))</f>
        <v/>
      </c>
      <c r="J289" s="45" t="str">
        <f aca="false">IF($Q289="","",INDEX('Lançar Resultado'!$P$3:$P$2002,$Q289))</f>
        <v/>
      </c>
      <c r="K289" s="46" t="str">
        <f aca="false">IF($Q289="","",INDEX('Lançar Resultado'!$N$3:$N$2002,$Q289))</f>
        <v/>
      </c>
      <c r="L289" s="47" t="str">
        <f aca="false">IF($Q289="","",INDEX('Lançar Resultado'!$I$3:$I$2002,$Q289))</f>
        <v/>
      </c>
      <c r="M289" s="47" t="str">
        <f aca="false">IF($Q289="","",INDEX('Lançar Resultado'!$J$3:$J$2002,$Q289))</f>
        <v/>
      </c>
      <c r="N289" s="44" t="str">
        <f aca="false">IF($Q289="","",INDEX('Lançar Resultado'!$K$3:$K$2002,$Q289))</f>
        <v/>
      </c>
      <c r="O289" s="46" t="str">
        <f aca="false">IF($Q289="","",INDEX('Lançar Resultado'!$L$3:$L$2002,$Q289))</f>
        <v/>
      </c>
      <c r="P289" s="45" t="str">
        <f aca="false">IF($Q289="","",IF(OR($O289="Concluída",$N289=""),"",IF($N289&lt;INT(Parâmetros!$C$4),INT(Parâmetros!$C$4)-$N289,"")))</f>
        <v/>
      </c>
      <c r="Q289" s="45" t="str">
        <f aca="false">IFERROR(MATCH(287,'Lançar Resultado'!$Q$3:$Q$2002,0),"")</f>
        <v/>
      </c>
    </row>
    <row r="290" customFormat="false" ht="18" hidden="false" customHeight="true" outlineLevel="0" collapsed="false">
      <c r="A290" s="39" t="n">
        <v>288</v>
      </c>
      <c r="B290" s="47" t="str">
        <f aca="false">IF($Q290="","",INDEX('Lançar Resultado'!$A$3:$A$2002,$Q290))</f>
        <v/>
      </c>
      <c r="C290" s="44" t="str">
        <f aca="false">IF($Q290="","",INDEX('Lançar Resultado'!$B$3:$B$2002,$Q290))</f>
        <v/>
      </c>
      <c r="D290" s="46" t="str">
        <f aca="false">IF($Q290="","",IF(SUMPRODUCT((Inspeções!$B$3:$B$122=$B290)*(Inspeções!$A$3:$A$122=$C290)*(ROW(Inspeções!$B$3:$B$122)-3+1))=0,"",INDEX(Inspeções!$C$3:$C$122,SUMPRODUCT((Inspeções!$B$3:$B$122=$B290)*(Inspeções!$A$3:$A$122=$C290)*(ROW(Inspeções!$B$3:$B$122)-3+1)))))</f>
        <v/>
      </c>
      <c r="E290" s="47" t="str">
        <f aca="false">IF($Q290="","",INDEX('Lançar Resultado'!$C$3:$C$2002,$Q290))</f>
        <v/>
      </c>
      <c r="F290" s="47" t="str">
        <f aca="false">IF($Q290="","",IFERROR(INDEX(Equipamentos!$E$3:$E$52,MATCH($B290,Equipamentos!$A$3:$A$52,0)),""))</f>
        <v/>
      </c>
      <c r="G290" s="47" t="str">
        <f aca="false">IF($Q290="","",INDEX('Lançar Resultado'!$D$3:$D$2002,$Q290))</f>
        <v/>
      </c>
      <c r="H290" s="47" t="str">
        <f aca="false">IF($Q290="","",INDEX('Lançar Resultado'!$E$3:$E$2002,$Q290))</f>
        <v/>
      </c>
      <c r="I290" s="46" t="str">
        <f aca="false">IF($Q290="","",INDEX('Lançar Resultado'!$G$3:$G$2002,$Q290))</f>
        <v/>
      </c>
      <c r="J290" s="45" t="str">
        <f aca="false">IF($Q290="","",INDEX('Lançar Resultado'!$P$3:$P$2002,$Q290))</f>
        <v/>
      </c>
      <c r="K290" s="46" t="str">
        <f aca="false">IF($Q290="","",INDEX('Lançar Resultado'!$N$3:$N$2002,$Q290))</f>
        <v/>
      </c>
      <c r="L290" s="47" t="str">
        <f aca="false">IF($Q290="","",INDEX('Lançar Resultado'!$I$3:$I$2002,$Q290))</f>
        <v/>
      </c>
      <c r="M290" s="47" t="str">
        <f aca="false">IF($Q290="","",INDEX('Lançar Resultado'!$J$3:$J$2002,$Q290))</f>
        <v/>
      </c>
      <c r="N290" s="44" t="str">
        <f aca="false">IF($Q290="","",INDEX('Lançar Resultado'!$K$3:$K$2002,$Q290))</f>
        <v/>
      </c>
      <c r="O290" s="46" t="str">
        <f aca="false">IF($Q290="","",INDEX('Lançar Resultado'!$L$3:$L$2002,$Q290))</f>
        <v/>
      </c>
      <c r="P290" s="45" t="str">
        <f aca="false">IF($Q290="","",IF(OR($O290="Concluída",$N290=""),"",IF($N290&lt;INT(Parâmetros!$C$4),INT(Parâmetros!$C$4)-$N290,"")))</f>
        <v/>
      </c>
      <c r="Q290" s="45" t="str">
        <f aca="false">IFERROR(MATCH(288,'Lançar Resultado'!$Q$3:$Q$2002,0),"")</f>
        <v/>
      </c>
    </row>
    <row r="291" customFormat="false" ht="18" hidden="false" customHeight="true" outlineLevel="0" collapsed="false">
      <c r="A291" s="39" t="n">
        <v>289</v>
      </c>
      <c r="B291" s="47" t="str">
        <f aca="false">IF($Q291="","",INDEX('Lançar Resultado'!$A$3:$A$2002,$Q291))</f>
        <v/>
      </c>
      <c r="C291" s="44" t="str">
        <f aca="false">IF($Q291="","",INDEX('Lançar Resultado'!$B$3:$B$2002,$Q291))</f>
        <v/>
      </c>
      <c r="D291" s="46" t="str">
        <f aca="false">IF($Q291="","",IF(SUMPRODUCT((Inspeções!$B$3:$B$122=$B291)*(Inspeções!$A$3:$A$122=$C291)*(ROW(Inspeções!$B$3:$B$122)-3+1))=0,"",INDEX(Inspeções!$C$3:$C$122,SUMPRODUCT((Inspeções!$B$3:$B$122=$B291)*(Inspeções!$A$3:$A$122=$C291)*(ROW(Inspeções!$B$3:$B$122)-3+1)))))</f>
        <v/>
      </c>
      <c r="E291" s="47" t="str">
        <f aca="false">IF($Q291="","",INDEX('Lançar Resultado'!$C$3:$C$2002,$Q291))</f>
        <v/>
      </c>
      <c r="F291" s="47" t="str">
        <f aca="false">IF($Q291="","",IFERROR(INDEX(Equipamentos!$E$3:$E$52,MATCH($B291,Equipamentos!$A$3:$A$52,0)),""))</f>
        <v/>
      </c>
      <c r="G291" s="47" t="str">
        <f aca="false">IF($Q291="","",INDEX('Lançar Resultado'!$D$3:$D$2002,$Q291))</f>
        <v/>
      </c>
      <c r="H291" s="47" t="str">
        <f aca="false">IF($Q291="","",INDEX('Lançar Resultado'!$E$3:$E$2002,$Q291))</f>
        <v/>
      </c>
      <c r="I291" s="46" t="str">
        <f aca="false">IF($Q291="","",INDEX('Lançar Resultado'!$G$3:$G$2002,$Q291))</f>
        <v/>
      </c>
      <c r="J291" s="45" t="str">
        <f aca="false">IF($Q291="","",INDEX('Lançar Resultado'!$P$3:$P$2002,$Q291))</f>
        <v/>
      </c>
      <c r="K291" s="46" t="str">
        <f aca="false">IF($Q291="","",INDEX('Lançar Resultado'!$N$3:$N$2002,$Q291))</f>
        <v/>
      </c>
      <c r="L291" s="47" t="str">
        <f aca="false">IF($Q291="","",INDEX('Lançar Resultado'!$I$3:$I$2002,$Q291))</f>
        <v/>
      </c>
      <c r="M291" s="47" t="str">
        <f aca="false">IF($Q291="","",INDEX('Lançar Resultado'!$J$3:$J$2002,$Q291))</f>
        <v/>
      </c>
      <c r="N291" s="44" t="str">
        <f aca="false">IF($Q291="","",INDEX('Lançar Resultado'!$K$3:$K$2002,$Q291))</f>
        <v/>
      </c>
      <c r="O291" s="46" t="str">
        <f aca="false">IF($Q291="","",INDEX('Lançar Resultado'!$L$3:$L$2002,$Q291))</f>
        <v/>
      </c>
      <c r="P291" s="45" t="str">
        <f aca="false">IF($Q291="","",IF(OR($O291="Concluída",$N291=""),"",IF($N291&lt;INT(Parâmetros!$C$4),INT(Parâmetros!$C$4)-$N291,"")))</f>
        <v/>
      </c>
      <c r="Q291" s="45" t="str">
        <f aca="false">IFERROR(MATCH(289,'Lançar Resultado'!$Q$3:$Q$2002,0),"")</f>
        <v/>
      </c>
    </row>
    <row r="292" customFormat="false" ht="18" hidden="false" customHeight="true" outlineLevel="0" collapsed="false">
      <c r="A292" s="39" t="n">
        <v>290</v>
      </c>
      <c r="B292" s="47" t="str">
        <f aca="false">IF($Q292="","",INDEX('Lançar Resultado'!$A$3:$A$2002,$Q292))</f>
        <v/>
      </c>
      <c r="C292" s="44" t="str">
        <f aca="false">IF($Q292="","",INDEX('Lançar Resultado'!$B$3:$B$2002,$Q292))</f>
        <v/>
      </c>
      <c r="D292" s="46" t="str">
        <f aca="false">IF($Q292="","",IF(SUMPRODUCT((Inspeções!$B$3:$B$122=$B292)*(Inspeções!$A$3:$A$122=$C292)*(ROW(Inspeções!$B$3:$B$122)-3+1))=0,"",INDEX(Inspeções!$C$3:$C$122,SUMPRODUCT((Inspeções!$B$3:$B$122=$B292)*(Inspeções!$A$3:$A$122=$C292)*(ROW(Inspeções!$B$3:$B$122)-3+1)))))</f>
        <v/>
      </c>
      <c r="E292" s="47" t="str">
        <f aca="false">IF($Q292="","",INDEX('Lançar Resultado'!$C$3:$C$2002,$Q292))</f>
        <v/>
      </c>
      <c r="F292" s="47" t="str">
        <f aca="false">IF($Q292="","",IFERROR(INDEX(Equipamentos!$E$3:$E$52,MATCH($B292,Equipamentos!$A$3:$A$52,0)),""))</f>
        <v/>
      </c>
      <c r="G292" s="47" t="str">
        <f aca="false">IF($Q292="","",INDEX('Lançar Resultado'!$D$3:$D$2002,$Q292))</f>
        <v/>
      </c>
      <c r="H292" s="47" t="str">
        <f aca="false">IF($Q292="","",INDEX('Lançar Resultado'!$E$3:$E$2002,$Q292))</f>
        <v/>
      </c>
      <c r="I292" s="46" t="str">
        <f aca="false">IF($Q292="","",INDEX('Lançar Resultado'!$G$3:$G$2002,$Q292))</f>
        <v/>
      </c>
      <c r="J292" s="45" t="str">
        <f aca="false">IF($Q292="","",INDEX('Lançar Resultado'!$P$3:$P$2002,$Q292))</f>
        <v/>
      </c>
      <c r="K292" s="46" t="str">
        <f aca="false">IF($Q292="","",INDEX('Lançar Resultado'!$N$3:$N$2002,$Q292))</f>
        <v/>
      </c>
      <c r="L292" s="47" t="str">
        <f aca="false">IF($Q292="","",INDEX('Lançar Resultado'!$I$3:$I$2002,$Q292))</f>
        <v/>
      </c>
      <c r="M292" s="47" t="str">
        <f aca="false">IF($Q292="","",INDEX('Lançar Resultado'!$J$3:$J$2002,$Q292))</f>
        <v/>
      </c>
      <c r="N292" s="44" t="str">
        <f aca="false">IF($Q292="","",INDEX('Lançar Resultado'!$K$3:$K$2002,$Q292))</f>
        <v/>
      </c>
      <c r="O292" s="46" t="str">
        <f aca="false">IF($Q292="","",INDEX('Lançar Resultado'!$L$3:$L$2002,$Q292))</f>
        <v/>
      </c>
      <c r="P292" s="45" t="str">
        <f aca="false">IF($Q292="","",IF(OR($O292="Concluída",$N292=""),"",IF($N292&lt;INT(Parâmetros!$C$4),INT(Parâmetros!$C$4)-$N292,"")))</f>
        <v/>
      </c>
      <c r="Q292" s="45" t="str">
        <f aca="false">IFERROR(MATCH(290,'Lançar Resultado'!$Q$3:$Q$2002,0),"")</f>
        <v/>
      </c>
    </row>
    <row r="293" customFormat="false" ht="18" hidden="false" customHeight="true" outlineLevel="0" collapsed="false">
      <c r="A293" s="39" t="n">
        <v>291</v>
      </c>
      <c r="B293" s="47" t="str">
        <f aca="false">IF($Q293="","",INDEX('Lançar Resultado'!$A$3:$A$2002,$Q293))</f>
        <v/>
      </c>
      <c r="C293" s="44" t="str">
        <f aca="false">IF($Q293="","",INDEX('Lançar Resultado'!$B$3:$B$2002,$Q293))</f>
        <v/>
      </c>
      <c r="D293" s="46" t="str">
        <f aca="false">IF($Q293="","",IF(SUMPRODUCT((Inspeções!$B$3:$B$122=$B293)*(Inspeções!$A$3:$A$122=$C293)*(ROW(Inspeções!$B$3:$B$122)-3+1))=0,"",INDEX(Inspeções!$C$3:$C$122,SUMPRODUCT((Inspeções!$B$3:$B$122=$B293)*(Inspeções!$A$3:$A$122=$C293)*(ROW(Inspeções!$B$3:$B$122)-3+1)))))</f>
        <v/>
      </c>
      <c r="E293" s="47" t="str">
        <f aca="false">IF($Q293="","",INDEX('Lançar Resultado'!$C$3:$C$2002,$Q293))</f>
        <v/>
      </c>
      <c r="F293" s="47" t="str">
        <f aca="false">IF($Q293="","",IFERROR(INDEX(Equipamentos!$E$3:$E$52,MATCH($B293,Equipamentos!$A$3:$A$52,0)),""))</f>
        <v/>
      </c>
      <c r="G293" s="47" t="str">
        <f aca="false">IF($Q293="","",INDEX('Lançar Resultado'!$D$3:$D$2002,$Q293))</f>
        <v/>
      </c>
      <c r="H293" s="47" t="str">
        <f aca="false">IF($Q293="","",INDEX('Lançar Resultado'!$E$3:$E$2002,$Q293))</f>
        <v/>
      </c>
      <c r="I293" s="46" t="str">
        <f aca="false">IF($Q293="","",INDEX('Lançar Resultado'!$G$3:$G$2002,$Q293))</f>
        <v/>
      </c>
      <c r="J293" s="45" t="str">
        <f aca="false">IF($Q293="","",INDEX('Lançar Resultado'!$P$3:$P$2002,$Q293))</f>
        <v/>
      </c>
      <c r="K293" s="46" t="str">
        <f aca="false">IF($Q293="","",INDEX('Lançar Resultado'!$N$3:$N$2002,$Q293))</f>
        <v/>
      </c>
      <c r="L293" s="47" t="str">
        <f aca="false">IF($Q293="","",INDEX('Lançar Resultado'!$I$3:$I$2002,$Q293))</f>
        <v/>
      </c>
      <c r="M293" s="47" t="str">
        <f aca="false">IF($Q293="","",INDEX('Lançar Resultado'!$J$3:$J$2002,$Q293))</f>
        <v/>
      </c>
      <c r="N293" s="44" t="str">
        <f aca="false">IF($Q293="","",INDEX('Lançar Resultado'!$K$3:$K$2002,$Q293))</f>
        <v/>
      </c>
      <c r="O293" s="46" t="str">
        <f aca="false">IF($Q293="","",INDEX('Lançar Resultado'!$L$3:$L$2002,$Q293))</f>
        <v/>
      </c>
      <c r="P293" s="45" t="str">
        <f aca="false">IF($Q293="","",IF(OR($O293="Concluída",$N293=""),"",IF($N293&lt;INT(Parâmetros!$C$4),INT(Parâmetros!$C$4)-$N293,"")))</f>
        <v/>
      </c>
      <c r="Q293" s="45" t="str">
        <f aca="false">IFERROR(MATCH(291,'Lançar Resultado'!$Q$3:$Q$2002,0),"")</f>
        <v/>
      </c>
    </row>
    <row r="294" customFormat="false" ht="18" hidden="false" customHeight="true" outlineLevel="0" collapsed="false">
      <c r="A294" s="39" t="n">
        <v>292</v>
      </c>
      <c r="B294" s="47" t="str">
        <f aca="false">IF($Q294="","",INDEX('Lançar Resultado'!$A$3:$A$2002,$Q294))</f>
        <v/>
      </c>
      <c r="C294" s="44" t="str">
        <f aca="false">IF($Q294="","",INDEX('Lançar Resultado'!$B$3:$B$2002,$Q294))</f>
        <v/>
      </c>
      <c r="D294" s="46" t="str">
        <f aca="false">IF($Q294="","",IF(SUMPRODUCT((Inspeções!$B$3:$B$122=$B294)*(Inspeções!$A$3:$A$122=$C294)*(ROW(Inspeções!$B$3:$B$122)-3+1))=0,"",INDEX(Inspeções!$C$3:$C$122,SUMPRODUCT((Inspeções!$B$3:$B$122=$B294)*(Inspeções!$A$3:$A$122=$C294)*(ROW(Inspeções!$B$3:$B$122)-3+1)))))</f>
        <v/>
      </c>
      <c r="E294" s="47" t="str">
        <f aca="false">IF($Q294="","",INDEX('Lançar Resultado'!$C$3:$C$2002,$Q294))</f>
        <v/>
      </c>
      <c r="F294" s="47" t="str">
        <f aca="false">IF($Q294="","",IFERROR(INDEX(Equipamentos!$E$3:$E$52,MATCH($B294,Equipamentos!$A$3:$A$52,0)),""))</f>
        <v/>
      </c>
      <c r="G294" s="47" t="str">
        <f aca="false">IF($Q294="","",INDEX('Lançar Resultado'!$D$3:$D$2002,$Q294))</f>
        <v/>
      </c>
      <c r="H294" s="47" t="str">
        <f aca="false">IF($Q294="","",INDEX('Lançar Resultado'!$E$3:$E$2002,$Q294))</f>
        <v/>
      </c>
      <c r="I294" s="46" t="str">
        <f aca="false">IF($Q294="","",INDEX('Lançar Resultado'!$G$3:$G$2002,$Q294))</f>
        <v/>
      </c>
      <c r="J294" s="45" t="str">
        <f aca="false">IF($Q294="","",INDEX('Lançar Resultado'!$P$3:$P$2002,$Q294))</f>
        <v/>
      </c>
      <c r="K294" s="46" t="str">
        <f aca="false">IF($Q294="","",INDEX('Lançar Resultado'!$N$3:$N$2002,$Q294))</f>
        <v/>
      </c>
      <c r="L294" s="47" t="str">
        <f aca="false">IF($Q294="","",INDEX('Lançar Resultado'!$I$3:$I$2002,$Q294))</f>
        <v/>
      </c>
      <c r="M294" s="47" t="str">
        <f aca="false">IF($Q294="","",INDEX('Lançar Resultado'!$J$3:$J$2002,$Q294))</f>
        <v/>
      </c>
      <c r="N294" s="44" t="str">
        <f aca="false">IF($Q294="","",INDEX('Lançar Resultado'!$K$3:$K$2002,$Q294))</f>
        <v/>
      </c>
      <c r="O294" s="46" t="str">
        <f aca="false">IF($Q294="","",INDEX('Lançar Resultado'!$L$3:$L$2002,$Q294))</f>
        <v/>
      </c>
      <c r="P294" s="45" t="str">
        <f aca="false">IF($Q294="","",IF(OR($O294="Concluída",$N294=""),"",IF($N294&lt;INT(Parâmetros!$C$4),INT(Parâmetros!$C$4)-$N294,"")))</f>
        <v/>
      </c>
      <c r="Q294" s="45" t="str">
        <f aca="false">IFERROR(MATCH(292,'Lançar Resultado'!$Q$3:$Q$2002,0),"")</f>
        <v/>
      </c>
    </row>
    <row r="295" customFormat="false" ht="18" hidden="false" customHeight="true" outlineLevel="0" collapsed="false">
      <c r="A295" s="39" t="n">
        <v>293</v>
      </c>
      <c r="B295" s="47" t="str">
        <f aca="false">IF($Q295="","",INDEX('Lançar Resultado'!$A$3:$A$2002,$Q295))</f>
        <v/>
      </c>
      <c r="C295" s="44" t="str">
        <f aca="false">IF($Q295="","",INDEX('Lançar Resultado'!$B$3:$B$2002,$Q295))</f>
        <v/>
      </c>
      <c r="D295" s="46" t="str">
        <f aca="false">IF($Q295="","",IF(SUMPRODUCT((Inspeções!$B$3:$B$122=$B295)*(Inspeções!$A$3:$A$122=$C295)*(ROW(Inspeções!$B$3:$B$122)-3+1))=0,"",INDEX(Inspeções!$C$3:$C$122,SUMPRODUCT((Inspeções!$B$3:$B$122=$B295)*(Inspeções!$A$3:$A$122=$C295)*(ROW(Inspeções!$B$3:$B$122)-3+1)))))</f>
        <v/>
      </c>
      <c r="E295" s="47" t="str">
        <f aca="false">IF($Q295="","",INDEX('Lançar Resultado'!$C$3:$C$2002,$Q295))</f>
        <v/>
      </c>
      <c r="F295" s="47" t="str">
        <f aca="false">IF($Q295="","",IFERROR(INDEX(Equipamentos!$E$3:$E$52,MATCH($B295,Equipamentos!$A$3:$A$52,0)),""))</f>
        <v/>
      </c>
      <c r="G295" s="47" t="str">
        <f aca="false">IF($Q295="","",INDEX('Lançar Resultado'!$D$3:$D$2002,$Q295))</f>
        <v/>
      </c>
      <c r="H295" s="47" t="str">
        <f aca="false">IF($Q295="","",INDEX('Lançar Resultado'!$E$3:$E$2002,$Q295))</f>
        <v/>
      </c>
      <c r="I295" s="46" t="str">
        <f aca="false">IF($Q295="","",INDEX('Lançar Resultado'!$G$3:$G$2002,$Q295))</f>
        <v/>
      </c>
      <c r="J295" s="45" t="str">
        <f aca="false">IF($Q295="","",INDEX('Lançar Resultado'!$P$3:$P$2002,$Q295))</f>
        <v/>
      </c>
      <c r="K295" s="46" t="str">
        <f aca="false">IF($Q295="","",INDEX('Lançar Resultado'!$N$3:$N$2002,$Q295))</f>
        <v/>
      </c>
      <c r="L295" s="47" t="str">
        <f aca="false">IF($Q295="","",INDEX('Lançar Resultado'!$I$3:$I$2002,$Q295))</f>
        <v/>
      </c>
      <c r="M295" s="47" t="str">
        <f aca="false">IF($Q295="","",INDEX('Lançar Resultado'!$J$3:$J$2002,$Q295))</f>
        <v/>
      </c>
      <c r="N295" s="44" t="str">
        <f aca="false">IF($Q295="","",INDEX('Lançar Resultado'!$K$3:$K$2002,$Q295))</f>
        <v/>
      </c>
      <c r="O295" s="46" t="str">
        <f aca="false">IF($Q295="","",INDEX('Lançar Resultado'!$L$3:$L$2002,$Q295))</f>
        <v/>
      </c>
      <c r="P295" s="45" t="str">
        <f aca="false">IF($Q295="","",IF(OR($O295="Concluída",$N295=""),"",IF($N295&lt;INT(Parâmetros!$C$4),INT(Parâmetros!$C$4)-$N295,"")))</f>
        <v/>
      </c>
      <c r="Q295" s="45" t="str">
        <f aca="false">IFERROR(MATCH(293,'Lançar Resultado'!$Q$3:$Q$2002,0),"")</f>
        <v/>
      </c>
    </row>
    <row r="296" customFormat="false" ht="18" hidden="false" customHeight="true" outlineLevel="0" collapsed="false">
      <c r="A296" s="39" t="n">
        <v>294</v>
      </c>
      <c r="B296" s="47" t="str">
        <f aca="false">IF($Q296="","",INDEX('Lançar Resultado'!$A$3:$A$2002,$Q296))</f>
        <v/>
      </c>
      <c r="C296" s="44" t="str">
        <f aca="false">IF($Q296="","",INDEX('Lançar Resultado'!$B$3:$B$2002,$Q296))</f>
        <v/>
      </c>
      <c r="D296" s="46" t="str">
        <f aca="false">IF($Q296="","",IF(SUMPRODUCT((Inspeções!$B$3:$B$122=$B296)*(Inspeções!$A$3:$A$122=$C296)*(ROW(Inspeções!$B$3:$B$122)-3+1))=0,"",INDEX(Inspeções!$C$3:$C$122,SUMPRODUCT((Inspeções!$B$3:$B$122=$B296)*(Inspeções!$A$3:$A$122=$C296)*(ROW(Inspeções!$B$3:$B$122)-3+1)))))</f>
        <v/>
      </c>
      <c r="E296" s="47" t="str">
        <f aca="false">IF($Q296="","",INDEX('Lançar Resultado'!$C$3:$C$2002,$Q296))</f>
        <v/>
      </c>
      <c r="F296" s="47" t="str">
        <f aca="false">IF($Q296="","",IFERROR(INDEX(Equipamentos!$E$3:$E$52,MATCH($B296,Equipamentos!$A$3:$A$52,0)),""))</f>
        <v/>
      </c>
      <c r="G296" s="47" t="str">
        <f aca="false">IF($Q296="","",INDEX('Lançar Resultado'!$D$3:$D$2002,$Q296))</f>
        <v/>
      </c>
      <c r="H296" s="47" t="str">
        <f aca="false">IF($Q296="","",INDEX('Lançar Resultado'!$E$3:$E$2002,$Q296))</f>
        <v/>
      </c>
      <c r="I296" s="46" t="str">
        <f aca="false">IF($Q296="","",INDEX('Lançar Resultado'!$G$3:$G$2002,$Q296))</f>
        <v/>
      </c>
      <c r="J296" s="45" t="str">
        <f aca="false">IF($Q296="","",INDEX('Lançar Resultado'!$P$3:$P$2002,$Q296))</f>
        <v/>
      </c>
      <c r="K296" s="46" t="str">
        <f aca="false">IF($Q296="","",INDEX('Lançar Resultado'!$N$3:$N$2002,$Q296))</f>
        <v/>
      </c>
      <c r="L296" s="47" t="str">
        <f aca="false">IF($Q296="","",INDEX('Lançar Resultado'!$I$3:$I$2002,$Q296))</f>
        <v/>
      </c>
      <c r="M296" s="47" t="str">
        <f aca="false">IF($Q296="","",INDEX('Lançar Resultado'!$J$3:$J$2002,$Q296))</f>
        <v/>
      </c>
      <c r="N296" s="44" t="str">
        <f aca="false">IF($Q296="","",INDEX('Lançar Resultado'!$K$3:$K$2002,$Q296))</f>
        <v/>
      </c>
      <c r="O296" s="46" t="str">
        <f aca="false">IF($Q296="","",INDEX('Lançar Resultado'!$L$3:$L$2002,$Q296))</f>
        <v/>
      </c>
      <c r="P296" s="45" t="str">
        <f aca="false">IF($Q296="","",IF(OR($O296="Concluída",$N296=""),"",IF($N296&lt;INT(Parâmetros!$C$4),INT(Parâmetros!$C$4)-$N296,"")))</f>
        <v/>
      </c>
      <c r="Q296" s="45" t="str">
        <f aca="false">IFERROR(MATCH(294,'Lançar Resultado'!$Q$3:$Q$2002,0),"")</f>
        <v/>
      </c>
    </row>
    <row r="297" customFormat="false" ht="18" hidden="false" customHeight="true" outlineLevel="0" collapsed="false">
      <c r="A297" s="39" t="n">
        <v>295</v>
      </c>
      <c r="B297" s="47" t="str">
        <f aca="false">IF($Q297="","",INDEX('Lançar Resultado'!$A$3:$A$2002,$Q297))</f>
        <v/>
      </c>
      <c r="C297" s="44" t="str">
        <f aca="false">IF($Q297="","",INDEX('Lançar Resultado'!$B$3:$B$2002,$Q297))</f>
        <v/>
      </c>
      <c r="D297" s="46" t="str">
        <f aca="false">IF($Q297="","",IF(SUMPRODUCT((Inspeções!$B$3:$B$122=$B297)*(Inspeções!$A$3:$A$122=$C297)*(ROW(Inspeções!$B$3:$B$122)-3+1))=0,"",INDEX(Inspeções!$C$3:$C$122,SUMPRODUCT((Inspeções!$B$3:$B$122=$B297)*(Inspeções!$A$3:$A$122=$C297)*(ROW(Inspeções!$B$3:$B$122)-3+1)))))</f>
        <v/>
      </c>
      <c r="E297" s="47" t="str">
        <f aca="false">IF($Q297="","",INDEX('Lançar Resultado'!$C$3:$C$2002,$Q297))</f>
        <v/>
      </c>
      <c r="F297" s="47" t="str">
        <f aca="false">IF($Q297="","",IFERROR(INDEX(Equipamentos!$E$3:$E$52,MATCH($B297,Equipamentos!$A$3:$A$52,0)),""))</f>
        <v/>
      </c>
      <c r="G297" s="47" t="str">
        <f aca="false">IF($Q297="","",INDEX('Lançar Resultado'!$D$3:$D$2002,$Q297))</f>
        <v/>
      </c>
      <c r="H297" s="47" t="str">
        <f aca="false">IF($Q297="","",INDEX('Lançar Resultado'!$E$3:$E$2002,$Q297))</f>
        <v/>
      </c>
      <c r="I297" s="46" t="str">
        <f aca="false">IF($Q297="","",INDEX('Lançar Resultado'!$G$3:$G$2002,$Q297))</f>
        <v/>
      </c>
      <c r="J297" s="45" t="str">
        <f aca="false">IF($Q297="","",INDEX('Lançar Resultado'!$P$3:$P$2002,$Q297))</f>
        <v/>
      </c>
      <c r="K297" s="46" t="str">
        <f aca="false">IF($Q297="","",INDEX('Lançar Resultado'!$N$3:$N$2002,$Q297))</f>
        <v/>
      </c>
      <c r="L297" s="47" t="str">
        <f aca="false">IF($Q297="","",INDEX('Lançar Resultado'!$I$3:$I$2002,$Q297))</f>
        <v/>
      </c>
      <c r="M297" s="47" t="str">
        <f aca="false">IF($Q297="","",INDEX('Lançar Resultado'!$J$3:$J$2002,$Q297))</f>
        <v/>
      </c>
      <c r="N297" s="44" t="str">
        <f aca="false">IF($Q297="","",INDEX('Lançar Resultado'!$K$3:$K$2002,$Q297))</f>
        <v/>
      </c>
      <c r="O297" s="46" t="str">
        <f aca="false">IF($Q297="","",INDEX('Lançar Resultado'!$L$3:$L$2002,$Q297))</f>
        <v/>
      </c>
      <c r="P297" s="45" t="str">
        <f aca="false">IF($Q297="","",IF(OR($O297="Concluída",$N297=""),"",IF($N297&lt;INT(Parâmetros!$C$4),INT(Parâmetros!$C$4)-$N297,"")))</f>
        <v/>
      </c>
      <c r="Q297" s="45" t="str">
        <f aca="false">IFERROR(MATCH(295,'Lançar Resultado'!$Q$3:$Q$2002,0),"")</f>
        <v/>
      </c>
    </row>
    <row r="298" customFormat="false" ht="18" hidden="false" customHeight="true" outlineLevel="0" collapsed="false">
      <c r="A298" s="39" t="n">
        <v>296</v>
      </c>
      <c r="B298" s="47" t="str">
        <f aca="false">IF($Q298="","",INDEX('Lançar Resultado'!$A$3:$A$2002,$Q298))</f>
        <v/>
      </c>
      <c r="C298" s="44" t="str">
        <f aca="false">IF($Q298="","",INDEX('Lançar Resultado'!$B$3:$B$2002,$Q298))</f>
        <v/>
      </c>
      <c r="D298" s="46" t="str">
        <f aca="false">IF($Q298="","",IF(SUMPRODUCT((Inspeções!$B$3:$B$122=$B298)*(Inspeções!$A$3:$A$122=$C298)*(ROW(Inspeções!$B$3:$B$122)-3+1))=0,"",INDEX(Inspeções!$C$3:$C$122,SUMPRODUCT((Inspeções!$B$3:$B$122=$B298)*(Inspeções!$A$3:$A$122=$C298)*(ROW(Inspeções!$B$3:$B$122)-3+1)))))</f>
        <v/>
      </c>
      <c r="E298" s="47" t="str">
        <f aca="false">IF($Q298="","",INDEX('Lançar Resultado'!$C$3:$C$2002,$Q298))</f>
        <v/>
      </c>
      <c r="F298" s="47" t="str">
        <f aca="false">IF($Q298="","",IFERROR(INDEX(Equipamentos!$E$3:$E$52,MATCH($B298,Equipamentos!$A$3:$A$52,0)),""))</f>
        <v/>
      </c>
      <c r="G298" s="47" t="str">
        <f aca="false">IF($Q298="","",INDEX('Lançar Resultado'!$D$3:$D$2002,$Q298))</f>
        <v/>
      </c>
      <c r="H298" s="47" t="str">
        <f aca="false">IF($Q298="","",INDEX('Lançar Resultado'!$E$3:$E$2002,$Q298))</f>
        <v/>
      </c>
      <c r="I298" s="46" t="str">
        <f aca="false">IF($Q298="","",INDEX('Lançar Resultado'!$G$3:$G$2002,$Q298))</f>
        <v/>
      </c>
      <c r="J298" s="45" t="str">
        <f aca="false">IF($Q298="","",INDEX('Lançar Resultado'!$P$3:$P$2002,$Q298))</f>
        <v/>
      </c>
      <c r="K298" s="46" t="str">
        <f aca="false">IF($Q298="","",INDEX('Lançar Resultado'!$N$3:$N$2002,$Q298))</f>
        <v/>
      </c>
      <c r="L298" s="47" t="str">
        <f aca="false">IF($Q298="","",INDEX('Lançar Resultado'!$I$3:$I$2002,$Q298))</f>
        <v/>
      </c>
      <c r="M298" s="47" t="str">
        <f aca="false">IF($Q298="","",INDEX('Lançar Resultado'!$J$3:$J$2002,$Q298))</f>
        <v/>
      </c>
      <c r="N298" s="44" t="str">
        <f aca="false">IF($Q298="","",INDEX('Lançar Resultado'!$K$3:$K$2002,$Q298))</f>
        <v/>
      </c>
      <c r="O298" s="46" t="str">
        <f aca="false">IF($Q298="","",INDEX('Lançar Resultado'!$L$3:$L$2002,$Q298))</f>
        <v/>
      </c>
      <c r="P298" s="45" t="str">
        <f aca="false">IF($Q298="","",IF(OR($O298="Concluída",$N298=""),"",IF($N298&lt;INT(Parâmetros!$C$4),INT(Parâmetros!$C$4)-$N298,"")))</f>
        <v/>
      </c>
      <c r="Q298" s="45" t="str">
        <f aca="false">IFERROR(MATCH(296,'Lançar Resultado'!$Q$3:$Q$2002,0),"")</f>
        <v/>
      </c>
    </row>
    <row r="299" customFormat="false" ht="18" hidden="false" customHeight="true" outlineLevel="0" collapsed="false">
      <c r="A299" s="39" t="n">
        <v>297</v>
      </c>
      <c r="B299" s="47" t="str">
        <f aca="false">IF($Q299="","",INDEX('Lançar Resultado'!$A$3:$A$2002,$Q299))</f>
        <v/>
      </c>
      <c r="C299" s="44" t="str">
        <f aca="false">IF($Q299="","",INDEX('Lançar Resultado'!$B$3:$B$2002,$Q299))</f>
        <v/>
      </c>
      <c r="D299" s="46" t="str">
        <f aca="false">IF($Q299="","",IF(SUMPRODUCT((Inspeções!$B$3:$B$122=$B299)*(Inspeções!$A$3:$A$122=$C299)*(ROW(Inspeções!$B$3:$B$122)-3+1))=0,"",INDEX(Inspeções!$C$3:$C$122,SUMPRODUCT((Inspeções!$B$3:$B$122=$B299)*(Inspeções!$A$3:$A$122=$C299)*(ROW(Inspeções!$B$3:$B$122)-3+1)))))</f>
        <v/>
      </c>
      <c r="E299" s="47" t="str">
        <f aca="false">IF($Q299="","",INDEX('Lançar Resultado'!$C$3:$C$2002,$Q299))</f>
        <v/>
      </c>
      <c r="F299" s="47" t="str">
        <f aca="false">IF($Q299="","",IFERROR(INDEX(Equipamentos!$E$3:$E$52,MATCH($B299,Equipamentos!$A$3:$A$52,0)),""))</f>
        <v/>
      </c>
      <c r="G299" s="47" t="str">
        <f aca="false">IF($Q299="","",INDEX('Lançar Resultado'!$D$3:$D$2002,$Q299))</f>
        <v/>
      </c>
      <c r="H299" s="47" t="str">
        <f aca="false">IF($Q299="","",INDEX('Lançar Resultado'!$E$3:$E$2002,$Q299))</f>
        <v/>
      </c>
      <c r="I299" s="46" t="str">
        <f aca="false">IF($Q299="","",INDEX('Lançar Resultado'!$G$3:$G$2002,$Q299))</f>
        <v/>
      </c>
      <c r="J299" s="45" t="str">
        <f aca="false">IF($Q299="","",INDEX('Lançar Resultado'!$P$3:$P$2002,$Q299))</f>
        <v/>
      </c>
      <c r="K299" s="46" t="str">
        <f aca="false">IF($Q299="","",INDEX('Lançar Resultado'!$N$3:$N$2002,$Q299))</f>
        <v/>
      </c>
      <c r="L299" s="47" t="str">
        <f aca="false">IF($Q299="","",INDEX('Lançar Resultado'!$I$3:$I$2002,$Q299))</f>
        <v/>
      </c>
      <c r="M299" s="47" t="str">
        <f aca="false">IF($Q299="","",INDEX('Lançar Resultado'!$J$3:$J$2002,$Q299))</f>
        <v/>
      </c>
      <c r="N299" s="44" t="str">
        <f aca="false">IF($Q299="","",INDEX('Lançar Resultado'!$K$3:$K$2002,$Q299))</f>
        <v/>
      </c>
      <c r="O299" s="46" t="str">
        <f aca="false">IF($Q299="","",INDEX('Lançar Resultado'!$L$3:$L$2002,$Q299))</f>
        <v/>
      </c>
      <c r="P299" s="45" t="str">
        <f aca="false">IF($Q299="","",IF(OR($O299="Concluída",$N299=""),"",IF($N299&lt;INT(Parâmetros!$C$4),INT(Parâmetros!$C$4)-$N299,"")))</f>
        <v/>
      </c>
      <c r="Q299" s="45" t="str">
        <f aca="false">IFERROR(MATCH(297,'Lançar Resultado'!$Q$3:$Q$2002,0),"")</f>
        <v/>
      </c>
    </row>
    <row r="300" customFormat="false" ht="18" hidden="false" customHeight="true" outlineLevel="0" collapsed="false">
      <c r="A300" s="39" t="n">
        <v>298</v>
      </c>
      <c r="B300" s="47" t="str">
        <f aca="false">IF($Q300="","",INDEX('Lançar Resultado'!$A$3:$A$2002,$Q300))</f>
        <v/>
      </c>
      <c r="C300" s="44" t="str">
        <f aca="false">IF($Q300="","",INDEX('Lançar Resultado'!$B$3:$B$2002,$Q300))</f>
        <v/>
      </c>
      <c r="D300" s="46" t="str">
        <f aca="false">IF($Q300="","",IF(SUMPRODUCT((Inspeções!$B$3:$B$122=$B300)*(Inspeções!$A$3:$A$122=$C300)*(ROW(Inspeções!$B$3:$B$122)-3+1))=0,"",INDEX(Inspeções!$C$3:$C$122,SUMPRODUCT((Inspeções!$B$3:$B$122=$B300)*(Inspeções!$A$3:$A$122=$C300)*(ROW(Inspeções!$B$3:$B$122)-3+1)))))</f>
        <v/>
      </c>
      <c r="E300" s="47" t="str">
        <f aca="false">IF($Q300="","",INDEX('Lançar Resultado'!$C$3:$C$2002,$Q300))</f>
        <v/>
      </c>
      <c r="F300" s="47" t="str">
        <f aca="false">IF($Q300="","",IFERROR(INDEX(Equipamentos!$E$3:$E$52,MATCH($B300,Equipamentos!$A$3:$A$52,0)),""))</f>
        <v/>
      </c>
      <c r="G300" s="47" t="str">
        <f aca="false">IF($Q300="","",INDEX('Lançar Resultado'!$D$3:$D$2002,$Q300))</f>
        <v/>
      </c>
      <c r="H300" s="47" t="str">
        <f aca="false">IF($Q300="","",INDEX('Lançar Resultado'!$E$3:$E$2002,$Q300))</f>
        <v/>
      </c>
      <c r="I300" s="46" t="str">
        <f aca="false">IF($Q300="","",INDEX('Lançar Resultado'!$G$3:$G$2002,$Q300))</f>
        <v/>
      </c>
      <c r="J300" s="45" t="str">
        <f aca="false">IF($Q300="","",INDEX('Lançar Resultado'!$P$3:$P$2002,$Q300))</f>
        <v/>
      </c>
      <c r="K300" s="46" t="str">
        <f aca="false">IF($Q300="","",INDEX('Lançar Resultado'!$N$3:$N$2002,$Q300))</f>
        <v/>
      </c>
      <c r="L300" s="47" t="str">
        <f aca="false">IF($Q300="","",INDEX('Lançar Resultado'!$I$3:$I$2002,$Q300))</f>
        <v/>
      </c>
      <c r="M300" s="47" t="str">
        <f aca="false">IF($Q300="","",INDEX('Lançar Resultado'!$J$3:$J$2002,$Q300))</f>
        <v/>
      </c>
      <c r="N300" s="44" t="str">
        <f aca="false">IF($Q300="","",INDEX('Lançar Resultado'!$K$3:$K$2002,$Q300))</f>
        <v/>
      </c>
      <c r="O300" s="46" t="str">
        <f aca="false">IF($Q300="","",INDEX('Lançar Resultado'!$L$3:$L$2002,$Q300))</f>
        <v/>
      </c>
      <c r="P300" s="45" t="str">
        <f aca="false">IF($Q300="","",IF(OR($O300="Concluída",$N300=""),"",IF($N300&lt;INT(Parâmetros!$C$4),INT(Parâmetros!$C$4)-$N300,"")))</f>
        <v/>
      </c>
      <c r="Q300" s="45" t="str">
        <f aca="false">IFERROR(MATCH(298,'Lançar Resultado'!$Q$3:$Q$2002,0),"")</f>
        <v/>
      </c>
    </row>
    <row r="301" customFormat="false" ht="18" hidden="false" customHeight="true" outlineLevel="0" collapsed="false">
      <c r="A301" s="39" t="n">
        <v>299</v>
      </c>
      <c r="B301" s="47" t="str">
        <f aca="false">IF($Q301="","",INDEX('Lançar Resultado'!$A$3:$A$2002,$Q301))</f>
        <v/>
      </c>
      <c r="C301" s="44" t="str">
        <f aca="false">IF($Q301="","",INDEX('Lançar Resultado'!$B$3:$B$2002,$Q301))</f>
        <v/>
      </c>
      <c r="D301" s="46" t="str">
        <f aca="false">IF($Q301="","",IF(SUMPRODUCT((Inspeções!$B$3:$B$122=$B301)*(Inspeções!$A$3:$A$122=$C301)*(ROW(Inspeções!$B$3:$B$122)-3+1))=0,"",INDEX(Inspeções!$C$3:$C$122,SUMPRODUCT((Inspeções!$B$3:$B$122=$B301)*(Inspeções!$A$3:$A$122=$C301)*(ROW(Inspeções!$B$3:$B$122)-3+1)))))</f>
        <v/>
      </c>
      <c r="E301" s="47" t="str">
        <f aca="false">IF($Q301="","",INDEX('Lançar Resultado'!$C$3:$C$2002,$Q301))</f>
        <v/>
      </c>
      <c r="F301" s="47" t="str">
        <f aca="false">IF($Q301="","",IFERROR(INDEX(Equipamentos!$E$3:$E$52,MATCH($B301,Equipamentos!$A$3:$A$52,0)),""))</f>
        <v/>
      </c>
      <c r="G301" s="47" t="str">
        <f aca="false">IF($Q301="","",INDEX('Lançar Resultado'!$D$3:$D$2002,$Q301))</f>
        <v/>
      </c>
      <c r="H301" s="47" t="str">
        <f aca="false">IF($Q301="","",INDEX('Lançar Resultado'!$E$3:$E$2002,$Q301))</f>
        <v/>
      </c>
      <c r="I301" s="46" t="str">
        <f aca="false">IF($Q301="","",INDEX('Lançar Resultado'!$G$3:$G$2002,$Q301))</f>
        <v/>
      </c>
      <c r="J301" s="45" t="str">
        <f aca="false">IF($Q301="","",INDEX('Lançar Resultado'!$P$3:$P$2002,$Q301))</f>
        <v/>
      </c>
      <c r="K301" s="46" t="str">
        <f aca="false">IF($Q301="","",INDEX('Lançar Resultado'!$N$3:$N$2002,$Q301))</f>
        <v/>
      </c>
      <c r="L301" s="47" t="str">
        <f aca="false">IF($Q301="","",INDEX('Lançar Resultado'!$I$3:$I$2002,$Q301))</f>
        <v/>
      </c>
      <c r="M301" s="47" t="str">
        <f aca="false">IF($Q301="","",INDEX('Lançar Resultado'!$J$3:$J$2002,$Q301))</f>
        <v/>
      </c>
      <c r="N301" s="44" t="str">
        <f aca="false">IF($Q301="","",INDEX('Lançar Resultado'!$K$3:$K$2002,$Q301))</f>
        <v/>
      </c>
      <c r="O301" s="46" t="str">
        <f aca="false">IF($Q301="","",INDEX('Lançar Resultado'!$L$3:$L$2002,$Q301))</f>
        <v/>
      </c>
      <c r="P301" s="45" t="str">
        <f aca="false">IF($Q301="","",IF(OR($O301="Concluída",$N301=""),"",IF($N301&lt;INT(Parâmetros!$C$4),INT(Parâmetros!$C$4)-$N301,"")))</f>
        <v/>
      </c>
      <c r="Q301" s="45" t="str">
        <f aca="false">IFERROR(MATCH(299,'Lançar Resultado'!$Q$3:$Q$2002,0),"")</f>
        <v/>
      </c>
    </row>
    <row r="302" customFormat="false" ht="18" hidden="false" customHeight="true" outlineLevel="0" collapsed="false">
      <c r="A302" s="39" t="n">
        <v>300</v>
      </c>
      <c r="B302" s="47" t="str">
        <f aca="false">IF($Q302="","",INDEX('Lançar Resultado'!$A$3:$A$2002,$Q302))</f>
        <v/>
      </c>
      <c r="C302" s="44" t="str">
        <f aca="false">IF($Q302="","",INDEX('Lançar Resultado'!$B$3:$B$2002,$Q302))</f>
        <v/>
      </c>
      <c r="D302" s="46" t="str">
        <f aca="false">IF($Q302="","",IF(SUMPRODUCT((Inspeções!$B$3:$B$122=$B302)*(Inspeções!$A$3:$A$122=$C302)*(ROW(Inspeções!$B$3:$B$122)-3+1))=0,"",INDEX(Inspeções!$C$3:$C$122,SUMPRODUCT((Inspeções!$B$3:$B$122=$B302)*(Inspeções!$A$3:$A$122=$C302)*(ROW(Inspeções!$B$3:$B$122)-3+1)))))</f>
        <v/>
      </c>
      <c r="E302" s="47" t="str">
        <f aca="false">IF($Q302="","",INDEX('Lançar Resultado'!$C$3:$C$2002,$Q302))</f>
        <v/>
      </c>
      <c r="F302" s="47" t="str">
        <f aca="false">IF($Q302="","",IFERROR(INDEX(Equipamentos!$E$3:$E$52,MATCH($B302,Equipamentos!$A$3:$A$52,0)),""))</f>
        <v/>
      </c>
      <c r="G302" s="47" t="str">
        <f aca="false">IF($Q302="","",INDEX('Lançar Resultado'!$D$3:$D$2002,$Q302))</f>
        <v/>
      </c>
      <c r="H302" s="47" t="str">
        <f aca="false">IF($Q302="","",INDEX('Lançar Resultado'!$E$3:$E$2002,$Q302))</f>
        <v/>
      </c>
      <c r="I302" s="46" t="str">
        <f aca="false">IF($Q302="","",INDEX('Lançar Resultado'!$G$3:$G$2002,$Q302))</f>
        <v/>
      </c>
      <c r="J302" s="45" t="str">
        <f aca="false">IF($Q302="","",INDEX('Lançar Resultado'!$P$3:$P$2002,$Q302))</f>
        <v/>
      </c>
      <c r="K302" s="46" t="str">
        <f aca="false">IF($Q302="","",INDEX('Lançar Resultado'!$N$3:$N$2002,$Q302))</f>
        <v/>
      </c>
      <c r="L302" s="47" t="str">
        <f aca="false">IF($Q302="","",INDEX('Lançar Resultado'!$I$3:$I$2002,$Q302))</f>
        <v/>
      </c>
      <c r="M302" s="47" t="str">
        <f aca="false">IF($Q302="","",INDEX('Lançar Resultado'!$J$3:$J$2002,$Q302))</f>
        <v/>
      </c>
      <c r="N302" s="44" t="str">
        <f aca="false">IF($Q302="","",INDEX('Lançar Resultado'!$K$3:$K$2002,$Q302))</f>
        <v/>
      </c>
      <c r="O302" s="46" t="str">
        <f aca="false">IF($Q302="","",INDEX('Lançar Resultado'!$L$3:$L$2002,$Q302))</f>
        <v/>
      </c>
      <c r="P302" s="45" t="str">
        <f aca="false">IF($Q302="","",IF(OR($O302="Concluída",$N302=""),"",IF($N302&lt;INT(Parâmetros!$C$4),INT(Parâmetros!$C$4)-$N302,"")))</f>
        <v/>
      </c>
      <c r="Q302" s="45" t="str">
        <f aca="false">IFERROR(MATCH(300,'Lançar Resultado'!$Q$3:$Q$2002,0),"")</f>
        <v/>
      </c>
    </row>
  </sheetData>
  <sheetProtection sheet="true"/>
  <autoFilter ref="A2:P302"/>
  <conditionalFormatting sqref="K3:K302">
    <cfRule type="cellIs" priority="2" operator="equal" aboveAverage="0" equalAverage="0" bottom="0" percent="0" rank="0" text="" dxfId="4">
      <formula>"Alta"</formula>
    </cfRule>
    <cfRule type="cellIs" priority="3" operator="equal" aboveAverage="0" equalAverage="0" bottom="0" percent="0" rank="0" text="" dxfId="21">
      <formula>"Média"</formula>
    </cfRule>
  </conditionalFormatting>
  <conditionalFormatting sqref="P3:P302">
    <cfRule type="cellIs" priority="4" operator="greaterThan" aboveAverage="0" equalAverage="0" bottom="0" percent="0" rank="0" text="" dxfId="4">
      <formula>0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Checklist de inspeção · Andonize&amp;R&amp;8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2026-07-31T00:58:34Z</dcterms:created>
  <dc:creator>Andonize</dc:creator>
  <dc:description>Planilha gratuita da Andonize. Uso livre na sua empresa e com os seus clientes, inclusive comercial. Não é permitido revender, redistribuir como material próprio nem publicar o arquivo para download em outro site. © 2026 Andonize · andonize.com</dc:description>
  <dc:language>en-US</dc:language>
  <cp:lastModifiedBy>Andonize</cp:lastModifiedBy>
  <dcterms:modified xsi:type="dcterms:W3CDTF">2026-07-31T00:58:40Z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